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UH01\Desktop\2024 год\ПФХД на 2024\первоначальный 24\"/>
    </mc:Choice>
  </mc:AlternateContent>
  <bookViews>
    <workbookView xWindow="0" yWindow="0" windowWidth="28680" windowHeight="12360" tabRatio="668" activeTab="2"/>
  </bookViews>
  <sheets>
    <sheet name="стр 1   -  6" sheetId="76" r:id="rId1"/>
    <sheet name="стр 5 - 7" sheetId="75" r:id="rId2"/>
    <sheet name="МЗ 2024" sheetId="46" r:id="rId3"/>
    <sheet name="иные  2024" sheetId="64" r:id="rId4"/>
    <sheet name="ППД   2024" sheetId="47" r:id="rId5"/>
    <sheet name="расш МЗ 2025" sheetId="69" r:id="rId6"/>
    <sheet name="иные   2025" sheetId="70" r:id="rId7"/>
    <sheet name="ППД   2025 " sheetId="71" r:id="rId8"/>
    <sheet name="МЗ 2026" sheetId="72" r:id="rId9"/>
    <sheet name="иные 2026" sheetId="73" r:id="rId10"/>
    <sheet name="ППД 2026" sheetId="74" r:id="rId11"/>
    <sheet name="МЗ 2017 (3)" sheetId="30" state="hidden" r:id="rId12"/>
  </sheets>
  <definedNames>
    <definedName name="_xlnm.Print_Area" localSheetId="3">'иные  2024'!$A$1:$J$226</definedName>
    <definedName name="_xlnm.Print_Area" localSheetId="11">'МЗ 2017 (3)'!$A$1:$J$324</definedName>
    <definedName name="_xlnm.Print_Area" localSheetId="2">'МЗ 2024'!$A$1:$J$482</definedName>
    <definedName name="_xlnm.Print_Area" localSheetId="4">'ППД   2024'!$A$1:$J$188</definedName>
  </definedNames>
  <calcPr calcId="152511" iterate="1"/>
</workbook>
</file>

<file path=xl/calcChain.xml><?xml version="1.0" encoding="utf-8"?>
<calcChain xmlns="http://schemas.openxmlformats.org/spreadsheetml/2006/main">
  <c r="EF39" i="76" l="1"/>
  <c r="FG64" i="76"/>
  <c r="FH64" i="76" s="1"/>
  <c r="FG67" i="76"/>
  <c r="FG65" i="76"/>
  <c r="J314" i="72" l="1"/>
  <c r="J310" i="72"/>
  <c r="J314" i="69"/>
  <c r="J310" i="69"/>
  <c r="DW19" i="75"/>
  <c r="DF96" i="76"/>
  <c r="DF99" i="76"/>
  <c r="DF64" i="76"/>
  <c r="DF68" i="76"/>
  <c r="DF65" i="76"/>
  <c r="I454" i="46"/>
  <c r="I253" i="64" l="1"/>
  <c r="G316" i="64"/>
  <c r="G315" i="64"/>
  <c r="DF47" i="76"/>
  <c r="I261" i="46" l="1"/>
  <c r="E261" i="46"/>
  <c r="I260" i="46"/>
  <c r="E260" i="46"/>
  <c r="E259" i="46"/>
  <c r="J70" i="72" l="1"/>
  <c r="E35" i="72"/>
  <c r="E33" i="72"/>
  <c r="G33" i="72" s="1"/>
  <c r="D33" i="72" s="1"/>
  <c r="J33" i="72" s="1"/>
  <c r="E32" i="72"/>
  <c r="E30" i="72"/>
  <c r="G30" i="72" s="1"/>
  <c r="E29" i="72"/>
  <c r="E28" i="72"/>
  <c r="E27" i="72"/>
  <c r="G27" i="72" s="1"/>
  <c r="E26" i="72"/>
  <c r="E25" i="72"/>
  <c r="E24" i="72"/>
  <c r="E34" i="72"/>
  <c r="C66" i="72"/>
  <c r="E65" i="72"/>
  <c r="G65" i="72" s="1"/>
  <c r="D65" i="72" s="1"/>
  <c r="J65" i="72" s="1"/>
  <c r="E64" i="72"/>
  <c r="G64" i="72" s="1"/>
  <c r="D64" i="72" s="1"/>
  <c r="J64" i="72" s="1"/>
  <c r="J63" i="72"/>
  <c r="E63" i="72"/>
  <c r="G63" i="72" s="1"/>
  <c r="J62" i="72"/>
  <c r="G62" i="72"/>
  <c r="E62" i="72"/>
  <c r="E61" i="72"/>
  <c r="E60" i="72"/>
  <c r="G59" i="72"/>
  <c r="E59" i="72"/>
  <c r="C57" i="72"/>
  <c r="E56" i="72"/>
  <c r="G56" i="72" s="1"/>
  <c r="E55" i="72"/>
  <c r="G55" i="72" s="1"/>
  <c r="D55" i="72"/>
  <c r="J55" i="72" s="1"/>
  <c r="E54" i="72"/>
  <c r="G54" i="72" s="1"/>
  <c r="E53" i="72"/>
  <c r="G53" i="72" s="1"/>
  <c r="D53" i="72"/>
  <c r="J53" i="72" s="1"/>
  <c r="F50" i="72"/>
  <c r="C50" i="72"/>
  <c r="E49" i="72"/>
  <c r="G48" i="72"/>
  <c r="E48" i="72"/>
  <c r="E47" i="72"/>
  <c r="G46" i="72"/>
  <c r="E46" i="72"/>
  <c r="E45" i="72"/>
  <c r="G44" i="72"/>
  <c r="E44" i="72"/>
  <c r="E43" i="72"/>
  <c r="G42" i="72"/>
  <c r="E42" i="72"/>
  <c r="E41" i="72"/>
  <c r="G40" i="72"/>
  <c r="E40" i="72"/>
  <c r="E39" i="72"/>
  <c r="G38" i="72"/>
  <c r="E38" i="72"/>
  <c r="F36" i="72"/>
  <c r="C36" i="72"/>
  <c r="C51" i="72" s="1"/>
  <c r="C69" i="72" s="1"/>
  <c r="G35" i="72"/>
  <c r="D35" i="72"/>
  <c r="J35" i="72" s="1"/>
  <c r="G34" i="72"/>
  <c r="D34" i="72"/>
  <c r="J34" i="72" s="1"/>
  <c r="G32" i="72"/>
  <c r="D32" i="72" s="1"/>
  <c r="J32" i="72" s="1"/>
  <c r="C32" i="72"/>
  <c r="E31" i="72"/>
  <c r="G31" i="72" s="1"/>
  <c r="D31" i="72"/>
  <c r="J31" i="72" s="1"/>
  <c r="G29" i="72"/>
  <c r="D29" i="72" s="1"/>
  <c r="J29" i="72" s="1"/>
  <c r="G28" i="72"/>
  <c r="G26" i="72"/>
  <c r="G25" i="72"/>
  <c r="D25" i="72"/>
  <c r="J25" i="72" s="1"/>
  <c r="C21" i="72"/>
  <c r="E20" i="72"/>
  <c r="G20" i="72" s="1"/>
  <c r="D20" i="72" s="1"/>
  <c r="E19" i="72"/>
  <c r="G19" i="72" s="1"/>
  <c r="J19" i="72" s="1"/>
  <c r="D19" i="72"/>
  <c r="E18" i="72"/>
  <c r="G18" i="72" s="1"/>
  <c r="J18" i="72" s="1"/>
  <c r="D18" i="72"/>
  <c r="J17" i="72"/>
  <c r="E17" i="72"/>
  <c r="G17" i="72" s="1"/>
  <c r="D17" i="72"/>
  <c r="E16" i="72"/>
  <c r="G16" i="72" s="1"/>
  <c r="D16" i="72" s="1"/>
  <c r="E15" i="72"/>
  <c r="G15" i="72" s="1"/>
  <c r="J15" i="72" s="1"/>
  <c r="D15" i="72"/>
  <c r="C64" i="74"/>
  <c r="G63" i="74"/>
  <c r="D63" i="74" s="1"/>
  <c r="J63" i="74" s="1"/>
  <c r="G62" i="74"/>
  <c r="D62" i="74"/>
  <c r="J62" i="74" s="1"/>
  <c r="G61" i="74"/>
  <c r="D61" i="74"/>
  <c r="J61" i="74" s="1"/>
  <c r="J60" i="74"/>
  <c r="G60" i="74"/>
  <c r="D60" i="74"/>
  <c r="G59" i="74"/>
  <c r="D59" i="74" s="1"/>
  <c r="J59" i="74" s="1"/>
  <c r="G58" i="74"/>
  <c r="D58" i="74"/>
  <c r="J58" i="74" s="1"/>
  <c r="E57" i="74"/>
  <c r="D57" i="74"/>
  <c r="D64" i="74" s="1"/>
  <c r="C55" i="74"/>
  <c r="G54" i="74"/>
  <c r="D54" i="74" s="1"/>
  <c r="J54" i="74" s="1"/>
  <c r="D53" i="74"/>
  <c r="J53" i="74" s="1"/>
  <c r="J52" i="74"/>
  <c r="G52" i="74"/>
  <c r="D52" i="74"/>
  <c r="D55" i="74" s="1"/>
  <c r="F49" i="74"/>
  <c r="J48" i="74"/>
  <c r="G48" i="74"/>
  <c r="D48" i="74"/>
  <c r="G47" i="74"/>
  <c r="D47" i="74" s="1"/>
  <c r="J47" i="74" s="1"/>
  <c r="G46" i="74"/>
  <c r="D46" i="74"/>
  <c r="J46" i="74" s="1"/>
  <c r="G45" i="74"/>
  <c r="D45" i="74"/>
  <c r="J45" i="74" s="1"/>
  <c r="J44" i="74"/>
  <c r="G44" i="74"/>
  <c r="D44" i="74"/>
  <c r="G43" i="74"/>
  <c r="D43" i="74" s="1"/>
  <c r="J43" i="74" s="1"/>
  <c r="G42" i="74"/>
  <c r="D42" i="74"/>
  <c r="J42" i="74" s="1"/>
  <c r="G41" i="74"/>
  <c r="D41" i="74"/>
  <c r="J41" i="74" s="1"/>
  <c r="J40" i="74"/>
  <c r="G40" i="74"/>
  <c r="D40" i="74"/>
  <c r="G39" i="74"/>
  <c r="D39" i="74" s="1"/>
  <c r="J39" i="74" s="1"/>
  <c r="G38" i="74"/>
  <c r="D38" i="74"/>
  <c r="J38" i="74" s="1"/>
  <c r="J49" i="74" s="1"/>
  <c r="J37" i="74"/>
  <c r="G37" i="74"/>
  <c r="F35" i="74"/>
  <c r="C35" i="74"/>
  <c r="C50" i="74" s="1"/>
  <c r="C66" i="74" s="1"/>
  <c r="D34" i="74"/>
  <c r="J34" i="74" s="1"/>
  <c r="E33" i="74"/>
  <c r="D33" i="74" s="1"/>
  <c r="J33" i="74" s="1"/>
  <c r="C33" i="74"/>
  <c r="E32" i="74"/>
  <c r="D32" i="74" s="1"/>
  <c r="J32" i="74" s="1"/>
  <c r="C32" i="74"/>
  <c r="G31" i="74"/>
  <c r="D31" i="74" s="1"/>
  <c r="J31" i="74" s="1"/>
  <c r="E31" i="74"/>
  <c r="G30" i="74"/>
  <c r="D30" i="74" s="1"/>
  <c r="J30" i="74" s="1"/>
  <c r="E30" i="74"/>
  <c r="E29" i="74"/>
  <c r="D29" i="74" s="1"/>
  <c r="C29" i="74"/>
  <c r="G24" i="74"/>
  <c r="D25" i="74"/>
  <c r="J25" i="74"/>
  <c r="D26" i="74"/>
  <c r="J26" i="74" s="1"/>
  <c r="G26" i="74"/>
  <c r="G27" i="74"/>
  <c r="D27" i="74" s="1"/>
  <c r="J27" i="74" s="1"/>
  <c r="G28" i="74"/>
  <c r="D28" i="74" s="1"/>
  <c r="J28" i="74" s="1"/>
  <c r="C64" i="71"/>
  <c r="G63" i="71"/>
  <c r="D63" i="71"/>
  <c r="J63" i="71" s="1"/>
  <c r="J62" i="71"/>
  <c r="G62" i="71"/>
  <c r="D62" i="71"/>
  <c r="G61" i="71"/>
  <c r="D61" i="71" s="1"/>
  <c r="J61" i="71" s="1"/>
  <c r="G60" i="71"/>
  <c r="D60" i="71"/>
  <c r="J60" i="71" s="1"/>
  <c r="G59" i="71"/>
  <c r="D59" i="71"/>
  <c r="J59" i="71" s="1"/>
  <c r="J58" i="71"/>
  <c r="G58" i="71"/>
  <c r="D58" i="71"/>
  <c r="E57" i="71"/>
  <c r="D57" i="71" s="1"/>
  <c r="C55" i="71"/>
  <c r="G54" i="71"/>
  <c r="D54" i="71"/>
  <c r="J54" i="71" s="1"/>
  <c r="J53" i="71"/>
  <c r="D53" i="71"/>
  <c r="G52" i="71"/>
  <c r="D52" i="71"/>
  <c r="J52" i="71" s="1"/>
  <c r="J55" i="71" s="1"/>
  <c r="F49" i="71"/>
  <c r="G48" i="71"/>
  <c r="D48" i="71"/>
  <c r="J48" i="71" s="1"/>
  <c r="G47" i="71"/>
  <c r="D47" i="71"/>
  <c r="J47" i="71" s="1"/>
  <c r="J46" i="71"/>
  <c r="G46" i="71"/>
  <c r="D46" i="71"/>
  <c r="G45" i="71"/>
  <c r="D45" i="71" s="1"/>
  <c r="J45" i="71" s="1"/>
  <c r="G44" i="71"/>
  <c r="D44" i="71"/>
  <c r="J44" i="71" s="1"/>
  <c r="G43" i="71"/>
  <c r="D43" i="71"/>
  <c r="J43" i="71" s="1"/>
  <c r="J42" i="71"/>
  <c r="G42" i="71"/>
  <c r="D42" i="71"/>
  <c r="G41" i="71"/>
  <c r="D41" i="71" s="1"/>
  <c r="J41" i="71" s="1"/>
  <c r="G40" i="71"/>
  <c r="D40" i="71"/>
  <c r="J40" i="71" s="1"/>
  <c r="G39" i="71"/>
  <c r="D39" i="71"/>
  <c r="J39" i="71" s="1"/>
  <c r="J38" i="71"/>
  <c r="G38" i="71"/>
  <c r="D38" i="71"/>
  <c r="J37" i="71"/>
  <c r="G37" i="71"/>
  <c r="F35" i="71"/>
  <c r="E35" i="71"/>
  <c r="D34" i="71"/>
  <c r="J34" i="71" s="1"/>
  <c r="E33" i="71"/>
  <c r="D33" i="71"/>
  <c r="J33" i="71" s="1"/>
  <c r="C33" i="71"/>
  <c r="E32" i="71"/>
  <c r="D32" i="71"/>
  <c r="J32" i="71" s="1"/>
  <c r="C32" i="71"/>
  <c r="E31" i="71"/>
  <c r="G31" i="71" s="1"/>
  <c r="D31" i="71" s="1"/>
  <c r="J31" i="71" s="1"/>
  <c r="E30" i="71"/>
  <c r="G30" i="71" s="1"/>
  <c r="E29" i="71"/>
  <c r="D29" i="71"/>
  <c r="C29" i="71"/>
  <c r="C35" i="71" s="1"/>
  <c r="C50" i="71" s="1"/>
  <c r="C66" i="71" s="1"/>
  <c r="D27" i="72" l="1"/>
  <c r="J27" i="72" s="1"/>
  <c r="D21" i="72"/>
  <c r="E36" i="72"/>
  <c r="G24" i="72"/>
  <c r="G36" i="72" s="1"/>
  <c r="J16" i="72"/>
  <c r="J21" i="72" s="1"/>
  <c r="J20" i="72"/>
  <c r="D41" i="72"/>
  <c r="J41" i="72" s="1"/>
  <c r="D43" i="72"/>
  <c r="J43" i="72" s="1"/>
  <c r="D49" i="72"/>
  <c r="J49" i="72" s="1"/>
  <c r="E50" i="72"/>
  <c r="G60" i="72"/>
  <c r="D60" i="72" s="1"/>
  <c r="J60" i="72" s="1"/>
  <c r="G39" i="72"/>
  <c r="D39" i="72" s="1"/>
  <c r="J39" i="72" s="1"/>
  <c r="G41" i="72"/>
  <c r="G43" i="72"/>
  <c r="G45" i="72"/>
  <c r="D45" i="72" s="1"/>
  <c r="J45" i="72" s="1"/>
  <c r="G47" i="72"/>
  <c r="D47" i="72" s="1"/>
  <c r="J47" i="72" s="1"/>
  <c r="G49" i="72"/>
  <c r="G61" i="72"/>
  <c r="D61" i="72" s="1"/>
  <c r="J61" i="72" s="1"/>
  <c r="D26" i="72"/>
  <c r="J26" i="72" s="1"/>
  <c r="D28" i="72"/>
  <c r="J28" i="72" s="1"/>
  <c r="D30" i="72"/>
  <c r="J30" i="72" s="1"/>
  <c r="D38" i="72"/>
  <c r="D40" i="72"/>
  <c r="J40" i="72" s="1"/>
  <c r="D42" i="72"/>
  <c r="J42" i="72" s="1"/>
  <c r="D44" i="72"/>
  <c r="J44" i="72" s="1"/>
  <c r="D46" i="72"/>
  <c r="J46" i="72" s="1"/>
  <c r="D48" i="72"/>
  <c r="J48" i="72" s="1"/>
  <c r="D54" i="72"/>
  <c r="J54" i="72" s="1"/>
  <c r="J57" i="72" s="1"/>
  <c r="D56" i="72"/>
  <c r="J56" i="72" s="1"/>
  <c r="D59" i="72"/>
  <c r="J55" i="74"/>
  <c r="D35" i="74"/>
  <c r="D50" i="74" s="1"/>
  <c r="D66" i="74" s="1"/>
  <c r="J29" i="74"/>
  <c r="J35" i="74" s="1"/>
  <c r="J50" i="74" s="1"/>
  <c r="J66" i="74" s="1"/>
  <c r="G35" i="74"/>
  <c r="E35" i="74"/>
  <c r="J57" i="74"/>
  <c r="J64" i="74" s="1"/>
  <c r="D24" i="74"/>
  <c r="J49" i="71"/>
  <c r="G35" i="71"/>
  <c r="D30" i="71"/>
  <c r="J30" i="71" s="1"/>
  <c r="D64" i="71"/>
  <c r="J57" i="71"/>
  <c r="J64" i="71" s="1"/>
  <c r="D55" i="71"/>
  <c r="J29" i="71"/>
  <c r="J35" i="71" s="1"/>
  <c r="J50" i="71" s="1"/>
  <c r="J66" i="71" s="1"/>
  <c r="J70" i="69"/>
  <c r="E34" i="69"/>
  <c r="E40" i="69"/>
  <c r="E39" i="69"/>
  <c r="J73" i="46"/>
  <c r="E34" i="46"/>
  <c r="E39" i="46"/>
  <c r="E40" i="46"/>
  <c r="G50" i="72" l="1"/>
  <c r="D57" i="72"/>
  <c r="D66" i="72"/>
  <c r="J59" i="72"/>
  <c r="J66" i="72" s="1"/>
  <c r="J38" i="72"/>
  <c r="J50" i="72" s="1"/>
  <c r="D50" i="72"/>
  <c r="D24" i="72"/>
  <c r="J24" i="74"/>
  <c r="D35" i="71"/>
  <c r="D50" i="71" s="1"/>
  <c r="D66" i="71" s="1"/>
  <c r="C66" i="69"/>
  <c r="E65" i="69"/>
  <c r="G65" i="69" s="1"/>
  <c r="D65" i="69" s="1"/>
  <c r="J65" i="69" s="1"/>
  <c r="J64" i="69"/>
  <c r="E64" i="69"/>
  <c r="G64" i="69" s="1"/>
  <c r="D64" i="69" s="1"/>
  <c r="J63" i="69"/>
  <c r="E63" i="69"/>
  <c r="G63" i="69" s="1"/>
  <c r="J62" i="69"/>
  <c r="G62" i="69"/>
  <c r="E62" i="69"/>
  <c r="E61" i="69"/>
  <c r="E60" i="69"/>
  <c r="E59" i="69"/>
  <c r="C57" i="69"/>
  <c r="E56" i="69"/>
  <c r="G56" i="69" s="1"/>
  <c r="D56" i="69"/>
  <c r="J56" i="69" s="1"/>
  <c r="E55" i="69"/>
  <c r="G55" i="69" s="1"/>
  <c r="D55" i="69"/>
  <c r="J55" i="69" s="1"/>
  <c r="E54" i="69"/>
  <c r="G54" i="69" s="1"/>
  <c r="D54" i="69"/>
  <c r="J54" i="69" s="1"/>
  <c r="E53" i="69"/>
  <c r="G53" i="69" s="1"/>
  <c r="D53" i="69"/>
  <c r="J53" i="69" s="1"/>
  <c r="J57" i="69" s="1"/>
  <c r="F50" i="69"/>
  <c r="C50" i="69"/>
  <c r="E49" i="69"/>
  <c r="E48" i="69"/>
  <c r="E47" i="69"/>
  <c r="E46" i="69"/>
  <c r="E45" i="69"/>
  <c r="E44" i="69"/>
  <c r="E43" i="69"/>
  <c r="E42" i="69"/>
  <c r="E41" i="69"/>
  <c r="E38" i="69"/>
  <c r="F36" i="69"/>
  <c r="E35" i="69"/>
  <c r="G35" i="69" s="1"/>
  <c r="D35" i="69"/>
  <c r="J35" i="69" s="1"/>
  <c r="G34" i="69"/>
  <c r="D34" i="69"/>
  <c r="J34" i="69" s="1"/>
  <c r="J33" i="69"/>
  <c r="E33" i="69"/>
  <c r="G33" i="69" s="1"/>
  <c r="D33" i="69"/>
  <c r="E32" i="69"/>
  <c r="G32" i="69" s="1"/>
  <c r="D32" i="69" s="1"/>
  <c r="J32" i="69" s="1"/>
  <c r="C32" i="69"/>
  <c r="C36" i="69" s="1"/>
  <c r="C51" i="69" s="1"/>
  <c r="C69" i="69" s="1"/>
  <c r="E31" i="69"/>
  <c r="G31" i="69" s="1"/>
  <c r="D31" i="69"/>
  <c r="J31" i="69" s="1"/>
  <c r="E30" i="69"/>
  <c r="G30" i="69" s="1"/>
  <c r="D30" i="69"/>
  <c r="J30" i="69" s="1"/>
  <c r="E29" i="69"/>
  <c r="G29" i="69" s="1"/>
  <c r="D29" i="69"/>
  <c r="J29" i="69" s="1"/>
  <c r="E28" i="69"/>
  <c r="G28" i="69" s="1"/>
  <c r="D28" i="69"/>
  <c r="J28" i="69" s="1"/>
  <c r="E27" i="69"/>
  <c r="G27" i="69" s="1"/>
  <c r="D27" i="69"/>
  <c r="J27" i="69" s="1"/>
  <c r="E26" i="69"/>
  <c r="G26" i="69" s="1"/>
  <c r="D26" i="69"/>
  <c r="J26" i="69" s="1"/>
  <c r="E25" i="69"/>
  <c r="G25" i="69" s="1"/>
  <c r="D25" i="69"/>
  <c r="J25" i="69" s="1"/>
  <c r="E24" i="69"/>
  <c r="C21" i="69"/>
  <c r="J20" i="69"/>
  <c r="E20" i="69"/>
  <c r="G20" i="69" s="1"/>
  <c r="D20" i="69"/>
  <c r="E19" i="69"/>
  <c r="G19" i="69" s="1"/>
  <c r="D19" i="69" s="1"/>
  <c r="E18" i="69"/>
  <c r="G18" i="69" s="1"/>
  <c r="J18" i="69" s="1"/>
  <c r="D18" i="69"/>
  <c r="E17" i="69"/>
  <c r="G17" i="69" s="1"/>
  <c r="J17" i="69" s="1"/>
  <c r="D17" i="69"/>
  <c r="J16" i="69"/>
  <c r="E16" i="69"/>
  <c r="G16" i="69" s="1"/>
  <c r="D16" i="69"/>
  <c r="E15" i="69"/>
  <c r="G15" i="69" s="1"/>
  <c r="D15" i="69" s="1"/>
  <c r="D21" i="69" s="1"/>
  <c r="J57" i="47"/>
  <c r="E33" i="47"/>
  <c r="E32" i="47"/>
  <c r="E29" i="47"/>
  <c r="E57" i="47"/>
  <c r="E30" i="47"/>
  <c r="E31" i="47"/>
  <c r="G31" i="47" s="1"/>
  <c r="G30" i="47"/>
  <c r="C33" i="47"/>
  <c r="J24" i="72" l="1"/>
  <c r="J36" i="72" s="1"/>
  <c r="J51" i="72" s="1"/>
  <c r="J69" i="72" s="1"/>
  <c r="D36" i="72"/>
  <c r="D51" i="72" s="1"/>
  <c r="D69" i="72" s="1"/>
  <c r="D41" i="69"/>
  <c r="J41" i="69" s="1"/>
  <c r="D43" i="69"/>
  <c r="J43" i="69" s="1"/>
  <c r="D45" i="69"/>
  <c r="J45" i="69" s="1"/>
  <c r="D49" i="69"/>
  <c r="J49" i="69" s="1"/>
  <c r="E50" i="69"/>
  <c r="D60" i="69"/>
  <c r="J60" i="69" s="1"/>
  <c r="G60" i="69"/>
  <c r="J15" i="69"/>
  <c r="J19" i="69"/>
  <c r="G39" i="69"/>
  <c r="D39" i="69" s="1"/>
  <c r="J39" i="69" s="1"/>
  <c r="G41" i="69"/>
  <c r="G43" i="69"/>
  <c r="G45" i="69"/>
  <c r="G47" i="69"/>
  <c r="D47" i="69" s="1"/>
  <c r="J47" i="69" s="1"/>
  <c r="G49" i="69"/>
  <c r="D57" i="69"/>
  <c r="G61" i="69"/>
  <c r="D61" i="69" s="1"/>
  <c r="J61" i="69" s="1"/>
  <c r="D44" i="69"/>
  <c r="J44" i="69" s="1"/>
  <c r="E36" i="69"/>
  <c r="G24" i="69"/>
  <c r="G38" i="69"/>
  <c r="G40" i="69"/>
  <c r="D40" i="69" s="1"/>
  <c r="J40" i="69" s="1"/>
  <c r="G42" i="69"/>
  <c r="D42" i="69" s="1"/>
  <c r="J42" i="69" s="1"/>
  <c r="G44" i="69"/>
  <c r="G46" i="69"/>
  <c r="D46" i="69" s="1"/>
  <c r="J46" i="69" s="1"/>
  <c r="G48" i="69"/>
  <c r="D48" i="69" s="1"/>
  <c r="J48" i="69" s="1"/>
  <c r="G59" i="69"/>
  <c r="D59" i="69" s="1"/>
  <c r="D66" i="69" l="1"/>
  <c r="J59" i="69"/>
  <c r="J66" i="69" s="1"/>
  <c r="G50" i="69"/>
  <c r="J21" i="69"/>
  <c r="D24" i="69"/>
  <c r="G36" i="69"/>
  <c r="D38" i="69"/>
  <c r="J24" i="69" l="1"/>
  <c r="J36" i="69" s="1"/>
  <c r="D36" i="69"/>
  <c r="J38" i="69"/>
  <c r="J50" i="69" s="1"/>
  <c r="D50" i="69"/>
  <c r="E59" i="46"/>
  <c r="E49" i="46"/>
  <c r="E48" i="46"/>
  <c r="E47" i="46"/>
  <c r="E46" i="46"/>
  <c r="E45" i="46"/>
  <c r="E44" i="46"/>
  <c r="E43" i="46"/>
  <c r="E42" i="46"/>
  <c r="E41" i="46"/>
  <c r="E38" i="46"/>
  <c r="J24" i="46"/>
  <c r="J25" i="46"/>
  <c r="J26" i="46"/>
  <c r="J27" i="46"/>
  <c r="J28" i="46"/>
  <c r="J29" i="46"/>
  <c r="J30" i="46"/>
  <c r="J31" i="46"/>
  <c r="J32" i="46"/>
  <c r="J33" i="46"/>
  <c r="J35" i="46"/>
  <c r="J16" i="46"/>
  <c r="J17" i="46"/>
  <c r="J18" i="46"/>
  <c r="J19" i="46"/>
  <c r="J20" i="46"/>
  <c r="J15" i="46"/>
  <c r="E65" i="46"/>
  <c r="E64" i="46"/>
  <c r="G64" i="46" s="1"/>
  <c r="E63" i="46"/>
  <c r="E62" i="46"/>
  <c r="G62" i="46" s="1"/>
  <c r="E61" i="46"/>
  <c r="E60" i="46"/>
  <c r="E56" i="46"/>
  <c r="G56" i="46" s="1"/>
  <c r="E55" i="46"/>
  <c r="E54" i="46"/>
  <c r="E53" i="46"/>
  <c r="E35" i="46"/>
  <c r="E33" i="46"/>
  <c r="E32" i="46"/>
  <c r="E30" i="46"/>
  <c r="E29" i="46"/>
  <c r="G30" i="46"/>
  <c r="E31" i="46"/>
  <c r="G31" i="46"/>
  <c r="G35" i="46"/>
  <c r="E28" i="46"/>
  <c r="E27" i="46"/>
  <c r="E26" i="46"/>
  <c r="E25" i="46"/>
  <c r="E24" i="46"/>
  <c r="E20" i="46"/>
  <c r="E19" i="46"/>
  <c r="E18" i="46"/>
  <c r="E17" i="46"/>
  <c r="E16" i="46"/>
  <c r="E15" i="46"/>
  <c r="G65" i="46"/>
  <c r="G63" i="46"/>
  <c r="G61" i="46"/>
  <c r="G60" i="46"/>
  <c r="G59" i="46"/>
  <c r="G55" i="46"/>
  <c r="G54" i="46"/>
  <c r="G53" i="46"/>
  <c r="G49" i="46"/>
  <c r="G48" i="46"/>
  <c r="G47" i="46"/>
  <c r="G46" i="46"/>
  <c r="G45" i="46"/>
  <c r="G44" i="46"/>
  <c r="G43" i="46"/>
  <c r="G42" i="46"/>
  <c r="G41" i="46"/>
  <c r="G40" i="46"/>
  <c r="G39" i="46"/>
  <c r="G38" i="46"/>
  <c r="G34" i="46"/>
  <c r="G33" i="46"/>
  <c r="G32" i="46"/>
  <c r="G29" i="46"/>
  <c r="G28" i="46"/>
  <c r="G27" i="46"/>
  <c r="G26" i="46"/>
  <c r="G25" i="46"/>
  <c r="G24" i="46"/>
  <c r="G20" i="46"/>
  <c r="G19" i="46"/>
  <c r="G18" i="46"/>
  <c r="G17" i="46"/>
  <c r="G16" i="46"/>
  <c r="G15" i="46"/>
  <c r="D51" i="69" l="1"/>
  <c r="D69" i="69" s="1"/>
  <c r="J51" i="69"/>
  <c r="J69" i="69" s="1"/>
  <c r="EQ19" i="75"/>
  <c r="EG19" i="75"/>
  <c r="DS99" i="76"/>
  <c r="DS65" i="76"/>
  <c r="DS68" i="76"/>
  <c r="DS64" i="76"/>
  <c r="DW18" i="75"/>
  <c r="EF68" i="76"/>
  <c r="EF64" i="76"/>
  <c r="EF65" i="76"/>
  <c r="EF67" i="76"/>
  <c r="ES67" i="76"/>
  <c r="DS67" i="76"/>
  <c r="DF75" i="76" l="1"/>
  <c r="DF67" i="76"/>
  <c r="I108" i="72" l="1"/>
  <c r="I257" i="72"/>
  <c r="I261" i="72"/>
  <c r="I249" i="72"/>
  <c r="I236" i="72"/>
  <c r="I240" i="72"/>
  <c r="I244" i="72"/>
  <c r="J334" i="72"/>
  <c r="J489" i="72"/>
  <c r="J488" i="72"/>
  <c r="J487" i="72"/>
  <c r="I471" i="72"/>
  <c r="I470" i="72"/>
  <c r="I469" i="72"/>
  <c r="L468" i="72"/>
  <c r="J461" i="72"/>
  <c r="J460" i="72"/>
  <c r="G462" i="72" s="1"/>
  <c r="I450" i="72"/>
  <c r="I443" i="72"/>
  <c r="I436" i="72"/>
  <c r="I434" i="72"/>
  <c r="I431" i="72" s="1"/>
  <c r="I426" i="72"/>
  <c r="I418" i="72"/>
  <c r="I421" i="72" s="1"/>
  <c r="I414" i="72"/>
  <c r="I411" i="72"/>
  <c r="I404" i="72"/>
  <c r="I407" i="72" s="1"/>
  <c r="I397" i="72"/>
  <c r="I400" i="72" s="1"/>
  <c r="I391" i="72"/>
  <c r="I390" i="72"/>
  <c r="I389" i="72"/>
  <c r="I388" i="72"/>
  <c r="I387" i="72"/>
  <c r="I386" i="72"/>
  <c r="I385" i="72"/>
  <c r="I384" i="72"/>
  <c r="I382" i="72"/>
  <c r="I381" i="72"/>
  <c r="I380" i="72"/>
  <c r="I379" i="72"/>
  <c r="I378" i="72"/>
  <c r="I377" i="72"/>
  <c r="I376" i="72"/>
  <c r="I375" i="72"/>
  <c r="I374" i="72"/>
  <c r="I373" i="72"/>
  <c r="I372" i="72"/>
  <c r="I364" i="72"/>
  <c r="I392" i="72" s="1"/>
  <c r="I362" i="72"/>
  <c r="I357" i="72"/>
  <c r="I358" i="72" s="1"/>
  <c r="J348" i="72"/>
  <c r="J346" i="72"/>
  <c r="I472" i="72" s="1"/>
  <c r="J341" i="72"/>
  <c r="K340" i="72"/>
  <c r="K338" i="72"/>
  <c r="K335" i="72"/>
  <c r="J333" i="72"/>
  <c r="J332" i="72"/>
  <c r="J331" i="72"/>
  <c r="J330" i="72"/>
  <c r="I329" i="72"/>
  <c r="J329" i="72" s="1"/>
  <c r="J328" i="72"/>
  <c r="J327" i="72"/>
  <c r="J326" i="72"/>
  <c r="J325" i="72"/>
  <c r="J324" i="72"/>
  <c r="J323" i="72"/>
  <c r="J322" i="72"/>
  <c r="J321" i="72"/>
  <c r="J320" i="72"/>
  <c r="J319" i="72"/>
  <c r="J318" i="72"/>
  <c r="J317" i="72"/>
  <c r="J316" i="72"/>
  <c r="I314" i="72"/>
  <c r="J313" i="72"/>
  <c r="J312" i="72"/>
  <c r="J311" i="72"/>
  <c r="J302" i="72"/>
  <c r="I301" i="72"/>
  <c r="J301" i="72" s="1"/>
  <c r="J299" i="72"/>
  <c r="J298" i="72"/>
  <c r="J297" i="72"/>
  <c r="J296" i="72"/>
  <c r="J295" i="72"/>
  <c r="J294" i="72"/>
  <c r="J292" i="72"/>
  <c r="J291" i="72"/>
  <c r="J290" i="72"/>
  <c r="J289" i="72"/>
  <c r="J288" i="72"/>
  <c r="J286" i="72"/>
  <c r="J285" i="72"/>
  <c r="J284" i="72"/>
  <c r="J283" i="72"/>
  <c r="J281" i="72"/>
  <c r="O280" i="72"/>
  <c r="J280" i="72"/>
  <c r="P279" i="72"/>
  <c r="J279" i="72"/>
  <c r="I278" i="72"/>
  <c r="J278" i="72" s="1"/>
  <c r="J276" i="72"/>
  <c r="J274" i="72"/>
  <c r="E261" i="72"/>
  <c r="E260" i="72"/>
  <c r="I260" i="72" s="1"/>
  <c r="I259" i="72"/>
  <c r="E259" i="72"/>
  <c r="H258" i="72"/>
  <c r="E258" i="72"/>
  <c r="O259" i="72" s="1"/>
  <c r="E256" i="72"/>
  <c r="I256" i="72" s="1"/>
  <c r="E255" i="72"/>
  <c r="I255" i="72" s="1"/>
  <c r="H254" i="72"/>
  <c r="E248" i="72"/>
  <c r="I248" i="72" s="1"/>
  <c r="O247" i="72"/>
  <c r="E247" i="72"/>
  <c r="I247" i="72" s="1"/>
  <c r="E246" i="72"/>
  <c r="I245" i="72"/>
  <c r="E243" i="72"/>
  <c r="I243" i="72" s="1"/>
  <c r="E242" i="72"/>
  <c r="I242" i="72" s="1"/>
  <c r="H241" i="72"/>
  <c r="E239" i="72"/>
  <c r="I239" i="72" s="1"/>
  <c r="E238" i="72"/>
  <c r="I238" i="72" s="1"/>
  <c r="H237" i="72"/>
  <c r="E235" i="72"/>
  <c r="I235" i="72" s="1"/>
  <c r="E234" i="72"/>
  <c r="E233" i="72" s="1"/>
  <c r="O235" i="72" s="1"/>
  <c r="H233" i="72"/>
  <c r="I232" i="72"/>
  <c r="H232" i="72"/>
  <c r="H231" i="72"/>
  <c r="E231" i="72"/>
  <c r="I231" i="72" s="1"/>
  <c r="I230" i="72"/>
  <c r="H230" i="72"/>
  <c r="E230" i="72"/>
  <c r="H229" i="72"/>
  <c r="I224" i="72"/>
  <c r="I225" i="72" s="1"/>
  <c r="I217" i="72"/>
  <c r="I213" i="72"/>
  <c r="I212" i="72"/>
  <c r="I219" i="72" s="1"/>
  <c r="I205" i="72"/>
  <c r="E204" i="72"/>
  <c r="I188" i="72"/>
  <c r="I177" i="72"/>
  <c r="G176" i="72"/>
  <c r="I174" i="72"/>
  <c r="J338" i="72" s="1"/>
  <c r="I168" i="72"/>
  <c r="I129" i="72"/>
  <c r="I122" i="72"/>
  <c r="I111" i="72"/>
  <c r="N109" i="72"/>
  <c r="I109" i="72"/>
  <c r="I117" i="72" s="1"/>
  <c r="N108" i="72"/>
  <c r="I106" i="72"/>
  <c r="I101" i="72"/>
  <c r="K94" i="72"/>
  <c r="J93" i="72"/>
  <c r="C88" i="72"/>
  <c r="G87" i="72"/>
  <c r="D87" i="72" s="1"/>
  <c r="J87" i="72" s="1"/>
  <c r="G86" i="72"/>
  <c r="D86" i="72" s="1"/>
  <c r="J86" i="72" s="1"/>
  <c r="G85" i="72"/>
  <c r="D85" i="72" s="1"/>
  <c r="J85" i="72" s="1"/>
  <c r="G84" i="72"/>
  <c r="D84" i="72"/>
  <c r="J84" i="72" s="1"/>
  <c r="J83" i="72"/>
  <c r="G83" i="72"/>
  <c r="D83" i="72"/>
  <c r="K50" i="72"/>
  <c r="K37" i="72"/>
  <c r="Q36" i="72"/>
  <c r="L36" i="72"/>
  <c r="L34" i="72"/>
  <c r="K34" i="72"/>
  <c r="L33" i="72"/>
  <c r="L30" i="72"/>
  <c r="L29" i="72"/>
  <c r="L26" i="72"/>
  <c r="L25" i="72"/>
  <c r="L24" i="72"/>
  <c r="L15" i="72"/>
  <c r="I108" i="69"/>
  <c r="I109" i="69"/>
  <c r="I257" i="69"/>
  <c r="I232" i="69"/>
  <c r="I236" i="69"/>
  <c r="I240" i="69"/>
  <c r="I244" i="69"/>
  <c r="I249" i="69"/>
  <c r="J93" i="69"/>
  <c r="G144" i="69" s="1"/>
  <c r="J334" i="69"/>
  <c r="DS40" i="76"/>
  <c r="EF40" i="76"/>
  <c r="J488" i="69"/>
  <c r="I471" i="69"/>
  <c r="I470" i="69"/>
  <c r="I469" i="69"/>
  <c r="L468" i="69"/>
  <c r="J461" i="69"/>
  <c r="J460" i="69"/>
  <c r="I450" i="69"/>
  <c r="I443" i="69"/>
  <c r="I436" i="69"/>
  <c r="I434" i="69"/>
  <c r="I431" i="69"/>
  <c r="I426" i="69"/>
  <c r="I418" i="69"/>
  <c r="I421" i="69" s="1"/>
  <c r="I411" i="69"/>
  <c r="I414" i="69" s="1"/>
  <c r="I407" i="69"/>
  <c r="I404" i="69"/>
  <c r="I397" i="69"/>
  <c r="I391" i="69"/>
  <c r="I390" i="69"/>
  <c r="I389" i="69"/>
  <c r="I388" i="69"/>
  <c r="I387" i="69"/>
  <c r="I386" i="69"/>
  <c r="I385" i="69"/>
  <c r="I384" i="69"/>
  <c r="I382" i="69"/>
  <c r="I381" i="69"/>
  <c r="I380" i="69"/>
  <c r="I379" i="69"/>
  <c r="I378" i="69"/>
  <c r="I377" i="69"/>
  <c r="I376" i="69"/>
  <c r="I375" i="69"/>
  <c r="I374" i="69"/>
  <c r="I371" i="69" s="1"/>
  <c r="I373" i="69"/>
  <c r="I372" i="69"/>
  <c r="I364" i="69"/>
  <c r="I392" i="69" s="1"/>
  <c r="I362" i="69"/>
  <c r="I357" i="69"/>
  <c r="I358" i="69" s="1"/>
  <c r="J348" i="69"/>
  <c r="J346" i="69"/>
  <c r="I472" i="69" s="1"/>
  <c r="J341" i="69"/>
  <c r="J489" i="69"/>
  <c r="K338" i="69"/>
  <c r="J332" i="69"/>
  <c r="J331" i="69"/>
  <c r="J330" i="69"/>
  <c r="I329" i="69"/>
  <c r="J329" i="69" s="1"/>
  <c r="J328" i="69"/>
  <c r="J327" i="69"/>
  <c r="J326" i="69"/>
  <c r="J325" i="69"/>
  <c r="J324" i="69"/>
  <c r="J323" i="69"/>
  <c r="J322" i="69"/>
  <c r="J321" i="69"/>
  <c r="J320" i="69"/>
  <c r="J319" i="69"/>
  <c r="J318" i="69"/>
  <c r="J317" i="69"/>
  <c r="J316" i="69"/>
  <c r="I314" i="69"/>
  <c r="J313" i="69"/>
  <c r="J312" i="69"/>
  <c r="J311" i="69"/>
  <c r="J302" i="69"/>
  <c r="I301" i="69"/>
  <c r="J301" i="69" s="1"/>
  <c r="J299" i="69"/>
  <c r="J298" i="69"/>
  <c r="J297" i="69"/>
  <c r="J296" i="69"/>
  <c r="J295" i="69"/>
  <c r="J294" i="69"/>
  <c r="J292" i="69"/>
  <c r="J291" i="69"/>
  <c r="J290" i="69"/>
  <c r="J289" i="69"/>
  <c r="J288" i="69"/>
  <c r="J286" i="69"/>
  <c r="J285" i="69"/>
  <c r="J284" i="69"/>
  <c r="J283" i="69"/>
  <c r="J281" i="69"/>
  <c r="O280" i="69"/>
  <c r="J280" i="69"/>
  <c r="P279" i="69"/>
  <c r="J279" i="69"/>
  <c r="J278" i="69"/>
  <c r="G304" i="69" s="1"/>
  <c r="I278" i="69"/>
  <c r="J276" i="69"/>
  <c r="J274" i="69"/>
  <c r="E261" i="69"/>
  <c r="I261" i="69" s="1"/>
  <c r="E260" i="69"/>
  <c r="I260" i="69" s="1"/>
  <c r="E259" i="69"/>
  <c r="I259" i="69" s="1"/>
  <c r="H258" i="69"/>
  <c r="E256" i="69"/>
  <c r="I256" i="69" s="1"/>
  <c r="E255" i="69"/>
  <c r="I255" i="69" s="1"/>
  <c r="M255" i="69" s="1"/>
  <c r="H254" i="69"/>
  <c r="E248" i="69"/>
  <c r="I248" i="69" s="1"/>
  <c r="O247" i="69"/>
  <c r="I247" i="69"/>
  <c r="E247" i="69"/>
  <c r="E246" i="69"/>
  <c r="I245" i="69"/>
  <c r="E243" i="69"/>
  <c r="I243" i="69" s="1"/>
  <c r="I241" i="69" s="1"/>
  <c r="E242" i="69"/>
  <c r="I242" i="69" s="1"/>
  <c r="H241" i="69"/>
  <c r="E239" i="69"/>
  <c r="I239" i="69" s="1"/>
  <c r="E238" i="69"/>
  <c r="H237" i="69"/>
  <c r="E235" i="69"/>
  <c r="I235" i="69" s="1"/>
  <c r="I234" i="69"/>
  <c r="I233" i="69" s="1"/>
  <c r="E234" i="69"/>
  <c r="H233" i="69"/>
  <c r="E233" i="69"/>
  <c r="O235" i="69" s="1"/>
  <c r="H232" i="69"/>
  <c r="H231" i="69"/>
  <c r="E231" i="69"/>
  <c r="I231" i="69" s="1"/>
  <c r="H230" i="69"/>
  <c r="E230" i="69"/>
  <c r="H229" i="69"/>
  <c r="I224" i="69"/>
  <c r="I225" i="69" s="1"/>
  <c r="I217" i="69"/>
  <c r="I213" i="69"/>
  <c r="I212" i="69"/>
  <c r="I219" i="69" s="1"/>
  <c r="I205" i="69"/>
  <c r="E204" i="69"/>
  <c r="I188" i="69"/>
  <c r="I177" i="69"/>
  <c r="G176" i="69"/>
  <c r="I174" i="69"/>
  <c r="J338" i="69" s="1"/>
  <c r="I168" i="69"/>
  <c r="I129" i="69"/>
  <c r="I122" i="69"/>
  <c r="I111" i="69"/>
  <c r="N109" i="69"/>
  <c r="N108" i="69"/>
  <c r="I106" i="69"/>
  <c r="I101" i="69"/>
  <c r="K94" i="69"/>
  <c r="C88" i="69"/>
  <c r="G87" i="69"/>
  <c r="D87" i="69" s="1"/>
  <c r="J87" i="69" s="1"/>
  <c r="G86" i="69"/>
  <c r="D86" i="69"/>
  <c r="J86" i="69" s="1"/>
  <c r="G85" i="69"/>
  <c r="D85" i="69"/>
  <c r="J85" i="69" s="1"/>
  <c r="G84" i="69"/>
  <c r="D84" i="69" s="1"/>
  <c r="J84" i="69" s="1"/>
  <c r="G83" i="69"/>
  <c r="D83" i="69" s="1"/>
  <c r="K50" i="69"/>
  <c r="K37" i="69"/>
  <c r="Q36" i="69"/>
  <c r="L36" i="69"/>
  <c r="L34" i="69"/>
  <c r="K34" i="69"/>
  <c r="L33" i="69"/>
  <c r="L30" i="69"/>
  <c r="L29" i="69"/>
  <c r="L26" i="69"/>
  <c r="L25" i="69"/>
  <c r="L24" i="69"/>
  <c r="K94" i="46"/>
  <c r="I472" i="46"/>
  <c r="I454" i="72" l="1"/>
  <c r="I234" i="72"/>
  <c r="L230" i="72" s="1"/>
  <c r="D88" i="72"/>
  <c r="D93" i="72" s="1"/>
  <c r="E229" i="72"/>
  <c r="O231" i="72" s="1"/>
  <c r="G304" i="72"/>
  <c r="E237" i="72"/>
  <c r="O239" i="72" s="1"/>
  <c r="I254" i="72"/>
  <c r="I144" i="69"/>
  <c r="G151" i="69"/>
  <c r="I151" i="69" s="1"/>
  <c r="E229" i="69"/>
  <c r="O231" i="69" s="1"/>
  <c r="I258" i="69"/>
  <c r="I254" i="69"/>
  <c r="I230" i="69"/>
  <c r="E237" i="69"/>
  <c r="O239" i="69" s="1"/>
  <c r="E258" i="69"/>
  <c r="O259" i="69" s="1"/>
  <c r="I233" i="72"/>
  <c r="I258" i="72"/>
  <c r="I262" i="72" s="1"/>
  <c r="I241" i="72"/>
  <c r="I237" i="72"/>
  <c r="L238" i="72"/>
  <c r="I246" i="72"/>
  <c r="M255" i="72"/>
  <c r="J88" i="72"/>
  <c r="G144" i="72"/>
  <c r="J309" i="72"/>
  <c r="I468" i="72"/>
  <c r="J337" i="72"/>
  <c r="L333" i="72" s="1"/>
  <c r="J490" i="72"/>
  <c r="I229" i="72"/>
  <c r="I474" i="72"/>
  <c r="I371" i="72"/>
  <c r="E241" i="72"/>
  <c r="O243" i="72" s="1"/>
  <c r="O250" i="72" s="1"/>
  <c r="E254" i="72"/>
  <c r="O255" i="72" s="1"/>
  <c r="O262" i="72" s="1"/>
  <c r="I117" i="69"/>
  <c r="G154" i="69"/>
  <c r="I154" i="69" s="1"/>
  <c r="I142" i="69"/>
  <c r="G149" i="69"/>
  <c r="I149" i="69" s="1"/>
  <c r="I147" i="69" s="1"/>
  <c r="I246" i="69"/>
  <c r="L230" i="69"/>
  <c r="K27" i="69"/>
  <c r="D88" i="69"/>
  <c r="D93" i="69" s="1"/>
  <c r="J309" i="69"/>
  <c r="L15" i="69"/>
  <c r="J83" i="69"/>
  <c r="J88" i="69" s="1"/>
  <c r="J491" i="69"/>
  <c r="J337" i="69"/>
  <c r="I229" i="69"/>
  <c r="I238" i="69"/>
  <c r="I262" i="69"/>
  <c r="J490" i="69"/>
  <c r="J333" i="69"/>
  <c r="K340" i="69"/>
  <c r="K335" i="69"/>
  <c r="I454" i="69"/>
  <c r="I400" i="69"/>
  <c r="G462" i="69"/>
  <c r="I468" i="69"/>
  <c r="E241" i="69"/>
  <c r="O243" i="69" s="1"/>
  <c r="O250" i="69" s="1"/>
  <c r="E254" i="69"/>
  <c r="O255" i="69" s="1"/>
  <c r="O262" i="69" s="1"/>
  <c r="DF39" i="76"/>
  <c r="I155" i="69" l="1"/>
  <c r="I473" i="69" s="1"/>
  <c r="K27" i="72"/>
  <c r="K474" i="72"/>
  <c r="L474" i="72"/>
  <c r="L477" i="72"/>
  <c r="M468" i="72"/>
  <c r="G154" i="72"/>
  <c r="I154" i="72" s="1"/>
  <c r="G149" i="72"/>
  <c r="I149" i="72" s="1"/>
  <c r="G151" i="72"/>
  <c r="I151" i="72" s="1"/>
  <c r="I144" i="72"/>
  <c r="I142" i="72" s="1"/>
  <c r="I250" i="72"/>
  <c r="G353" i="72"/>
  <c r="J73" i="69"/>
  <c r="L333" i="69"/>
  <c r="I474" i="69"/>
  <c r="L478" i="69" s="1"/>
  <c r="M468" i="69"/>
  <c r="I237" i="69"/>
  <c r="I250" i="69" s="1"/>
  <c r="I263" i="69" s="1"/>
  <c r="L238" i="69"/>
  <c r="G353" i="69"/>
  <c r="DF46" i="76"/>
  <c r="DF35" i="76" s="1"/>
  <c r="DF40" i="76"/>
  <c r="I222" i="74"/>
  <c r="I219" i="74"/>
  <c r="I216" i="74"/>
  <c r="I387" i="74"/>
  <c r="I385" i="74"/>
  <c r="J379" i="74"/>
  <c r="J378" i="74"/>
  <c r="G380" i="74" s="1"/>
  <c r="I369" i="74"/>
  <c r="I361" i="74"/>
  <c r="I355" i="74"/>
  <c r="I350" i="74"/>
  <c r="I349" i="74"/>
  <c r="I343" i="74"/>
  <c r="I336" i="74"/>
  <c r="I339" i="74" s="1"/>
  <c r="I329" i="74"/>
  <c r="I332" i="74" s="1"/>
  <c r="I322" i="74"/>
  <c r="I325" i="74" s="1"/>
  <c r="I315" i="74"/>
  <c r="I310" i="74"/>
  <c r="I305" i="74"/>
  <c r="I300" i="74"/>
  <c r="I298" i="74"/>
  <c r="I294" i="74"/>
  <c r="B289" i="74"/>
  <c r="J284" i="74"/>
  <c r="J282" i="74"/>
  <c r="J279" i="74"/>
  <c r="J277" i="74"/>
  <c r="J275" i="74"/>
  <c r="J262" i="74"/>
  <c r="J259" i="74" s="1"/>
  <c r="J240" i="74"/>
  <c r="G254" i="74" s="1"/>
  <c r="I226" i="74"/>
  <c r="I225" i="74"/>
  <c r="I224" i="74"/>
  <c r="E224" i="74"/>
  <c r="I223" i="74"/>
  <c r="I221" i="74"/>
  <c r="M221" i="74"/>
  <c r="H221" i="74"/>
  <c r="E221" i="74"/>
  <c r="I220" i="74"/>
  <c r="I218" i="74"/>
  <c r="H218" i="74"/>
  <c r="E218" i="74"/>
  <c r="I217" i="74"/>
  <c r="I215" i="74"/>
  <c r="H215" i="74"/>
  <c r="E215" i="74"/>
  <c r="I214" i="74"/>
  <c r="I213" i="74"/>
  <c r="I212" i="74"/>
  <c r="H212" i="74"/>
  <c r="E212" i="74"/>
  <c r="I211" i="74"/>
  <c r="I210" i="74"/>
  <c r="I209" i="74" s="1"/>
  <c r="H209" i="74"/>
  <c r="E209" i="74"/>
  <c r="I208" i="74"/>
  <c r="I207" i="74"/>
  <c r="H206" i="74"/>
  <c r="E206" i="74"/>
  <c r="I201" i="74"/>
  <c r="I202" i="74" s="1"/>
  <c r="I194" i="74"/>
  <c r="I196" i="74" s="1"/>
  <c r="I189" i="74"/>
  <c r="I182" i="74"/>
  <c r="I166" i="74"/>
  <c r="I155" i="74"/>
  <c r="G132" i="74"/>
  <c r="G139" i="74" s="1"/>
  <c r="I139" i="74" s="1"/>
  <c r="G126" i="74"/>
  <c r="I126" i="74" s="1"/>
  <c r="G123" i="74"/>
  <c r="I123" i="74" s="1"/>
  <c r="G121" i="74"/>
  <c r="I121" i="74" s="1"/>
  <c r="I117" i="74"/>
  <c r="I114" i="74" s="1"/>
  <c r="I116" i="74"/>
  <c r="I109" i="74"/>
  <c r="I110" i="74" s="1"/>
  <c r="I99" i="74"/>
  <c r="I105" i="74" s="1"/>
  <c r="J94" i="74"/>
  <c r="E93" i="74"/>
  <c r="E92" i="74"/>
  <c r="C81" i="74"/>
  <c r="G80" i="74"/>
  <c r="D80" i="74"/>
  <c r="J80" i="74" s="1"/>
  <c r="G79" i="74"/>
  <c r="D79" i="74" s="1"/>
  <c r="J79" i="74" s="1"/>
  <c r="G78" i="74"/>
  <c r="D78" i="74"/>
  <c r="J78" i="74" s="1"/>
  <c r="G77" i="74"/>
  <c r="D77" i="74" s="1"/>
  <c r="J77" i="74" s="1"/>
  <c r="G76" i="74"/>
  <c r="D76" i="74"/>
  <c r="J76" i="74" s="1"/>
  <c r="D21" i="74"/>
  <c r="C21" i="74"/>
  <c r="J20" i="74"/>
  <c r="J19" i="74"/>
  <c r="G19" i="74"/>
  <c r="L18" i="74"/>
  <c r="J18" i="74"/>
  <c r="G18" i="74"/>
  <c r="J17" i="74"/>
  <c r="G17" i="74"/>
  <c r="J16" i="74"/>
  <c r="J15" i="74"/>
  <c r="N8" i="74"/>
  <c r="I119" i="74" l="1"/>
  <c r="I127" i="74" s="1"/>
  <c r="I206" i="74"/>
  <c r="G289" i="74"/>
  <c r="I372" i="74"/>
  <c r="G137" i="74"/>
  <c r="I137" i="74" s="1"/>
  <c r="J21" i="74"/>
  <c r="G142" i="74"/>
  <c r="I142" i="74" s="1"/>
  <c r="I155" i="72"/>
  <c r="I473" i="72" s="1"/>
  <c r="J73" i="72"/>
  <c r="J94" i="72" s="1"/>
  <c r="K464" i="72"/>
  <c r="I466" i="72"/>
  <c r="I263" i="72"/>
  <c r="I147" i="72"/>
  <c r="K464" i="69"/>
  <c r="I466" i="69"/>
  <c r="G128" i="69"/>
  <c r="J94" i="69"/>
  <c r="N73" i="69"/>
  <c r="L94" i="69"/>
  <c r="L474" i="69"/>
  <c r="K474" i="69"/>
  <c r="K218" i="74"/>
  <c r="J87" i="74"/>
  <c r="D81" i="74"/>
  <c r="D86" i="74" s="1"/>
  <c r="I227" i="74"/>
  <c r="J81" i="74"/>
  <c r="I135" i="74"/>
  <c r="I132" i="74"/>
  <c r="I130" i="74" s="1"/>
  <c r="I318" i="74"/>
  <c r="I143" i="74" l="1"/>
  <c r="I145" i="74" s="1"/>
  <c r="G128" i="72"/>
  <c r="N73" i="72"/>
  <c r="L94" i="72"/>
  <c r="G138" i="69"/>
  <c r="I138" i="69" s="1"/>
  <c r="G133" i="69"/>
  <c r="I133" i="69" s="1"/>
  <c r="I128" i="69"/>
  <c r="I126" i="69" s="1"/>
  <c r="G135" i="69"/>
  <c r="I135" i="69" s="1"/>
  <c r="J68" i="74"/>
  <c r="I384" i="74"/>
  <c r="L394" i="74" s="1"/>
  <c r="G138" i="72" l="1"/>
  <c r="I138" i="72" s="1"/>
  <c r="G133" i="72"/>
  <c r="I133" i="72" s="1"/>
  <c r="I128" i="72"/>
  <c r="I126" i="72" s="1"/>
  <c r="G135" i="72"/>
  <c r="I135" i="72" s="1"/>
  <c r="I131" i="69"/>
  <c r="I139" i="69" s="1"/>
  <c r="I382" i="74"/>
  <c r="I131" i="72" l="1"/>
  <c r="I139" i="72" s="1"/>
  <c r="I158" i="69"/>
  <c r="I464" i="69" s="1"/>
  <c r="I467" i="69"/>
  <c r="L464" i="69" s="1"/>
  <c r="I158" i="72" l="1"/>
  <c r="I464" i="72" s="1"/>
  <c r="I467" i="72"/>
  <c r="L464" i="72" s="1"/>
  <c r="J491" i="46" l="1"/>
  <c r="J338" i="46"/>
  <c r="J493" i="46"/>
  <c r="J492" i="46"/>
  <c r="J490" i="46"/>
  <c r="J334" i="46"/>
  <c r="J339" i="46"/>
  <c r="J340" i="46"/>
  <c r="J333" i="46"/>
  <c r="I216" i="71"/>
  <c r="I219" i="71"/>
  <c r="K338" i="46" l="1"/>
  <c r="I387" i="71"/>
  <c r="I385" i="71"/>
  <c r="G380" i="71"/>
  <c r="J379" i="71"/>
  <c r="J378" i="71"/>
  <c r="I369" i="71"/>
  <c r="I361" i="71"/>
  <c r="I355" i="71"/>
  <c r="I350" i="71"/>
  <c r="I349" i="71" s="1"/>
  <c r="I343" i="71"/>
  <c r="I336" i="71"/>
  <c r="I339" i="71" s="1"/>
  <c r="I332" i="71"/>
  <c r="I329" i="71"/>
  <c r="I322" i="71"/>
  <c r="I325" i="71" s="1"/>
  <c r="I315" i="71"/>
  <c r="I318" i="71" s="1"/>
  <c r="I305" i="71"/>
  <c r="I300" i="71"/>
  <c r="I298" i="71"/>
  <c r="I294" i="71"/>
  <c r="B289" i="71"/>
  <c r="J284" i="71"/>
  <c r="J282" i="71"/>
  <c r="J279" i="71"/>
  <c r="J277" i="71"/>
  <c r="J275" i="71"/>
  <c r="J262" i="71"/>
  <c r="J259" i="71"/>
  <c r="J240" i="71"/>
  <c r="G254" i="71" s="1"/>
  <c r="I226" i="71"/>
  <c r="I225" i="71"/>
  <c r="I224" i="71" s="1"/>
  <c r="E224" i="71"/>
  <c r="I223" i="71"/>
  <c r="I222" i="71"/>
  <c r="M221" i="71"/>
  <c r="H221" i="71"/>
  <c r="E221" i="71"/>
  <c r="I220" i="71"/>
  <c r="I218" i="71"/>
  <c r="H218" i="71"/>
  <c r="E218" i="71"/>
  <c r="I217" i="71"/>
  <c r="I215" i="71"/>
  <c r="H215" i="71"/>
  <c r="E215" i="71"/>
  <c r="I214" i="71"/>
  <c r="I213" i="71"/>
  <c r="H212" i="71"/>
  <c r="E212" i="71"/>
  <c r="I211" i="71"/>
  <c r="I210" i="71"/>
  <c r="I209" i="71" s="1"/>
  <c r="H209" i="71"/>
  <c r="E209" i="71"/>
  <c r="I208" i="71"/>
  <c r="I207" i="71"/>
  <c r="I206" i="71"/>
  <c r="H206" i="71"/>
  <c r="E206" i="71"/>
  <c r="I201" i="71"/>
  <c r="I202" i="71" s="1"/>
  <c r="I194" i="71"/>
  <c r="I189" i="71"/>
  <c r="I182" i="71"/>
  <c r="I166" i="71"/>
  <c r="I155" i="71"/>
  <c r="G139" i="71"/>
  <c r="I139" i="71" s="1"/>
  <c r="G137" i="71"/>
  <c r="I137" i="71" s="1"/>
  <c r="I132" i="71"/>
  <c r="I130" i="71" s="1"/>
  <c r="G132" i="71"/>
  <c r="G142" i="71" s="1"/>
  <c r="I142" i="71" s="1"/>
  <c r="I126" i="71"/>
  <c r="G126" i="71"/>
  <c r="G123" i="71"/>
  <c r="I123" i="71" s="1"/>
  <c r="G121" i="71"/>
  <c r="I121" i="71" s="1"/>
  <c r="I119" i="71" s="1"/>
  <c r="I117" i="71"/>
  <c r="I116" i="71"/>
  <c r="I114" i="71" s="1"/>
  <c r="I109" i="71"/>
  <c r="I110" i="71" s="1"/>
  <c r="I105" i="71"/>
  <c r="I99" i="71"/>
  <c r="J94" i="71"/>
  <c r="E93" i="71"/>
  <c r="E92" i="71"/>
  <c r="C81" i="71"/>
  <c r="G80" i="71"/>
  <c r="D80" i="71" s="1"/>
  <c r="J80" i="71" s="1"/>
  <c r="G79" i="71"/>
  <c r="D79" i="71" s="1"/>
  <c r="J79" i="71" s="1"/>
  <c r="J78" i="71"/>
  <c r="G78" i="71"/>
  <c r="D78" i="71"/>
  <c r="G77" i="71"/>
  <c r="D77" i="71" s="1"/>
  <c r="J77" i="71" s="1"/>
  <c r="G76" i="71"/>
  <c r="D76" i="71" s="1"/>
  <c r="J76" i="71" s="1"/>
  <c r="J81" i="71" s="1"/>
  <c r="G28" i="71"/>
  <c r="D28" i="71"/>
  <c r="J28" i="71" s="1"/>
  <c r="G27" i="71"/>
  <c r="D27" i="71" s="1"/>
  <c r="J27" i="71" s="1"/>
  <c r="G26" i="71"/>
  <c r="D26" i="71" s="1"/>
  <c r="J26" i="71" s="1"/>
  <c r="D25" i="71"/>
  <c r="J25" i="71" s="1"/>
  <c r="G24" i="71"/>
  <c r="D24" i="71"/>
  <c r="J24" i="71" s="1"/>
  <c r="D21" i="71"/>
  <c r="C21" i="71"/>
  <c r="J20" i="71"/>
  <c r="J19" i="71"/>
  <c r="G19" i="71"/>
  <c r="L18" i="71"/>
  <c r="J18" i="71"/>
  <c r="G18" i="71"/>
  <c r="J17" i="71"/>
  <c r="G17" i="71"/>
  <c r="J16" i="71"/>
  <c r="J15" i="71"/>
  <c r="J21" i="71" s="1"/>
  <c r="N8" i="71"/>
  <c r="I216" i="47"/>
  <c r="I219" i="47"/>
  <c r="I222" i="47"/>
  <c r="I422" i="73"/>
  <c r="I418" i="73"/>
  <c r="I415" i="73"/>
  <c r="I413" i="73"/>
  <c r="I411" i="73"/>
  <c r="J406" i="73"/>
  <c r="J405" i="73"/>
  <c r="G407" i="73" s="1"/>
  <c r="I398" i="73"/>
  <c r="I386" i="73"/>
  <c r="I420" i="73" s="1"/>
  <c r="I383" i="73"/>
  <c r="I380" i="73"/>
  <c r="I377" i="73"/>
  <c r="I378" i="73" s="1"/>
  <c r="I365" i="73"/>
  <c r="I366" i="73" s="1"/>
  <c r="I359" i="73"/>
  <c r="I349" i="73"/>
  <c r="I352" i="73" s="1"/>
  <c r="I342" i="73"/>
  <c r="I345" i="73" s="1"/>
  <c r="I336" i="73"/>
  <c r="I338" i="73" s="1"/>
  <c r="I327" i="73"/>
  <c r="I331" i="73" s="1"/>
  <c r="I320" i="73"/>
  <c r="I319" i="73"/>
  <c r="I316" i="73"/>
  <c r="I315" i="73"/>
  <c r="I414" i="73" s="1"/>
  <c r="G310" i="73"/>
  <c r="I307" i="73"/>
  <c r="J294" i="73"/>
  <c r="J292" i="73"/>
  <c r="J289" i="73"/>
  <c r="I282" i="73"/>
  <c r="J277" i="73"/>
  <c r="J257" i="73"/>
  <c r="I417" i="73" s="1"/>
  <c r="J255" i="73"/>
  <c r="J254" i="73"/>
  <c r="J253" i="73"/>
  <c r="I241" i="73"/>
  <c r="E238" i="73"/>
  <c r="E237" i="73"/>
  <c r="H235" i="73"/>
  <c r="E235" i="73"/>
  <c r="E234" i="73"/>
  <c r="K232" i="73"/>
  <c r="H232" i="73"/>
  <c r="E232" i="73"/>
  <c r="E231" i="73"/>
  <c r="E230" i="73"/>
  <c r="H229" i="73"/>
  <c r="E229" i="73"/>
  <c r="E228" i="73"/>
  <c r="H226" i="73"/>
  <c r="E226" i="73"/>
  <c r="E225" i="73"/>
  <c r="E223" i="73" s="1"/>
  <c r="E224" i="73"/>
  <c r="H223" i="73"/>
  <c r="I218" i="73"/>
  <c r="I219" i="73" s="1"/>
  <c r="I211" i="73"/>
  <c r="I206" i="73"/>
  <c r="I213" i="73" s="1"/>
  <c r="I198" i="73"/>
  <c r="I197" i="73"/>
  <c r="I199" i="73" s="1"/>
  <c r="I183" i="73"/>
  <c r="I172" i="73"/>
  <c r="G149" i="73"/>
  <c r="G159" i="73" s="1"/>
  <c r="I159" i="73" s="1"/>
  <c r="I134" i="73"/>
  <c r="I126" i="73"/>
  <c r="I127" i="73" s="1"/>
  <c r="I115" i="73"/>
  <c r="I114" i="73"/>
  <c r="I113" i="73"/>
  <c r="N113" i="73" s="1"/>
  <c r="I112" i="73"/>
  <c r="N112" i="73" s="1"/>
  <c r="I109" i="73"/>
  <c r="J94" i="73"/>
  <c r="E92" i="73"/>
  <c r="C81" i="73"/>
  <c r="G80" i="73"/>
  <c r="D80" i="73" s="1"/>
  <c r="J80" i="73" s="1"/>
  <c r="G79" i="73"/>
  <c r="D79" i="73"/>
  <c r="J79" i="73" s="1"/>
  <c r="G78" i="73"/>
  <c r="D78" i="73"/>
  <c r="J78" i="73" s="1"/>
  <c r="J77" i="73"/>
  <c r="G77" i="73"/>
  <c r="D77" i="73"/>
  <c r="G76" i="73"/>
  <c r="D76" i="73" s="1"/>
  <c r="D67" i="73"/>
  <c r="J67" i="73" s="1"/>
  <c r="J64" i="73"/>
  <c r="D64" i="73"/>
  <c r="C64" i="73"/>
  <c r="J63" i="73"/>
  <c r="G63" i="73"/>
  <c r="J62" i="73"/>
  <c r="G62" i="73"/>
  <c r="J61" i="73"/>
  <c r="G61" i="73"/>
  <c r="J60" i="73"/>
  <c r="G60" i="73"/>
  <c r="J59" i="73"/>
  <c r="G59" i="73"/>
  <c r="J58" i="73"/>
  <c r="G58" i="73"/>
  <c r="J57" i="73"/>
  <c r="G57" i="73"/>
  <c r="F57" i="73"/>
  <c r="D55" i="73"/>
  <c r="C55" i="73"/>
  <c r="J54" i="73"/>
  <c r="G54" i="73"/>
  <c r="J53" i="73"/>
  <c r="J52" i="73"/>
  <c r="J55" i="73" s="1"/>
  <c r="G52" i="73"/>
  <c r="D50" i="73"/>
  <c r="C50" i="73"/>
  <c r="F49" i="73"/>
  <c r="E49" i="73"/>
  <c r="C49" i="73"/>
  <c r="J48" i="73"/>
  <c r="G48" i="73"/>
  <c r="J47" i="73"/>
  <c r="G47" i="73"/>
  <c r="J46" i="73"/>
  <c r="G46" i="73"/>
  <c r="J45" i="73"/>
  <c r="G45" i="73"/>
  <c r="J44" i="73"/>
  <c r="G44" i="73"/>
  <c r="J43" i="73"/>
  <c r="G43" i="73"/>
  <c r="J42" i="73"/>
  <c r="G42" i="73"/>
  <c r="J41" i="73"/>
  <c r="G41" i="73"/>
  <c r="J40" i="73"/>
  <c r="G40" i="73"/>
  <c r="J39" i="73"/>
  <c r="G39" i="73"/>
  <c r="J38" i="73"/>
  <c r="G38" i="73"/>
  <c r="G49" i="73" s="1"/>
  <c r="J37" i="73"/>
  <c r="J49" i="73" s="1"/>
  <c r="G37" i="73"/>
  <c r="F35" i="73"/>
  <c r="E35" i="73"/>
  <c r="D35" i="73"/>
  <c r="C35" i="73"/>
  <c r="J34" i="73"/>
  <c r="G34" i="73"/>
  <c r="J33" i="73"/>
  <c r="G33" i="73"/>
  <c r="J32" i="73"/>
  <c r="G32" i="73"/>
  <c r="J31" i="73"/>
  <c r="G31" i="73"/>
  <c r="J30" i="73"/>
  <c r="G30" i="73"/>
  <c r="J29" i="73"/>
  <c r="G29" i="73"/>
  <c r="J28" i="73"/>
  <c r="G28" i="73"/>
  <c r="J27" i="73"/>
  <c r="G27" i="73"/>
  <c r="J26" i="73"/>
  <c r="G26" i="73"/>
  <c r="J25" i="73"/>
  <c r="J24" i="73"/>
  <c r="J35" i="73" s="1"/>
  <c r="G24" i="73"/>
  <c r="G35" i="73" s="1"/>
  <c r="D21" i="73"/>
  <c r="D66" i="73" s="1"/>
  <c r="C21" i="73"/>
  <c r="C66" i="73" s="1"/>
  <c r="J20" i="73"/>
  <c r="J19" i="73"/>
  <c r="L18" i="73"/>
  <c r="J17" i="73"/>
  <c r="J16" i="73"/>
  <c r="J15" i="73"/>
  <c r="J21" i="73" s="1"/>
  <c r="I422" i="70"/>
  <c r="I418" i="70"/>
  <c r="I413" i="70"/>
  <c r="I411" i="70"/>
  <c r="J406" i="70"/>
  <c r="G407" i="70" s="1"/>
  <c r="J405" i="70"/>
  <c r="I398" i="70"/>
  <c r="I386" i="70"/>
  <c r="I420" i="70" s="1"/>
  <c r="I383" i="70"/>
  <c r="I380" i="70"/>
  <c r="I377" i="70"/>
  <c r="I378" i="70" s="1"/>
  <c r="I365" i="70"/>
  <c r="I359" i="70"/>
  <c r="I349" i="70"/>
  <c r="I352" i="70" s="1"/>
  <c r="I342" i="70"/>
  <c r="I345" i="70" s="1"/>
  <c r="I338" i="70"/>
  <c r="I336" i="70"/>
  <c r="I327" i="70"/>
  <c r="I331" i="70" s="1"/>
  <c r="I320" i="70"/>
  <c r="I319" i="70"/>
  <c r="I412" i="70" s="1"/>
  <c r="I316" i="70"/>
  <c r="I315" i="70"/>
  <c r="G310" i="70"/>
  <c r="I307" i="70"/>
  <c r="J294" i="70"/>
  <c r="J292" i="70"/>
  <c r="J289" i="70"/>
  <c r="I282" i="70"/>
  <c r="J277" i="70"/>
  <c r="J257" i="70"/>
  <c r="G271" i="70" s="1"/>
  <c r="J255" i="70"/>
  <c r="J254" i="70"/>
  <c r="J253" i="70"/>
  <c r="I241" i="70"/>
  <c r="E238" i="70"/>
  <c r="E237" i="70"/>
  <c r="E235" i="70" s="1"/>
  <c r="H235" i="70"/>
  <c r="E234" i="70"/>
  <c r="K232" i="70"/>
  <c r="H232" i="70"/>
  <c r="E232" i="70"/>
  <c r="E231" i="70"/>
  <c r="E230" i="70"/>
  <c r="E229" i="70" s="1"/>
  <c r="H229" i="70"/>
  <c r="E228" i="70"/>
  <c r="H226" i="70"/>
  <c r="E226" i="70"/>
  <c r="E225" i="70"/>
  <c r="E223" i="70" s="1"/>
  <c r="E224" i="70"/>
  <c r="H223" i="70"/>
  <c r="I218" i="70"/>
  <c r="I219" i="70" s="1"/>
  <c r="I211" i="70"/>
  <c r="I213" i="70" s="1"/>
  <c r="I206" i="70"/>
  <c r="I198" i="70"/>
  <c r="I197" i="70"/>
  <c r="I199" i="70" s="1"/>
  <c r="I183" i="70"/>
  <c r="I172" i="70"/>
  <c r="I415" i="70" s="1"/>
  <c r="G149" i="70"/>
  <c r="G156" i="70" s="1"/>
  <c r="I156" i="70" s="1"/>
  <c r="I134" i="70"/>
  <c r="I126" i="70"/>
  <c r="I127" i="70" s="1"/>
  <c r="I115" i="70"/>
  <c r="I114" i="70"/>
  <c r="I113" i="70"/>
  <c r="I112" i="70"/>
  <c r="I109" i="70"/>
  <c r="J94" i="70"/>
  <c r="E92" i="70"/>
  <c r="C81" i="70"/>
  <c r="G80" i="70"/>
  <c r="D80" i="70" s="1"/>
  <c r="J80" i="70" s="1"/>
  <c r="J79" i="70"/>
  <c r="G79" i="70"/>
  <c r="D79" i="70"/>
  <c r="G78" i="70"/>
  <c r="D78" i="70" s="1"/>
  <c r="J78" i="70" s="1"/>
  <c r="G77" i="70"/>
  <c r="D77" i="70"/>
  <c r="J77" i="70" s="1"/>
  <c r="G76" i="70"/>
  <c r="D76" i="70" s="1"/>
  <c r="D67" i="70"/>
  <c r="J67" i="70" s="1"/>
  <c r="J64" i="70"/>
  <c r="D64" i="70"/>
  <c r="C64" i="70"/>
  <c r="J63" i="70"/>
  <c r="G63" i="70"/>
  <c r="J62" i="70"/>
  <c r="G62" i="70"/>
  <c r="J61" i="70"/>
  <c r="G61" i="70"/>
  <c r="J60" i="70"/>
  <c r="G60" i="70"/>
  <c r="J59" i="70"/>
  <c r="G59" i="70"/>
  <c r="J58" i="70"/>
  <c r="G58" i="70"/>
  <c r="J57" i="70"/>
  <c r="G57" i="70"/>
  <c r="F57" i="70"/>
  <c r="J55" i="70"/>
  <c r="D55" i="70"/>
  <c r="C55" i="70"/>
  <c r="J54" i="70"/>
  <c r="G54" i="70"/>
  <c r="J53" i="70"/>
  <c r="J52" i="70"/>
  <c r="G52" i="70"/>
  <c r="C50" i="70"/>
  <c r="G49" i="70"/>
  <c r="F49" i="70"/>
  <c r="E49" i="70"/>
  <c r="C49" i="70"/>
  <c r="J48" i="70"/>
  <c r="G48" i="70"/>
  <c r="J47" i="70"/>
  <c r="G47" i="70"/>
  <c r="J46" i="70"/>
  <c r="G46" i="70"/>
  <c r="J45" i="70"/>
  <c r="G45" i="70"/>
  <c r="J44" i="70"/>
  <c r="G44" i="70"/>
  <c r="J43" i="70"/>
  <c r="G43" i="70"/>
  <c r="J42" i="70"/>
  <c r="G42" i="70"/>
  <c r="J41" i="70"/>
  <c r="G41" i="70"/>
  <c r="J40" i="70"/>
  <c r="G40" i="70"/>
  <c r="J39" i="70"/>
  <c r="G39" i="70"/>
  <c r="J38" i="70"/>
  <c r="G38" i="70"/>
  <c r="J37" i="70"/>
  <c r="J49" i="70" s="1"/>
  <c r="G37" i="70"/>
  <c r="F35" i="70"/>
  <c r="E35" i="70"/>
  <c r="D35" i="70"/>
  <c r="D50" i="70" s="1"/>
  <c r="C35" i="70"/>
  <c r="J34" i="70"/>
  <c r="G34" i="70"/>
  <c r="J33" i="70"/>
  <c r="G33" i="70"/>
  <c r="J32" i="70"/>
  <c r="G32" i="70"/>
  <c r="J31" i="70"/>
  <c r="G31" i="70"/>
  <c r="J30" i="70"/>
  <c r="G30" i="70"/>
  <c r="J29" i="70"/>
  <c r="G29" i="70"/>
  <c r="J28" i="70"/>
  <c r="G28" i="70"/>
  <c r="J27" i="70"/>
  <c r="G27" i="70"/>
  <c r="J26" i="70"/>
  <c r="G26" i="70"/>
  <c r="J25" i="70"/>
  <c r="J35" i="70" s="1"/>
  <c r="J50" i="70" s="1"/>
  <c r="J24" i="70"/>
  <c r="G24" i="70"/>
  <c r="G35" i="70" s="1"/>
  <c r="D21" i="70"/>
  <c r="C21" i="70"/>
  <c r="C66" i="70" s="1"/>
  <c r="J20" i="70"/>
  <c r="J19" i="70"/>
  <c r="L18" i="70"/>
  <c r="J17" i="70"/>
  <c r="J16" i="70"/>
  <c r="J15" i="70"/>
  <c r="J21" i="70" s="1"/>
  <c r="J66" i="70" s="1"/>
  <c r="J68" i="70" s="1"/>
  <c r="G310" i="64"/>
  <c r="I310" i="71" l="1"/>
  <c r="G289" i="71"/>
  <c r="I196" i="71"/>
  <c r="I212" i="71"/>
  <c r="I221" i="71"/>
  <c r="K218" i="71"/>
  <c r="I127" i="71"/>
  <c r="I227" i="71"/>
  <c r="I135" i="71"/>
  <c r="I143" i="71" s="1"/>
  <c r="D81" i="71"/>
  <c r="D86" i="71" s="1"/>
  <c r="I372" i="71"/>
  <c r="I421" i="70"/>
  <c r="N113" i="70"/>
  <c r="I366" i="70"/>
  <c r="I412" i="73"/>
  <c r="I399" i="73"/>
  <c r="K399" i="73"/>
  <c r="J66" i="73"/>
  <c r="J68" i="73" s="1"/>
  <c r="D81" i="73"/>
  <c r="D86" i="73" s="1"/>
  <c r="J76" i="73"/>
  <c r="J81" i="73" s="1"/>
  <c r="J50" i="73"/>
  <c r="I122" i="73"/>
  <c r="I149" i="73"/>
  <c r="I147" i="73" s="1"/>
  <c r="I160" i="73" s="1"/>
  <c r="G156" i="73"/>
  <c r="I156" i="73" s="1"/>
  <c r="G271" i="73"/>
  <c r="I321" i="73"/>
  <c r="I421" i="73"/>
  <c r="G154" i="73"/>
  <c r="I154" i="73" s="1"/>
  <c r="I152" i="73" s="1"/>
  <c r="K399" i="70"/>
  <c r="I399" i="70"/>
  <c r="J76" i="70"/>
  <c r="J81" i="70" s="1"/>
  <c r="D81" i="70"/>
  <c r="D86" i="70" s="1"/>
  <c r="G133" i="70"/>
  <c r="J87" i="70"/>
  <c r="D66" i="70"/>
  <c r="I414" i="70"/>
  <c r="I321" i="70"/>
  <c r="N112" i="70"/>
  <c r="G154" i="70"/>
  <c r="I154" i="70" s="1"/>
  <c r="I152" i="70" s="1"/>
  <c r="G159" i="70"/>
  <c r="I159" i="70" s="1"/>
  <c r="I122" i="70"/>
  <c r="I417" i="70"/>
  <c r="I149" i="70"/>
  <c r="I147" i="70" s="1"/>
  <c r="I160" i="70" s="1"/>
  <c r="I392" i="64"/>
  <c r="I316" i="64"/>
  <c r="I315" i="64"/>
  <c r="I145" i="71" l="1"/>
  <c r="J87" i="71"/>
  <c r="J87" i="73"/>
  <c r="G133" i="73"/>
  <c r="I133" i="70"/>
  <c r="I131" i="70" s="1"/>
  <c r="G143" i="70"/>
  <c r="I143" i="70" s="1"/>
  <c r="G138" i="70"/>
  <c r="I138" i="70" s="1"/>
  <c r="G140" i="70"/>
  <c r="I140" i="70" s="1"/>
  <c r="K340" i="46"/>
  <c r="I382" i="71" l="1"/>
  <c r="J68" i="71"/>
  <c r="I384" i="71"/>
  <c r="L393" i="71" s="1"/>
  <c r="G140" i="73"/>
  <c r="I140" i="73" s="1"/>
  <c r="I133" i="73"/>
  <c r="I131" i="73" s="1"/>
  <c r="G143" i="73"/>
  <c r="I143" i="73" s="1"/>
  <c r="G138" i="73"/>
  <c r="I138" i="73" s="1"/>
  <c r="I136" i="73" s="1"/>
  <c r="I136" i="70"/>
  <c r="I144" i="70"/>
  <c r="I241" i="46"/>
  <c r="I144" i="73" l="1"/>
  <c r="I162" i="70"/>
  <c r="I409" i="70" s="1"/>
  <c r="I419" i="70"/>
  <c r="I329" i="46"/>
  <c r="I162" i="73" l="1"/>
  <c r="I409" i="73" s="1"/>
  <c r="I419" i="73"/>
  <c r="K37" i="46"/>
  <c r="L34" i="46" l="1"/>
  <c r="L30" i="46"/>
  <c r="L29" i="46"/>
  <c r="L26" i="46"/>
  <c r="L25" i="46"/>
  <c r="L24" i="46"/>
  <c r="K34" i="46"/>
  <c r="I301" i="46" l="1"/>
  <c r="I246" i="46"/>
  <c r="I278" i="46" l="1"/>
  <c r="I116" i="47" l="1"/>
  <c r="I350" i="47"/>
  <c r="D33" i="47"/>
  <c r="J33" i="47" s="1"/>
  <c r="D32" i="47"/>
  <c r="D29" i="47"/>
  <c r="E234" i="46" l="1"/>
  <c r="D16" i="46" l="1"/>
  <c r="J62" i="46" l="1"/>
  <c r="J63" i="46"/>
  <c r="I314" i="46" l="1"/>
  <c r="D60" i="46" l="1"/>
  <c r="J60" i="46" s="1"/>
  <c r="D61" i="46"/>
  <c r="J61" i="46" s="1"/>
  <c r="D64" i="46"/>
  <c r="J64" i="46" s="1"/>
  <c r="D65" i="46"/>
  <c r="J65" i="46" s="1"/>
  <c r="D59" i="46"/>
  <c r="J59" i="46" s="1"/>
  <c r="D54" i="46"/>
  <c r="J54" i="46" s="1"/>
  <c r="D55" i="46"/>
  <c r="J55" i="46" s="1"/>
  <c r="D56" i="46"/>
  <c r="J56" i="46" s="1"/>
  <c r="D53" i="46"/>
  <c r="J53" i="46" s="1"/>
  <c r="C57" i="46"/>
  <c r="C32" i="46"/>
  <c r="J67" i="64" l="1"/>
  <c r="I109" i="46"/>
  <c r="I108" i="46"/>
  <c r="I168" i="46"/>
  <c r="J311" i="46" l="1"/>
  <c r="I469" i="46" l="1"/>
  <c r="I174" i="46"/>
  <c r="D67" i="64" l="1"/>
  <c r="D15" i="46"/>
  <c r="I144" i="46"/>
  <c r="I142" i="46" s="1"/>
  <c r="I155" i="46" s="1"/>
  <c r="I147" i="46"/>
  <c r="K335" i="46"/>
  <c r="J301" i="46"/>
  <c r="L15" i="46" l="1"/>
  <c r="I249" i="46"/>
  <c r="I248" i="46"/>
  <c r="I247" i="46"/>
  <c r="J313" i="46" l="1"/>
  <c r="J274" i="46" l="1"/>
  <c r="J310" i="46" l="1"/>
  <c r="E256" i="46" l="1"/>
  <c r="E247" i="46"/>
  <c r="E248" i="46"/>
  <c r="E243" i="46"/>
  <c r="E239" i="46"/>
  <c r="E231" i="46"/>
  <c r="I431" i="46" l="1"/>
  <c r="J302" i="46"/>
  <c r="I362" i="46" l="1"/>
  <c r="I386" i="46"/>
  <c r="J312" i="46" l="1"/>
  <c r="J279" i="46"/>
  <c r="J278" i="46"/>
  <c r="J330" i="46"/>
  <c r="J276" i="46"/>
  <c r="I243" i="46" l="1"/>
  <c r="I239" i="46"/>
  <c r="E242" i="46"/>
  <c r="E238" i="46"/>
  <c r="E235" i="46"/>
  <c r="I235" i="46" s="1"/>
  <c r="I232" i="46"/>
  <c r="I231" i="46"/>
  <c r="E230" i="46"/>
  <c r="I257" i="46"/>
  <c r="I256" i="46"/>
  <c r="E255" i="46"/>
  <c r="J325" i="46" l="1"/>
  <c r="J324" i="46"/>
  <c r="J317" i="46" l="1"/>
  <c r="I385" i="47" l="1"/>
  <c r="C32" i="47"/>
  <c r="J32" i="47" s="1"/>
  <c r="C29" i="47"/>
  <c r="J29" i="47" s="1"/>
  <c r="C21" i="47"/>
  <c r="N8" i="47"/>
  <c r="I213" i="46" l="1"/>
  <c r="I305" i="47" l="1"/>
  <c r="DF63" i="76" l="1"/>
  <c r="I411" i="64" l="1"/>
  <c r="I377" i="64" l="1"/>
  <c r="I383" i="64"/>
  <c r="DS63" i="76"/>
  <c r="EF63" i="76"/>
  <c r="I387" i="47" l="1"/>
  <c r="I177" i="46"/>
  <c r="G176" i="46"/>
  <c r="EQ39" i="75"/>
  <c r="EG39" i="75"/>
  <c r="DW39" i="75"/>
  <c r="EG21" i="75"/>
  <c r="EQ21" i="75"/>
  <c r="DW21" i="75"/>
  <c r="EG18" i="75"/>
  <c r="EQ18" i="75"/>
  <c r="EQ2" i="75"/>
  <c r="EG2" i="75"/>
  <c r="DW2" i="75"/>
  <c r="DS96" i="76"/>
  <c r="EF96" i="76"/>
  <c r="DW17" i="75" l="1"/>
  <c r="EG17" i="75"/>
  <c r="EG46" i="75" s="1"/>
  <c r="EG47" i="75" s="1"/>
  <c r="EQ17" i="75"/>
  <c r="EQ46" i="75" s="1"/>
  <c r="EQ47" i="75" s="1"/>
  <c r="EF82" i="76"/>
  <c r="DS82" i="76"/>
  <c r="DF82" i="76"/>
  <c r="DF62" i="76" s="1"/>
  <c r="FF62" i="76" s="1"/>
  <c r="EF75" i="76"/>
  <c r="DS75" i="76"/>
  <c r="EF59" i="76"/>
  <c r="DS59" i="76"/>
  <c r="DF59" i="76"/>
  <c r="EF46" i="76"/>
  <c r="DS46" i="76"/>
  <c r="DS39" i="76"/>
  <c r="EQ7" i="75" l="1"/>
  <c r="EG7" i="75"/>
  <c r="EF62" i="76"/>
  <c r="DS62" i="76"/>
  <c r="EF35" i="76"/>
  <c r="DS35" i="76"/>
  <c r="I398" i="64"/>
  <c r="B289" i="47" l="1"/>
  <c r="I112" i="64" l="1"/>
  <c r="I113" i="64"/>
  <c r="I114" i="64"/>
  <c r="I115" i="64"/>
  <c r="N113" i="64" l="1"/>
  <c r="N112" i="64"/>
  <c r="I421" i="64"/>
  <c r="I422" i="64" l="1"/>
  <c r="I320" i="64"/>
  <c r="I319" i="64"/>
  <c r="I327" i="64"/>
  <c r="I331" i="64" s="1"/>
  <c r="I412" i="64" l="1"/>
  <c r="I321" i="64"/>
  <c r="P279" i="46"/>
  <c r="I223" i="47" l="1"/>
  <c r="I220" i="47"/>
  <c r="M221" i="47"/>
  <c r="I122" i="64" l="1"/>
  <c r="O280" i="46" l="1"/>
  <c r="C36" i="46" l="1"/>
  <c r="Q36" i="46" l="1"/>
  <c r="L36" i="46" l="1"/>
  <c r="K50" i="46" l="1"/>
  <c r="I244" i="46" l="1"/>
  <c r="N109" i="46" l="1"/>
  <c r="N108" i="46"/>
  <c r="E254" i="46" l="1"/>
  <c r="E233" i="46"/>
  <c r="E229" i="46"/>
  <c r="H233" i="46"/>
  <c r="H230" i="46"/>
  <c r="H231" i="46"/>
  <c r="H232" i="46"/>
  <c r="E246" i="46" l="1"/>
  <c r="E258" i="46"/>
  <c r="J290" i="46"/>
  <c r="J295" i="46"/>
  <c r="J240" i="47"/>
  <c r="D17" i="46" l="1"/>
  <c r="I238" i="46" l="1"/>
  <c r="I255" i="46" l="1"/>
  <c r="I426" i="46" l="1"/>
  <c r="J284" i="46"/>
  <c r="I254" i="46"/>
  <c r="J280" i="46" l="1"/>
  <c r="C66" i="46" l="1"/>
  <c r="F50" i="46"/>
  <c r="E50" i="46"/>
  <c r="C50" i="46"/>
  <c r="C51" i="46" s="1"/>
  <c r="D49" i="46"/>
  <c r="J49" i="46" s="1"/>
  <c r="D48" i="46"/>
  <c r="J48" i="46" s="1"/>
  <c r="D47" i="46"/>
  <c r="J47" i="46" s="1"/>
  <c r="D46" i="46"/>
  <c r="J46" i="46" s="1"/>
  <c r="D45" i="46"/>
  <c r="J45" i="46" s="1"/>
  <c r="D44" i="46"/>
  <c r="J44" i="46" s="1"/>
  <c r="D43" i="46"/>
  <c r="J43" i="46" s="1"/>
  <c r="D42" i="46"/>
  <c r="J42" i="46" s="1"/>
  <c r="D41" i="46"/>
  <c r="J41" i="46" s="1"/>
  <c r="D40" i="46"/>
  <c r="J40" i="46" s="1"/>
  <c r="D39" i="46"/>
  <c r="J39" i="46" s="1"/>
  <c r="F36" i="46"/>
  <c r="E36" i="46"/>
  <c r="D35" i="46"/>
  <c r="D34" i="46"/>
  <c r="J34" i="46" s="1"/>
  <c r="D33" i="46"/>
  <c r="L33" i="46" s="1"/>
  <c r="D32" i="46"/>
  <c r="D31" i="46"/>
  <c r="D30" i="46"/>
  <c r="D29" i="46"/>
  <c r="D28" i="46"/>
  <c r="D27" i="46"/>
  <c r="D26" i="46"/>
  <c r="D25" i="46"/>
  <c r="D24" i="46"/>
  <c r="C21" i="46"/>
  <c r="D20" i="46"/>
  <c r="D19" i="46"/>
  <c r="D18" i="46"/>
  <c r="J57" i="46" l="1"/>
  <c r="C69" i="46"/>
  <c r="G50" i="46"/>
  <c r="G36" i="46"/>
  <c r="D21" i="46"/>
  <c r="J36" i="46"/>
  <c r="K27" i="46" s="1"/>
  <c r="D57" i="46"/>
  <c r="J21" i="46"/>
  <c r="D36" i="46"/>
  <c r="D38" i="46"/>
  <c r="J38" i="46" s="1"/>
  <c r="D50" i="46" l="1"/>
  <c r="D51" i="46" s="1"/>
  <c r="J50" i="46"/>
  <c r="J51" i="46" s="1"/>
  <c r="C35" i="47" l="1"/>
  <c r="J17" i="47"/>
  <c r="J18" i="47"/>
  <c r="J19" i="47"/>
  <c r="G40" i="47" l="1"/>
  <c r="D40" i="47" s="1"/>
  <c r="G39" i="47"/>
  <c r="D39" i="47" s="1"/>
  <c r="G38" i="47"/>
  <c r="D38" i="47" s="1"/>
  <c r="G19" i="47"/>
  <c r="G18" i="47"/>
  <c r="G17" i="47"/>
  <c r="I378" i="64" l="1"/>
  <c r="I413" i="64"/>
  <c r="J296" i="46" l="1"/>
  <c r="J294" i="46" l="1"/>
  <c r="C50" i="47" l="1"/>
  <c r="I390" i="46" l="1"/>
  <c r="I357" i="46"/>
  <c r="I384" i="46"/>
  <c r="J299" i="46"/>
  <c r="J283" i="46" l="1"/>
  <c r="J329" i="46" l="1"/>
  <c r="J323" i="46" l="1"/>
  <c r="J322" i="46"/>
  <c r="J321" i="46"/>
  <c r="J320" i="46"/>
  <c r="J318" i="46"/>
  <c r="I230" i="46" l="1"/>
  <c r="I259" i="46" l="1"/>
  <c r="I258" i="46" s="1"/>
  <c r="I111" i="46" l="1"/>
  <c r="E241" i="46" l="1"/>
  <c r="E237" i="46"/>
  <c r="J285" i="46" l="1"/>
  <c r="I434" i="46" l="1"/>
  <c r="H215" i="47" l="1"/>
  <c r="I245" i="46" l="1"/>
  <c r="I242" i="46"/>
  <c r="H241" i="46"/>
  <c r="O243" i="46"/>
  <c r="I240" i="46"/>
  <c r="I237" i="46" s="1"/>
  <c r="H237" i="46"/>
  <c r="O239" i="46"/>
  <c r="I236" i="46"/>
  <c r="I234" i="46"/>
  <c r="O235" i="46"/>
  <c r="I229" i="46"/>
  <c r="H229" i="46"/>
  <c r="I233" i="46" l="1"/>
  <c r="O247" i="46"/>
  <c r="L238" i="46"/>
  <c r="L230" i="46"/>
  <c r="O231" i="46"/>
  <c r="I250" i="46" l="1"/>
  <c r="O250" i="46"/>
  <c r="G144" i="46" l="1"/>
  <c r="L468" i="46"/>
  <c r="J337" i="46" l="1"/>
  <c r="M255" i="46"/>
  <c r="J297" i="46" l="1"/>
  <c r="J281" i="46"/>
  <c r="I262" i="46"/>
  <c r="I391" i="46" l="1"/>
  <c r="I389" i="46" l="1"/>
  <c r="I388" i="46"/>
  <c r="I387" i="46"/>
  <c r="J331" i="46"/>
  <c r="I385" i="46" l="1"/>
  <c r="J332" i="46"/>
  <c r="I382" i="46"/>
  <c r="J298" i="46" l="1"/>
  <c r="J319" i="46"/>
  <c r="I373" i="46"/>
  <c r="I374" i="46"/>
  <c r="I375" i="46"/>
  <c r="I376" i="46"/>
  <c r="I377" i="46"/>
  <c r="I378" i="46"/>
  <c r="I379" i="46"/>
  <c r="I380" i="46"/>
  <c r="I381" i="46"/>
  <c r="I372" i="46"/>
  <c r="I371" i="46" l="1"/>
  <c r="O259" i="46" l="1"/>
  <c r="J328" i="46" l="1"/>
  <c r="J316" i="46" l="1"/>
  <c r="J254" i="64" l="1"/>
  <c r="I364" i="46" l="1"/>
  <c r="I392" i="46" s="1"/>
  <c r="I361" i="47" l="1"/>
  <c r="I355" i="47"/>
  <c r="I300" i="47"/>
  <c r="I386" i="64" l="1"/>
  <c r="I420" i="64" l="1"/>
  <c r="J255" i="64"/>
  <c r="J262" i="47"/>
  <c r="J289" i="46" l="1"/>
  <c r="I365" i="64" l="1"/>
  <c r="J259" i="47" l="1"/>
  <c r="I418" i="64" l="1"/>
  <c r="J257" i="64" l="1"/>
  <c r="I417" i="64" l="1"/>
  <c r="I443" i="46" l="1"/>
  <c r="E204" i="46" l="1"/>
  <c r="I336" i="64" l="1"/>
  <c r="I282" i="64"/>
  <c r="I172" i="64"/>
  <c r="I415" i="64" l="1"/>
  <c r="I474" i="46" l="1"/>
  <c r="L333" i="46"/>
  <c r="I188" i="46"/>
  <c r="I468" i="46" l="1"/>
  <c r="K474" i="46" s="1"/>
  <c r="L480" i="46" l="1"/>
  <c r="L474" i="46"/>
  <c r="M468" i="46"/>
  <c r="G254" i="47"/>
  <c r="I101" i="46" l="1"/>
  <c r="I359" i="64" l="1"/>
  <c r="I366" i="64" s="1"/>
  <c r="I399" i="64" s="1"/>
  <c r="J20" i="47" l="1"/>
  <c r="J16" i="47"/>
  <c r="J379" i="47" l="1"/>
  <c r="J378" i="47"/>
  <c r="I369" i="47"/>
  <c r="I349" i="47"/>
  <c r="I343" i="47"/>
  <c r="I336" i="47"/>
  <c r="I339" i="47" s="1"/>
  <c r="I329" i="47"/>
  <c r="I332" i="47" s="1"/>
  <c r="I322" i="47"/>
  <c r="I325" i="47" s="1"/>
  <c r="I315" i="47"/>
  <c r="I310" i="47"/>
  <c r="I298" i="47"/>
  <c r="I294" i="47"/>
  <c r="J282" i="47"/>
  <c r="J277" i="47"/>
  <c r="J275" i="47"/>
  <c r="I226" i="47"/>
  <c r="I225" i="47"/>
  <c r="E224" i="47"/>
  <c r="H221" i="47"/>
  <c r="E221" i="47"/>
  <c r="I218" i="47"/>
  <c r="H218" i="47"/>
  <c r="E218" i="47"/>
  <c r="I217" i="47"/>
  <c r="E212" i="47"/>
  <c r="I213" i="47"/>
  <c r="H212" i="47"/>
  <c r="I211" i="47"/>
  <c r="I210" i="47"/>
  <c r="H209" i="47"/>
  <c r="E209" i="47"/>
  <c r="I208" i="47"/>
  <c r="I207" i="47"/>
  <c r="H206" i="47"/>
  <c r="I201" i="47"/>
  <c r="I202" i="47" s="1"/>
  <c r="I194" i="47"/>
  <c r="I189" i="47"/>
  <c r="I182" i="47"/>
  <c r="I166" i="47"/>
  <c r="I155" i="47"/>
  <c r="I117" i="47"/>
  <c r="I109" i="47"/>
  <c r="I110" i="47" s="1"/>
  <c r="I99" i="47"/>
  <c r="I105" i="47" s="1"/>
  <c r="J94" i="47"/>
  <c r="E93" i="47"/>
  <c r="E92" i="47"/>
  <c r="C81" i="47"/>
  <c r="G80" i="47"/>
  <c r="D80" i="47" s="1"/>
  <c r="J80" i="47" s="1"/>
  <c r="G79" i="47"/>
  <c r="D79" i="47" s="1"/>
  <c r="J79" i="47" s="1"/>
  <c r="G78" i="47"/>
  <c r="D78" i="47" s="1"/>
  <c r="J78" i="47" s="1"/>
  <c r="G77" i="47"/>
  <c r="D77" i="47" s="1"/>
  <c r="J77" i="47" s="1"/>
  <c r="G76" i="47"/>
  <c r="D76" i="47" s="1"/>
  <c r="C64" i="47"/>
  <c r="G63" i="47"/>
  <c r="D63" i="47" s="1"/>
  <c r="J63" i="47" s="1"/>
  <c r="G62" i="47"/>
  <c r="D62" i="47" s="1"/>
  <c r="J62" i="47" s="1"/>
  <c r="G61" i="47"/>
  <c r="D61" i="47" s="1"/>
  <c r="J61" i="47" s="1"/>
  <c r="G60" i="47"/>
  <c r="D60" i="47" s="1"/>
  <c r="J60" i="47" s="1"/>
  <c r="G59" i="47"/>
  <c r="D59" i="47" s="1"/>
  <c r="J59" i="47" s="1"/>
  <c r="G58" i="47"/>
  <c r="D58" i="47" s="1"/>
  <c r="J58" i="47" s="1"/>
  <c r="C55" i="47"/>
  <c r="G54" i="47"/>
  <c r="D54" i="47" s="1"/>
  <c r="J54" i="47" s="1"/>
  <c r="D53" i="47"/>
  <c r="J53" i="47" s="1"/>
  <c r="G52" i="47"/>
  <c r="D52" i="47" s="1"/>
  <c r="F49" i="47"/>
  <c r="G48" i="47"/>
  <c r="D48" i="47" s="1"/>
  <c r="J48" i="47" s="1"/>
  <c r="G47" i="47"/>
  <c r="D47" i="47" s="1"/>
  <c r="J47" i="47" s="1"/>
  <c r="G46" i="47"/>
  <c r="D46" i="47" s="1"/>
  <c r="J46" i="47" s="1"/>
  <c r="G45" i="47"/>
  <c r="D45" i="47" s="1"/>
  <c r="J45" i="47" s="1"/>
  <c r="G44" i="47"/>
  <c r="D44" i="47" s="1"/>
  <c r="J44" i="47" s="1"/>
  <c r="G43" i="47"/>
  <c r="D43" i="47" s="1"/>
  <c r="J43" i="47" s="1"/>
  <c r="G42" i="47"/>
  <c r="D42" i="47" s="1"/>
  <c r="J42" i="47" s="1"/>
  <c r="G41" i="47"/>
  <c r="J37" i="47"/>
  <c r="G37" i="47"/>
  <c r="F35" i="47"/>
  <c r="E35" i="47"/>
  <c r="D34" i="47"/>
  <c r="J34" i="47" s="1"/>
  <c r="G28" i="47"/>
  <c r="D28" i="47" s="1"/>
  <c r="J28" i="47" s="1"/>
  <c r="G27" i="47"/>
  <c r="D27" i="47" s="1"/>
  <c r="J27" i="47" s="1"/>
  <c r="G26" i="47"/>
  <c r="D26" i="47" s="1"/>
  <c r="J26" i="47" s="1"/>
  <c r="D25" i="47"/>
  <c r="J25" i="47" s="1"/>
  <c r="G24" i="47"/>
  <c r="D24" i="47" s="1"/>
  <c r="J24" i="47" s="1"/>
  <c r="L18" i="47"/>
  <c r="J15" i="47"/>
  <c r="I338" i="64"/>
  <c r="J277" i="64"/>
  <c r="J253" i="64"/>
  <c r="I414" i="64" s="1"/>
  <c r="J406" i="64"/>
  <c r="J405" i="64"/>
  <c r="I380" i="64"/>
  <c r="I349" i="64"/>
  <c r="I352" i="64" s="1"/>
  <c r="I342" i="64"/>
  <c r="I345" i="64" s="1"/>
  <c r="J292" i="64"/>
  <c r="E238" i="64"/>
  <c r="E237" i="64"/>
  <c r="H235" i="64"/>
  <c r="E234" i="64"/>
  <c r="H232" i="64"/>
  <c r="E231" i="64"/>
  <c r="E230" i="64"/>
  <c r="H229" i="64"/>
  <c r="E228" i="64"/>
  <c r="H226" i="64"/>
  <c r="E225" i="64"/>
  <c r="E224" i="64"/>
  <c r="H223" i="64"/>
  <c r="I218" i="64"/>
  <c r="I219" i="64" s="1"/>
  <c r="I211" i="64"/>
  <c r="I206" i="64"/>
  <c r="I198" i="64"/>
  <c r="I197" i="64"/>
  <c r="I183" i="64"/>
  <c r="I134" i="64"/>
  <c r="I126" i="64"/>
  <c r="I127" i="64" s="1"/>
  <c r="I109" i="64"/>
  <c r="J94" i="64"/>
  <c r="E92" i="64"/>
  <c r="C81" i="64"/>
  <c r="G80" i="64"/>
  <c r="D80" i="64" s="1"/>
  <c r="J80" i="64" s="1"/>
  <c r="G79" i="64"/>
  <c r="D79" i="64" s="1"/>
  <c r="J79" i="64" s="1"/>
  <c r="G78" i="64"/>
  <c r="D78" i="64" s="1"/>
  <c r="J78" i="64" s="1"/>
  <c r="G77" i="64"/>
  <c r="D77" i="64" s="1"/>
  <c r="J77" i="64" s="1"/>
  <c r="G76" i="64"/>
  <c r="D76" i="64" s="1"/>
  <c r="C64" i="64"/>
  <c r="G63" i="64"/>
  <c r="J63" i="64"/>
  <c r="J62" i="64"/>
  <c r="G62" i="64"/>
  <c r="G61" i="64"/>
  <c r="J61" i="64" s="1"/>
  <c r="G60" i="64"/>
  <c r="J60" i="64"/>
  <c r="G59" i="64"/>
  <c r="J59" i="64"/>
  <c r="J58" i="64"/>
  <c r="G58" i="64"/>
  <c r="J57" i="64"/>
  <c r="G57" i="64"/>
  <c r="F57" i="64"/>
  <c r="D55" i="64"/>
  <c r="C55" i="64"/>
  <c r="G54" i="64"/>
  <c r="J54" i="64"/>
  <c r="J53" i="64"/>
  <c r="G52" i="64"/>
  <c r="J52" i="64" s="1"/>
  <c r="F49" i="64"/>
  <c r="E49" i="64"/>
  <c r="C49" i="64"/>
  <c r="J48" i="64"/>
  <c r="G48" i="64"/>
  <c r="G47" i="64"/>
  <c r="J47" i="64"/>
  <c r="G46" i="64"/>
  <c r="J46" i="64"/>
  <c r="J45" i="64"/>
  <c r="G45" i="64"/>
  <c r="G44" i="64"/>
  <c r="J44" i="64" s="1"/>
  <c r="G43" i="64"/>
  <c r="J43" i="64"/>
  <c r="G42" i="64"/>
  <c r="J42" i="64"/>
  <c r="J41" i="64"/>
  <c r="G41" i="64"/>
  <c r="G40" i="64"/>
  <c r="J40" i="64" s="1"/>
  <c r="G39" i="64"/>
  <c r="J39" i="64" s="1"/>
  <c r="G38" i="64"/>
  <c r="J37" i="64"/>
  <c r="G37" i="64"/>
  <c r="F35" i="64"/>
  <c r="E35" i="64"/>
  <c r="C35" i="64"/>
  <c r="J34" i="64"/>
  <c r="G34" i="64"/>
  <c r="G33" i="64"/>
  <c r="J33" i="64" s="1"/>
  <c r="G32" i="64"/>
  <c r="J32" i="64"/>
  <c r="G31" i="64"/>
  <c r="J31" i="64"/>
  <c r="J30" i="64"/>
  <c r="G30" i="64"/>
  <c r="G29" i="64"/>
  <c r="J29" i="64" s="1"/>
  <c r="G28" i="64"/>
  <c r="J28" i="64" s="1"/>
  <c r="G27" i="64"/>
  <c r="J27" i="64"/>
  <c r="J26" i="64"/>
  <c r="G26" i="64"/>
  <c r="J25" i="64"/>
  <c r="G24" i="64"/>
  <c r="C21" i="64"/>
  <c r="J20" i="64"/>
  <c r="J19" i="64"/>
  <c r="L18" i="64"/>
  <c r="J17" i="64"/>
  <c r="J16" i="64"/>
  <c r="G271" i="64" l="1"/>
  <c r="I409" i="64" s="1"/>
  <c r="J41" i="47"/>
  <c r="D41" i="47"/>
  <c r="D57" i="47"/>
  <c r="J39" i="47"/>
  <c r="J40" i="47"/>
  <c r="D30" i="47"/>
  <c r="J30" i="47" s="1"/>
  <c r="D31" i="47"/>
  <c r="J31" i="47" s="1"/>
  <c r="I372" i="47"/>
  <c r="K399" i="64"/>
  <c r="I307" i="64"/>
  <c r="I196" i="47"/>
  <c r="I206" i="47"/>
  <c r="J279" i="47"/>
  <c r="G380" i="47"/>
  <c r="I224" i="47"/>
  <c r="I215" i="47"/>
  <c r="K218" i="47" s="1"/>
  <c r="I209" i="47"/>
  <c r="G35" i="47"/>
  <c r="C66" i="47"/>
  <c r="D21" i="47"/>
  <c r="D81" i="47"/>
  <c r="D86" i="47" s="1"/>
  <c r="I221" i="47"/>
  <c r="J52" i="47"/>
  <c r="J55" i="47" s="1"/>
  <c r="D55" i="47"/>
  <c r="J76" i="47"/>
  <c r="J81" i="47" s="1"/>
  <c r="E215" i="47"/>
  <c r="I318" i="47"/>
  <c r="J21" i="47"/>
  <c r="E206" i="47"/>
  <c r="I214" i="47"/>
  <c r="I212" i="47" s="1"/>
  <c r="J38" i="47"/>
  <c r="J284" i="47"/>
  <c r="C50" i="64"/>
  <c r="C66" i="64" s="1"/>
  <c r="I213" i="64"/>
  <c r="E232" i="64"/>
  <c r="G407" i="64"/>
  <c r="J289" i="64"/>
  <c r="K232" i="64"/>
  <c r="J55" i="64"/>
  <c r="J76" i="64"/>
  <c r="J81" i="64" s="1"/>
  <c r="D81" i="64"/>
  <c r="D86" i="64" s="1"/>
  <c r="J64" i="64"/>
  <c r="D64" i="64"/>
  <c r="J294" i="64"/>
  <c r="J38" i="64"/>
  <c r="J49" i="64" s="1"/>
  <c r="E226" i="64"/>
  <c r="J24" i="64"/>
  <c r="J35" i="64" s="1"/>
  <c r="D35" i="64"/>
  <c r="D50" i="64" s="1"/>
  <c r="G35" i="64"/>
  <c r="G49" i="64"/>
  <c r="D21" i="64"/>
  <c r="I199" i="64"/>
  <c r="I241" i="64"/>
  <c r="E223" i="64"/>
  <c r="E235" i="64"/>
  <c r="E229" i="64"/>
  <c r="J15" i="64"/>
  <c r="J21" i="64" s="1"/>
  <c r="J64" i="47" l="1"/>
  <c r="G289" i="47"/>
  <c r="J49" i="47"/>
  <c r="D64" i="47"/>
  <c r="I227" i="47"/>
  <c r="J35" i="47"/>
  <c r="D35" i="47"/>
  <c r="G132" i="47"/>
  <c r="J50" i="64"/>
  <c r="J66" i="64" s="1"/>
  <c r="D66" i="64"/>
  <c r="G149" i="64"/>
  <c r="J50" i="47" l="1"/>
  <c r="J66" i="47" s="1"/>
  <c r="J87" i="47" s="1"/>
  <c r="D50" i="47"/>
  <c r="D66" i="47" s="1"/>
  <c r="G139" i="47"/>
  <c r="I139" i="47" s="1"/>
  <c r="G142" i="47"/>
  <c r="I142" i="47" s="1"/>
  <c r="G137" i="47"/>
  <c r="I137" i="47" s="1"/>
  <c r="I132" i="47"/>
  <c r="I130" i="47" s="1"/>
  <c r="G159" i="64"/>
  <c r="I159" i="64" s="1"/>
  <c r="G154" i="64"/>
  <c r="I154" i="64" s="1"/>
  <c r="I149" i="64"/>
  <c r="I147" i="64" s="1"/>
  <c r="G156" i="64"/>
  <c r="I156" i="64" s="1"/>
  <c r="J68" i="64"/>
  <c r="G133" i="64" s="1"/>
  <c r="J68" i="47" l="1"/>
  <c r="I114" i="47"/>
  <c r="G121" i="47"/>
  <c r="I121" i="47" s="1"/>
  <c r="G126" i="47"/>
  <c r="I126" i="47" s="1"/>
  <c r="G123" i="47"/>
  <c r="I123" i="47" s="1"/>
  <c r="I135" i="47"/>
  <c r="I143" i="47" s="1"/>
  <c r="J87" i="64"/>
  <c r="I152" i="64"/>
  <c r="I160" i="64" s="1"/>
  <c r="I133" i="64" l="1"/>
  <c r="I131" i="64" s="1"/>
  <c r="G140" i="64"/>
  <c r="I140" i="64" s="1"/>
  <c r="G138" i="64"/>
  <c r="I138" i="64" s="1"/>
  <c r="G143" i="64"/>
  <c r="I143" i="64" s="1"/>
  <c r="I119" i="47"/>
  <c r="I127" i="47" l="1"/>
  <c r="I384" i="47" s="1"/>
  <c r="I136" i="64"/>
  <c r="I144" i="64" s="1"/>
  <c r="I450" i="46"/>
  <c r="I436" i="46"/>
  <c r="I145" i="47" l="1"/>
  <c r="I382" i="47" s="1"/>
  <c r="L394" i="47"/>
  <c r="I419" i="64"/>
  <c r="I162" i="64"/>
  <c r="I418" i="46"/>
  <c r="I421" i="46" s="1"/>
  <c r="I411" i="46"/>
  <c r="I397" i="46"/>
  <c r="I414" i="46" l="1"/>
  <c r="I400" i="46"/>
  <c r="I471" i="46"/>
  <c r="I470" i="46"/>
  <c r="J341" i="46"/>
  <c r="J346" i="46"/>
  <c r="J327" i="46"/>
  <c r="J326" i="46"/>
  <c r="J309" i="46" s="1"/>
  <c r="J292" i="46"/>
  <c r="J291" i="46"/>
  <c r="J288" i="46"/>
  <c r="J286" i="46"/>
  <c r="I263" i="46"/>
  <c r="H254" i="46"/>
  <c r="I129" i="46"/>
  <c r="G304" i="46" l="1"/>
  <c r="I205" i="46"/>
  <c r="J348" i="46"/>
  <c r="G353" i="46" l="1"/>
  <c r="I358" i="46"/>
  <c r="I212" i="46" l="1"/>
  <c r="I466" i="46" s="1"/>
  <c r="I217" i="46"/>
  <c r="I219" i="46" l="1"/>
  <c r="I122" i="46" l="1"/>
  <c r="I106" i="46"/>
  <c r="I117" i="46" l="1"/>
  <c r="C88" i="46"/>
  <c r="G87" i="46"/>
  <c r="D87" i="46" s="1"/>
  <c r="J87" i="46" s="1"/>
  <c r="G86" i="46"/>
  <c r="D86" i="46" s="1"/>
  <c r="J86" i="46" s="1"/>
  <c r="G85" i="46"/>
  <c r="D85" i="46" s="1"/>
  <c r="J85" i="46" s="1"/>
  <c r="G84" i="46"/>
  <c r="D84" i="46" s="1"/>
  <c r="J84" i="46" s="1"/>
  <c r="G83" i="46"/>
  <c r="D83" i="46" s="1"/>
  <c r="J83" i="46" s="1"/>
  <c r="K464" i="46" l="1"/>
  <c r="J88" i="46"/>
  <c r="D88" i="46"/>
  <c r="D93" i="46" s="1"/>
  <c r="G151" i="46" l="1"/>
  <c r="I151" i="46" s="1"/>
  <c r="G149" i="46" l="1"/>
  <c r="I149" i="46" s="1"/>
  <c r="G154" i="46"/>
  <c r="I154" i="46" s="1"/>
  <c r="J461" i="46"/>
  <c r="J460" i="46"/>
  <c r="I404" i="46"/>
  <c r="H258" i="46"/>
  <c r="O255" i="46"/>
  <c r="I224" i="46"/>
  <c r="I225" i="46" s="1"/>
  <c r="I473" i="46" l="1"/>
  <c r="I407" i="46"/>
  <c r="G462" i="46"/>
  <c r="O262" i="46"/>
  <c r="I305" i="30" l="1"/>
  <c r="I307" i="30" s="1"/>
  <c r="I293" i="30"/>
  <c r="I285" i="30"/>
  <c r="I271" i="30"/>
  <c r="I269" i="30"/>
  <c r="J262" i="30"/>
  <c r="J261" i="30"/>
  <c r="I317" i="30" s="1"/>
  <c r="J260" i="30"/>
  <c r="I316" i="30" s="1"/>
  <c r="J259" i="30"/>
  <c r="J258" i="30"/>
  <c r="J257" i="30"/>
  <c r="J256" i="30"/>
  <c r="J255" i="30"/>
  <c r="J254" i="30"/>
  <c r="J253" i="30"/>
  <c r="J252" i="30"/>
  <c r="J251" i="30"/>
  <c r="J250" i="30"/>
  <c r="J249" i="30"/>
  <c r="J248" i="30"/>
  <c r="J247" i="30"/>
  <c r="J246" i="30"/>
  <c r="J245" i="30"/>
  <c r="J244" i="30"/>
  <c r="J243" i="30"/>
  <c r="J242" i="30"/>
  <c r="J234" i="30"/>
  <c r="J233" i="30"/>
  <c r="J232" i="30"/>
  <c r="J231" i="30"/>
  <c r="J230" i="30"/>
  <c r="J229" i="30"/>
  <c r="J228" i="30"/>
  <c r="J227" i="30"/>
  <c r="J226" i="30"/>
  <c r="J225" i="30"/>
  <c r="J224" i="30"/>
  <c r="J223" i="30"/>
  <c r="J222" i="30"/>
  <c r="J221" i="30"/>
  <c r="J220" i="30"/>
  <c r="J219" i="30"/>
  <c r="J218" i="30"/>
  <c r="J217" i="30"/>
  <c r="G200" i="30"/>
  <c r="I200" i="30" s="1"/>
  <c r="G199" i="30"/>
  <c r="I199" i="30" s="1"/>
  <c r="H198" i="30"/>
  <c r="E198" i="30"/>
  <c r="G197" i="30"/>
  <c r="E197" i="30"/>
  <c r="G196" i="30"/>
  <c r="E196" i="30"/>
  <c r="H195" i="30"/>
  <c r="G194" i="30"/>
  <c r="I194" i="30" s="1"/>
  <c r="G193" i="30"/>
  <c r="I193" i="30" s="1"/>
  <c r="H192" i="30"/>
  <c r="E192" i="30"/>
  <c r="G191" i="30"/>
  <c r="I191" i="30" s="1"/>
  <c r="G190" i="30"/>
  <c r="I190" i="30" s="1"/>
  <c r="H189" i="30"/>
  <c r="E189" i="30"/>
  <c r="G188" i="30"/>
  <c r="I188" i="30" s="1"/>
  <c r="G187" i="30"/>
  <c r="I187" i="30" s="1"/>
  <c r="H186" i="30"/>
  <c r="E186" i="30"/>
  <c r="I170" i="30"/>
  <c r="I169" i="30"/>
  <c r="I168" i="30"/>
  <c r="I167" i="30"/>
  <c r="I166" i="30"/>
  <c r="I165" i="30"/>
  <c r="I164" i="30"/>
  <c r="I124" i="30"/>
  <c r="I128" i="30" s="1"/>
  <c r="I99" i="30"/>
  <c r="I96" i="30"/>
  <c r="I94" i="30"/>
  <c r="I89" i="30"/>
  <c r="I87" i="30" s="1"/>
  <c r="I79" i="30"/>
  <c r="I81" i="30" s="1"/>
  <c r="I71" i="30"/>
  <c r="I70" i="30"/>
  <c r="I69" i="30"/>
  <c r="I68" i="30"/>
  <c r="I67" i="30"/>
  <c r="C57" i="30"/>
  <c r="G56" i="30"/>
  <c r="F56" i="30"/>
  <c r="G55" i="30"/>
  <c r="F55" i="30"/>
  <c r="G54" i="30"/>
  <c r="F54" i="30"/>
  <c r="G53" i="30"/>
  <c r="F53" i="30"/>
  <c r="G52" i="30"/>
  <c r="F52" i="30"/>
  <c r="G51" i="30"/>
  <c r="F51" i="30"/>
  <c r="G50" i="30"/>
  <c r="F50" i="30"/>
  <c r="C48" i="30"/>
  <c r="G47" i="30"/>
  <c r="F47" i="30"/>
  <c r="G46" i="30"/>
  <c r="F46" i="30"/>
  <c r="G45" i="30"/>
  <c r="F45" i="30"/>
  <c r="G44" i="30"/>
  <c r="F44" i="30"/>
  <c r="G43" i="30"/>
  <c r="F43" i="30"/>
  <c r="G42" i="30"/>
  <c r="F42" i="30"/>
  <c r="G41" i="30"/>
  <c r="F41" i="30"/>
  <c r="G40" i="30"/>
  <c r="F40" i="30"/>
  <c r="G39" i="30"/>
  <c r="F39" i="30"/>
  <c r="G38" i="30"/>
  <c r="F38" i="30"/>
  <c r="G37" i="30"/>
  <c r="F37" i="30"/>
  <c r="C35" i="30"/>
  <c r="G34" i="30"/>
  <c r="F34" i="30"/>
  <c r="G33" i="30"/>
  <c r="F33" i="30"/>
  <c r="G32" i="30"/>
  <c r="F32" i="30"/>
  <c r="G31" i="30"/>
  <c r="F31" i="30"/>
  <c r="G30" i="30"/>
  <c r="F30" i="30"/>
  <c r="G29" i="30"/>
  <c r="F29" i="30"/>
  <c r="G28" i="30"/>
  <c r="F28" i="30"/>
  <c r="C26" i="30"/>
  <c r="G25" i="30"/>
  <c r="F25" i="30"/>
  <c r="G24" i="30"/>
  <c r="F24" i="30"/>
  <c r="G23" i="30"/>
  <c r="F23" i="30"/>
  <c r="G22" i="30"/>
  <c r="F22" i="30"/>
  <c r="G21" i="30"/>
  <c r="F21" i="30"/>
  <c r="D39" i="30" l="1"/>
  <c r="J39" i="30" s="1"/>
  <c r="D47" i="30"/>
  <c r="J47" i="30" s="1"/>
  <c r="D21" i="30"/>
  <c r="J21" i="30" s="1"/>
  <c r="D25" i="30"/>
  <c r="J25" i="30" s="1"/>
  <c r="I189" i="30"/>
  <c r="I299" i="30"/>
  <c r="D24" i="30"/>
  <c r="J24" i="30" s="1"/>
  <c r="D37" i="30"/>
  <c r="J37" i="30" s="1"/>
  <c r="D46" i="30"/>
  <c r="J46" i="30" s="1"/>
  <c r="I66" i="30"/>
  <c r="I73" i="30" s="1"/>
  <c r="D38" i="30"/>
  <c r="J38" i="30" s="1"/>
  <c r="D40" i="30"/>
  <c r="J40" i="30" s="1"/>
  <c r="D44" i="30"/>
  <c r="J44" i="30" s="1"/>
  <c r="I92" i="30"/>
  <c r="I100" i="30" s="1"/>
  <c r="D43" i="30"/>
  <c r="J43" i="30" s="1"/>
  <c r="D45" i="30"/>
  <c r="J45" i="30" s="1"/>
  <c r="D50" i="30"/>
  <c r="J50" i="30" s="1"/>
  <c r="D52" i="30"/>
  <c r="J52" i="30" s="1"/>
  <c r="D54" i="30"/>
  <c r="J54" i="30" s="1"/>
  <c r="D56" i="30"/>
  <c r="J56" i="30" s="1"/>
  <c r="I197" i="30"/>
  <c r="I198" i="30"/>
  <c r="D29" i="30"/>
  <c r="J29" i="30" s="1"/>
  <c r="D31" i="30"/>
  <c r="J31" i="30" s="1"/>
  <c r="D33" i="30"/>
  <c r="J33" i="30" s="1"/>
  <c r="D22" i="30"/>
  <c r="J22" i="30" s="1"/>
  <c r="D41" i="30"/>
  <c r="J41" i="30" s="1"/>
  <c r="D23" i="30"/>
  <c r="J23" i="30" s="1"/>
  <c r="D28" i="30"/>
  <c r="J28" i="30" s="1"/>
  <c r="D30" i="30"/>
  <c r="J30" i="30" s="1"/>
  <c r="D32" i="30"/>
  <c r="J32" i="30" s="1"/>
  <c r="D34" i="30"/>
  <c r="J34" i="30" s="1"/>
  <c r="D42" i="30"/>
  <c r="J42" i="30" s="1"/>
  <c r="I279" i="30"/>
  <c r="G263" i="30"/>
  <c r="I172" i="30"/>
  <c r="E195" i="30"/>
  <c r="C58" i="30"/>
  <c r="D51" i="30"/>
  <c r="J51" i="30" s="1"/>
  <c r="D53" i="30"/>
  <c r="J53" i="30" s="1"/>
  <c r="D55" i="30"/>
  <c r="J55" i="30" s="1"/>
  <c r="I186" i="30"/>
  <c r="I196" i="30"/>
  <c r="G235" i="30"/>
  <c r="I192" i="30"/>
  <c r="J26" i="30" l="1"/>
  <c r="I195" i="30"/>
  <c r="I202" i="30" s="1"/>
  <c r="I314" i="30" s="1"/>
  <c r="J48" i="30"/>
  <c r="J57" i="30"/>
  <c r="J35" i="30"/>
  <c r="J58" i="30" l="1"/>
  <c r="J60" i="30" s="1"/>
  <c r="I315" i="30" s="1"/>
  <c r="I312" i="30" l="1"/>
  <c r="D66" i="46" l="1"/>
  <c r="D69" i="46" s="1"/>
  <c r="J66" i="46"/>
  <c r="J69" i="46" s="1"/>
  <c r="J70" i="46" l="1"/>
  <c r="L94" i="46" l="1"/>
  <c r="N73" i="46" l="1"/>
  <c r="G128" i="46"/>
  <c r="I128" i="46" s="1"/>
  <c r="I126" i="46" s="1"/>
  <c r="J94" i="46"/>
  <c r="G135" i="46" l="1"/>
  <c r="I135" i="46" s="1"/>
  <c r="G133" i="46"/>
  <c r="I133" i="46" s="1"/>
  <c r="G138" i="46"/>
  <c r="I138" i="46" s="1"/>
  <c r="I131" i="46" l="1"/>
  <c r="I139" i="46" s="1"/>
  <c r="I158" i="46" s="1"/>
  <c r="I464" i="46" s="1"/>
  <c r="FO20" i="75"/>
  <c r="DW46" i="75"/>
  <c r="DW47" i="75" s="1"/>
  <c r="I467" i="46" l="1"/>
  <c r="L464" i="46" s="1"/>
  <c r="DW7" i="75"/>
</calcChain>
</file>

<file path=xl/sharedStrings.xml><?xml version="1.0" encoding="utf-8"?>
<sst xmlns="http://schemas.openxmlformats.org/spreadsheetml/2006/main" count="8584" uniqueCount="1213">
  <si>
    <t>1. Расчеты (обоснования) выплат персоналу (строка 210)</t>
  </si>
  <si>
    <t>N п/п</t>
  </si>
  <si>
    <t>Должность, группа должностей</t>
  </si>
  <si>
    <t>Установленная численность, единиц</t>
  </si>
  <si>
    <t>Среднемесячный размер оплаты труда на одного работника, руб.</t>
  </si>
  <si>
    <t>Ежемесячная надбавка к должностному окладу, %</t>
  </si>
  <si>
    <t>Районный коэффициент</t>
  </si>
  <si>
    <t>Фонд оплаты труда в год, руб. (гр. 3 x гр. 4 x (1 + гр. 8 / 100) x гр. 9 x 12)</t>
  </si>
  <si>
    <t>всего</t>
  </si>
  <si>
    <t>в том числе:</t>
  </si>
  <si>
    <t>по должностному окладу</t>
  </si>
  <si>
    <t>по выплатам компенсационного характера</t>
  </si>
  <si>
    <t>по выплатам стимулирующего характера</t>
  </si>
  <si>
    <t>Итого:</t>
  </si>
  <si>
    <t>x</t>
  </si>
  <si>
    <t>Наименование расходов</t>
  </si>
  <si>
    <t>Средний размер выплаты на одного работника в день, руб.</t>
  </si>
  <si>
    <t>Количество работников, чел.</t>
  </si>
  <si>
    <t>Количество дней</t>
  </si>
  <si>
    <t>Сумма, руб. (гр. 3 x гр. 4 x гр. 5)</t>
  </si>
  <si>
    <t>Численность работников, получающих пособие</t>
  </si>
  <si>
    <t>Количество выплат в год на одного работника</t>
  </si>
  <si>
    <t>Размер выплаты (пособия) в месяц, руб.</t>
  </si>
  <si>
    <t>Наименование государственного внебюджетного фонда</t>
  </si>
  <si>
    <t>Размер базы для начисления страховых взносов, руб.</t>
  </si>
  <si>
    <t>Сумма взноса, руб.</t>
  </si>
  <si>
    <t>Страховые взносы в Пенсионный фонд Российской Федерации, всего</t>
  </si>
  <si>
    <t>1.1.</t>
  </si>
  <si>
    <t>по ставке 22,0%</t>
  </si>
  <si>
    <t>1.2.</t>
  </si>
  <si>
    <t>по ставке 10,0%</t>
  </si>
  <si>
    <t>1.3.</t>
  </si>
  <si>
    <t>с применением пониженных тарифов взносов в Пенсионный фонд Российской Федерации для отдельных категорий плательщиков</t>
  </si>
  <si>
    <t>Страховые взносы в Фонд социального страхования Российской Федерации, всего</t>
  </si>
  <si>
    <t>2.1.</t>
  </si>
  <si>
    <t>обязательное социальное страхование на случай временной нетрудоспособности и в связи с материнством по ставке 2,9%</t>
  </si>
  <si>
    <t>2.2.</t>
  </si>
  <si>
    <t>с применением ставки взносов в Фонд социального страхования Российской Федерации по ставке 0,0%</t>
  </si>
  <si>
    <t>2.3.</t>
  </si>
  <si>
    <t>обязательное социальное страхование от несчастных случаев на производстве и профессиональных заболеваний по ставке 0,2%</t>
  </si>
  <si>
    <t>2.4.</t>
  </si>
  <si>
    <t>обязательное социальное страхование от несчастных случаев на производстве и профессиональных заболеваний по ставке 0,_% &lt;*&gt;</t>
  </si>
  <si>
    <t>2.5.</t>
  </si>
  <si>
    <t>Страховые взносы в Федеральный фонд обязательного медицинского страхования, всего (по ставке 5,1%)</t>
  </si>
  <si>
    <t>Наименование показателя</t>
  </si>
  <si>
    <t>Размер одной выплаты, руб.</t>
  </si>
  <si>
    <t>Количество выплат в год</t>
  </si>
  <si>
    <t>Налоговая база, руб.</t>
  </si>
  <si>
    <t>Ставка налога, %</t>
  </si>
  <si>
    <t>6. Расчет (обоснование) расходов на закупку товаров, работ, услуг</t>
  </si>
  <si>
    <t>Количество номеров</t>
  </si>
  <si>
    <t>Количество платежей в год</t>
  </si>
  <si>
    <t>Стоимость за единицу, руб.</t>
  </si>
  <si>
    <t>Количество услуг перевозки</t>
  </si>
  <si>
    <t>Цена услуги перевозки, руб.</t>
  </si>
  <si>
    <t>Размер потребления ресурсов</t>
  </si>
  <si>
    <t>Тариф (с учетом НДС), руб.</t>
  </si>
  <si>
    <t>Индексация, %</t>
  </si>
  <si>
    <t>Количество</t>
  </si>
  <si>
    <t>Ставка арендной платы</t>
  </si>
  <si>
    <t>Стоимость с учетом НДС, руб.</t>
  </si>
  <si>
    <t>Объект</t>
  </si>
  <si>
    <t>Количество работ (услуг)</t>
  </si>
  <si>
    <t>Стоимость работ (услуг), руб.</t>
  </si>
  <si>
    <t>Количество договоров</t>
  </si>
  <si>
    <t>Стоимость услуги, руб.</t>
  </si>
  <si>
    <t>Средняя стоимость, руб.</t>
  </si>
  <si>
    <t>Муниципальное бюджетное общеобразовательное учреждение гимназия имени Анатолия Иосифовича Яковлева</t>
  </si>
  <si>
    <t>Расчеты (обоснования) к плану финансово-хозяйственной деятельности муниципального учреждения</t>
  </si>
  <si>
    <t>Компенсация расходов на оплату стоимости проезда и провоза багажа к месту использования отпуска и обратно</t>
  </si>
  <si>
    <t>1.</t>
  </si>
  <si>
    <t>компенсация дополнительных расходов, связанных с проживанием вне места постоянного жительства (суточных)</t>
  </si>
  <si>
    <t>компенсация расходов по проезду в служебные командировки</t>
  </si>
  <si>
    <t>компенсация расходов по найму жилого помещения</t>
  </si>
  <si>
    <t>х</t>
  </si>
  <si>
    <t>2.</t>
  </si>
  <si>
    <t>Возмещение расходов на прохождение медицинского осмотра</t>
  </si>
  <si>
    <t>3.</t>
  </si>
  <si>
    <t>Возмещение работникам (сотрудникам) расходов,связанных со служебными командировками, в том числе</t>
  </si>
  <si>
    <t xml:space="preserve">Ежемесячные компенсационные выплаты находящимся в дополнительном отпуске по уходу за ребенком  до достижения им возраста 3 лет </t>
  </si>
  <si>
    <t xml:space="preserve">Код видов расходов </t>
  </si>
  <si>
    <t>Источник финансового обеспечения</t>
  </si>
  <si>
    <t>местный бюджет</t>
  </si>
  <si>
    <t>Субсидия на финансовое обеспечение выполнения муниципального задания на оказание муниципальных услуг (выполнение работ)</t>
  </si>
  <si>
    <t>2. Расчеты (обоснования) расходов на социальные и иные выплаты населению</t>
  </si>
  <si>
    <t>4. Расчет (обоснование) расходов на безвозмездные перечисления организациям</t>
  </si>
  <si>
    <t>4.</t>
  </si>
  <si>
    <t>5.</t>
  </si>
  <si>
    <t>КВР 851</t>
  </si>
  <si>
    <t>КВР 852</t>
  </si>
  <si>
    <t>КВР 853</t>
  </si>
  <si>
    <t>5. Расчет (обоснование) прочих расходов (кроме расходов на закупку товаров, работ, услуг)</t>
  </si>
  <si>
    <t>Абонентская плата за номер</t>
  </si>
  <si>
    <t>Предоставление местных телефонных соединений</t>
  </si>
  <si>
    <t xml:space="preserve">3. </t>
  </si>
  <si>
    <t>Предоставление междугородних телефонных соединений автоматическим способом</t>
  </si>
  <si>
    <t>Абонентское обслуживание в системе электронного документооборота (Контур-Экстерн)</t>
  </si>
  <si>
    <t>6.</t>
  </si>
  <si>
    <t>Бронирование сетевых ресурсов, необходимых для осуществления для присоединения к сети общего пользования (услуги хостинга для официального сайта учреждения)</t>
  </si>
  <si>
    <t>Бронирование сетевых ресурсов, необходимых для осуществления для присоединения к сети общего пользования (продление регистрации доменов для официального сайта учреждения)</t>
  </si>
  <si>
    <t>1 полугодие</t>
  </si>
  <si>
    <t>2 полугодие</t>
  </si>
  <si>
    <t>Общая сумма выплат, руб. (гр.3 x гр.4)</t>
  </si>
  <si>
    <t>Сумма исчисленного налога, подлежащего уплате, руб. (гр.3 x гр.4 / 100)</t>
  </si>
  <si>
    <t>Сумма, руб. (гр.3 x гр.4 x гр.5)</t>
  </si>
  <si>
    <t>Техническое обслуживание и ремонт внутренних электрических сетей (внутридомового электрооборудования)</t>
  </si>
  <si>
    <t>Техническое обслуживание и ремонт системы дымоудаления и противопожарных клапанов</t>
  </si>
  <si>
    <t>Техническое обслуживание и ремонт системы видеонаблюдения</t>
  </si>
  <si>
    <t>Техническое обслуживание и ремонт центральных кондиционеров, вентиляционного оборудования</t>
  </si>
  <si>
    <t>Техническое обслуживание, ремонт и поверка средств измерения узла учета тепловой энергии</t>
  </si>
  <si>
    <t>Техническое обслуживание, ремонт и поверка средств измерения узла учета воды</t>
  </si>
  <si>
    <t>Сервисное обслуживание установок очистки воды</t>
  </si>
  <si>
    <t>Проверка технического состояния транспортного средства</t>
  </si>
  <si>
    <t>Услуги по выполнению противопожарных мероприятий</t>
  </si>
  <si>
    <t>Техническое обслуживание и ремонт сетей теплоснабжения, водоснабжения и водоотведения</t>
  </si>
  <si>
    <t>Техническое обслуживание и ремонт технологического и холодильного оборудования</t>
  </si>
  <si>
    <t>7.</t>
  </si>
  <si>
    <t>8.</t>
  </si>
  <si>
    <t>9.</t>
  </si>
  <si>
    <t>10.</t>
  </si>
  <si>
    <t>11.</t>
  </si>
  <si>
    <t>12.</t>
  </si>
  <si>
    <t>13.</t>
  </si>
  <si>
    <t>куб.м</t>
  </si>
  <si>
    <t>мес.</t>
  </si>
  <si>
    <t>квар.</t>
  </si>
  <si>
    <t>осмотр</t>
  </si>
  <si>
    <t>Выполнение работ по очистке крыши от снега и льда</t>
  </si>
  <si>
    <t>Проведение метрологических услуг (поверка весов)</t>
  </si>
  <si>
    <t>Проведение профилактической дератизации здания</t>
  </si>
  <si>
    <t>Ремонт прочего оборудования</t>
  </si>
  <si>
    <t>14.</t>
  </si>
  <si>
    <t>15.</t>
  </si>
  <si>
    <t>16.</t>
  </si>
  <si>
    <t>17.</t>
  </si>
  <si>
    <t>Охранные услуги (постовая охрана)</t>
  </si>
  <si>
    <t>Информационно-консультативное обслуживание и сопровождение программных продуктов (1С, УРМ)</t>
  </si>
  <si>
    <t>Периодические медицинские осмотры</t>
  </si>
  <si>
    <t>Производственный контроль (замеры)</t>
  </si>
  <si>
    <t>Обучение по охране труда</t>
  </si>
  <si>
    <t>Гигиеническая аттестация работников</t>
  </si>
  <si>
    <t>Обязательное страхование гражданской ответственности владельцев транспортных средств</t>
  </si>
  <si>
    <t>Нотариальные услуги</t>
  </si>
  <si>
    <t>Повышение квалификации работников</t>
  </si>
  <si>
    <t>Охранные услуги с использованием средств тревожной сигнализации и техническое обслуживание тревожной сигнализации</t>
  </si>
  <si>
    <t>Предрейсовый, послерейсовый медицинский осмотр водителей</t>
  </si>
  <si>
    <t>Размещение твердых коммунальных отходов</t>
  </si>
  <si>
    <t>Информационно-технические услуги (право использованимя и годовое сопровождение программы "Контур-Экстерн")</t>
  </si>
  <si>
    <t>Информационно-технические услуги (лицензионное программное обеспечение "VIPNet Client")</t>
  </si>
  <si>
    <t>чел.</t>
  </si>
  <si>
    <t>Прочие работы, услуги</t>
  </si>
  <si>
    <t>Теплоснабжение, Гкал</t>
  </si>
  <si>
    <t>Горячее водоснабжение, куб.м</t>
  </si>
  <si>
    <t>Холодное водоснабжение, куб.м</t>
  </si>
  <si>
    <t>Водоотведение, куб.м</t>
  </si>
  <si>
    <t>Энергоснабжение, тыс.кВт.ч</t>
  </si>
  <si>
    <t>февраль</t>
  </si>
  <si>
    <t>январь</t>
  </si>
  <si>
    <t>февраль - 5 000; июнь - 10 000</t>
  </si>
  <si>
    <t>октябрь</t>
  </si>
  <si>
    <t>ежемесячно</t>
  </si>
  <si>
    <t>март</t>
  </si>
  <si>
    <t>май</t>
  </si>
  <si>
    <t>апрель</t>
  </si>
  <si>
    <t>июнь</t>
  </si>
  <si>
    <t>ноябрь</t>
  </si>
  <si>
    <t>март - 150 000; август - 850 000</t>
  </si>
  <si>
    <t>март, июнь, сентябрь, декабрь - 25 000</t>
  </si>
  <si>
    <t>сентябрь</t>
  </si>
  <si>
    <t>май - 150 000; ноябрь - 150 000</t>
  </si>
  <si>
    <t>Приобретение основных средств (местный бюджет), в том числе</t>
  </si>
  <si>
    <t>печати, штампы</t>
  </si>
  <si>
    <t>Приобретение материальных запасов (местный бюджет), в том числе</t>
  </si>
  <si>
    <t>аптечки, перевязочные средства для аптечек, аскорбиновая кислота</t>
  </si>
  <si>
    <t>мягкий инвентарь (спецодежда)</t>
  </si>
  <si>
    <t>горюче-смазочные материалы</t>
  </si>
  <si>
    <t>моющие и дезинфицирующие средства</t>
  </si>
  <si>
    <t>хозяйственный инвентарь</t>
  </si>
  <si>
    <t xml:space="preserve">канцелярские товары </t>
  </si>
  <si>
    <t>строительные материалы</t>
  </si>
  <si>
    <t>2.6.</t>
  </si>
  <si>
    <t>2.7.</t>
  </si>
  <si>
    <t>Приобретение основных средств (окружной бюджет), в том числе</t>
  </si>
  <si>
    <t>оборудование для кабинета технологии (раздел 2 Перечня, п.81,82)</t>
  </si>
  <si>
    <t>ученическая мебель (раздел 2 Перечня, п.118)</t>
  </si>
  <si>
    <t>синтезатор (раздел 2 Перечня, п.114)</t>
  </si>
  <si>
    <t xml:space="preserve">учебники (раздел 4 Перечня, п.14) </t>
  </si>
  <si>
    <t>Приобретение материальных запасов (окружной бюджет), в том числе</t>
  </si>
  <si>
    <t>мониторы (раздел 1 Перечня, п.26)</t>
  </si>
  <si>
    <t>комплектующие к техническим средствам обучения, для компьютерной техники (раздел 6 Перечня, п.3,4)</t>
  </si>
  <si>
    <t>картриджи (раздел 6 Перечня, п.2)</t>
  </si>
  <si>
    <t>канцелярские товары (раздел 6 Перечня, п.14)</t>
  </si>
  <si>
    <t>наушники (раздел 6 Перечня, п.13)</t>
  </si>
  <si>
    <t>интерактивные доски, проекторы, принтеры (раздел 1 Перечня, п.5,11,30)</t>
  </si>
  <si>
    <t>туристическое снаряжение - палатка (раздел 2 Перечня, п.35)</t>
  </si>
  <si>
    <t>окружной бюджет</t>
  </si>
  <si>
    <t>Программное обеспечение, лицензии на программное обеспечение (раздел 3 Перечня, п.2)</t>
  </si>
  <si>
    <t>Приобретение специальной продукции: медали выпускникам "За особые успехи в учении" (раздел 6 Перечня, п.17)</t>
  </si>
  <si>
    <t>Приобретение бланков строгой отчетности: аттестаты (раздел 6 Перечня, п.18)</t>
  </si>
  <si>
    <t>Телекоммуникационные услуги (Интернет)</t>
  </si>
  <si>
    <t>18.</t>
  </si>
  <si>
    <t>19.</t>
  </si>
  <si>
    <t>дети-дни</t>
  </si>
  <si>
    <t>Предоставление питания (ЗАВТРАКИ и ОБЕДЫ учащимся льготных категорий)</t>
  </si>
  <si>
    <t>Предоставление питания (ЗАВТРАКИ учащимся нельготных категорий)</t>
  </si>
  <si>
    <t>&lt;*&gt;   Указываются   страховые  тарифы,  дифференцированные  по  классам профессионального  риска,  установленные  Федеральным законом от 22 декабря 2005   г.    N  179-ФЗ  «О  страховых  тарифах  на  обязательное социальное страхование  от  несчастных  случаев  на  производстве  и  профессиональных заболеваний  на  2006 год» (Собрание законодательства Российской Федерации, 2005, N 52, ст. 5592; 2015, N 51, ст. 7233).</t>
  </si>
  <si>
    <t>Категория: РУКОВОДИТЕЛИ</t>
  </si>
  <si>
    <t>директор</t>
  </si>
  <si>
    <t>заместитель директора по учебно-воспитательной работе</t>
  </si>
  <si>
    <t>заместитель директора по воспитательной  работе</t>
  </si>
  <si>
    <t>заместитель директора по административно-хозяйственной работе</t>
  </si>
  <si>
    <t>главный бухгалтер</t>
  </si>
  <si>
    <t>Итого</t>
  </si>
  <si>
    <t xml:space="preserve"> педагог-психолог</t>
  </si>
  <si>
    <t>учитель-логопед</t>
  </si>
  <si>
    <t>социальный педагог</t>
  </si>
  <si>
    <t>преподаватель-организатор основ безопасности жизнедеятельности</t>
  </si>
  <si>
    <t>педагог-организатор</t>
  </si>
  <si>
    <t>педагог дополнительного образования</t>
  </si>
  <si>
    <t>Категория: СПЕЦИАЛИСТЫ (педагогический персонал)</t>
  </si>
  <si>
    <t>учитель</t>
  </si>
  <si>
    <t>Категория: СПЕЦИАЛИСТЫ (прочие)</t>
  </si>
  <si>
    <t>бухгалтер</t>
  </si>
  <si>
    <t>экономист</t>
  </si>
  <si>
    <t>инженер по техническим средствам обучения</t>
  </si>
  <si>
    <t>специалист по охране труда</t>
  </si>
  <si>
    <t>специалист по кадрам</t>
  </si>
  <si>
    <t>документовед</t>
  </si>
  <si>
    <t>библиотекарь</t>
  </si>
  <si>
    <t>Категория: РАБОЧИЕ</t>
  </si>
  <si>
    <t>уборщик служебных помещений</t>
  </si>
  <si>
    <t>рабочий по комплексному обслуживанию и ремонту зданий</t>
  </si>
  <si>
    <t>водитель</t>
  </si>
  <si>
    <t>сторож</t>
  </si>
  <si>
    <t>вахтер</t>
  </si>
  <si>
    <t>кладовщик</t>
  </si>
  <si>
    <t>уборщик территории</t>
  </si>
  <si>
    <t>20.</t>
  </si>
  <si>
    <t>21.</t>
  </si>
  <si>
    <t>22.</t>
  </si>
  <si>
    <t>23.</t>
  </si>
  <si>
    <t>24.</t>
  </si>
  <si>
    <t>25.</t>
  </si>
  <si>
    <t>26.</t>
  </si>
  <si>
    <t>27.</t>
  </si>
  <si>
    <t>28.</t>
  </si>
  <si>
    <t>29.</t>
  </si>
  <si>
    <t>30.</t>
  </si>
  <si>
    <t>в т.ч.</t>
  </si>
  <si>
    <t>окружной бюджет (госстандарт)</t>
  </si>
  <si>
    <t>организация питания (СУБВЕНЦИЯ)</t>
  </si>
  <si>
    <t>организация питания (СУБСИДИЯ)</t>
  </si>
  <si>
    <t>Техническое обслуживание системы пожарной сигнализации, системы оповещения людей о пожаре, системы дублирования тревожных сообщений на пульт 01</t>
  </si>
  <si>
    <t>Транспортирование твердых коммунальных отходов и передача отходов для размещения на полигон утилизации ТКО г.Урай</t>
  </si>
  <si>
    <t>Дата</t>
  </si>
  <si>
    <t>по ОКЕИ</t>
  </si>
  <si>
    <t>Х</t>
  </si>
  <si>
    <t>Директор</t>
  </si>
  <si>
    <t>Главный бухгалтер</t>
  </si>
  <si>
    <t>28 декабря 2016 года</t>
  </si>
  <si>
    <t>Сумма, руб. (гр.3 x гр.4)</t>
  </si>
  <si>
    <t>Экономист</t>
  </si>
  <si>
    <t>платные услуги</t>
  </si>
  <si>
    <t>на</t>
  </si>
  <si>
    <t>1.4.</t>
  </si>
  <si>
    <t>1.5.</t>
  </si>
  <si>
    <t>2017г.</t>
  </si>
  <si>
    <t>Код строки</t>
  </si>
  <si>
    <t>субсидии на осуществление капитальных вложений</t>
  </si>
  <si>
    <t>социальные и иные выплаты населению, всего</t>
  </si>
  <si>
    <t>очередной финансовый год</t>
  </si>
  <si>
    <t>0001</t>
  </si>
  <si>
    <t>(подпись)</t>
  </si>
  <si>
    <t>(расшифровка подписи)</t>
  </si>
  <si>
    <t>6.3. Расчет (обоснование) расходов на оплату коммунальных услуг (КОСГУ 223)</t>
  </si>
  <si>
    <t>6.5. Расчет (обоснование) расходов на оплату работ, услуг по содержанию имущества (КОСГУ 225)</t>
  </si>
  <si>
    <t>1.6.</t>
  </si>
  <si>
    <t>1.7.</t>
  </si>
  <si>
    <t>6.2. Расчет (обоснование) расходов на оплату транспортных услуг (КОСГУ 222)</t>
  </si>
  <si>
    <t>6.4. Расчет (обоснование) расходов на оплату аренды имущества (КОСГУ 224)</t>
  </si>
  <si>
    <t>6.6. Расчет (обоснование) расходов на оплату прочих работ, услуг (КОСГУ 226)</t>
  </si>
  <si>
    <t>6.7. Расчет (обоснование) расходов на приобретение основных средств (КОСГУ 310)</t>
  </si>
  <si>
    <t>6.8. Расчет (обоснование) расходов на материальных запасов (КОСГУ 340)</t>
  </si>
  <si>
    <t>6.9. Расчет (обоснование) расходов на материальных запасов (КОСГУ 290)</t>
  </si>
  <si>
    <t>Материальная помощь на профилактику заболеваний от годового фонда оплаты труда, иные выплаты</t>
  </si>
  <si>
    <t>1.1. Расчеты (обоснования) расходов на оплату труда (КОСГУ 211 / КВР 111)</t>
  </si>
  <si>
    <t>1.2. Расчеты (обоснования) выплат компенсационного характера персоналу, не включаемых в фонд оплаты труда (КОСГУ 212 / КВР 112)</t>
  </si>
  <si>
    <t>1.3. Расчеты (обоснования) выплат персоналу по уходу за ребенком (КОСГУ 212 / КВР 112)</t>
  </si>
  <si>
    <t>1.4. Расчеты (обоснования) страховых взносов на обязательное страхование в Пенсионный фонд Российской Федерации, в Фонд социального страхования Российской Федерации, в Федеральный фонд обязательного медицинского страхования (КОСГУ 213 / КВР 119)</t>
  </si>
  <si>
    <t>Налог на имущество (КВР 851)</t>
  </si>
  <si>
    <t>Транспортный налог (КВР 852)</t>
  </si>
  <si>
    <t>Плата за загрязнение окружающей среды (КВР 853)</t>
  </si>
  <si>
    <t>Государственная пошлина и сборы (в установленных законодательством случаях) (КВР 852)</t>
  </si>
  <si>
    <t>3. Расчет (обоснование) расходов на уплату налогов, сборов и иных платежей (КОСГУ 290)</t>
  </si>
  <si>
    <t>6.1. Расчет (обоснование) расходов на оплату услуг связи (КОСГУ 221)</t>
  </si>
  <si>
    <t>кол-во</t>
  </si>
  <si>
    <t>средняя стоимость</t>
  </si>
  <si>
    <t>сумма</t>
  </si>
  <si>
    <t>ед.изм.</t>
  </si>
  <si>
    <t>услуга</t>
  </si>
  <si>
    <t>шт.</t>
  </si>
  <si>
    <t>учащихся</t>
  </si>
  <si>
    <t>л</t>
  </si>
  <si>
    <t>кв.м</t>
  </si>
  <si>
    <t>работников</t>
  </si>
  <si>
    <t>Фонд оплаты труда в год, руб. (гр. 3 x гр. 4 x (гр. 8 / 100 + гр. 9) x 12)</t>
  </si>
  <si>
    <t xml:space="preserve">   Категория рабочие</t>
  </si>
  <si>
    <t>Рабочий по комплексному обслуживанию и ремонту зданий</t>
  </si>
  <si>
    <t>Кладовщик</t>
  </si>
  <si>
    <t>Уборщик служебных помещений</t>
  </si>
  <si>
    <t>Сторож</t>
  </si>
  <si>
    <t>Дворник</t>
  </si>
  <si>
    <t>Итого рабочиие</t>
  </si>
  <si>
    <t>Доплата до МРОТ</t>
  </si>
  <si>
    <t>Воспитатель</t>
  </si>
  <si>
    <t>Педагог-психолог</t>
  </si>
  <si>
    <t>Учитель-логопед</t>
  </si>
  <si>
    <t>Социальный педагог</t>
  </si>
  <si>
    <t xml:space="preserve">Специалист по охране труда </t>
  </si>
  <si>
    <t>Специалист по закупкам</t>
  </si>
  <si>
    <t>Специалист по кадрам</t>
  </si>
  <si>
    <t>Делопроизводитель</t>
  </si>
  <si>
    <t xml:space="preserve">Оплата проезда к месту учебы и обратно, транспортные услуги в хозяйственных целях        </t>
  </si>
  <si>
    <t>Охранные услуги с использованием средств тревожной сигнализации</t>
  </si>
  <si>
    <t>Итого (окружной бюджет):</t>
  </si>
  <si>
    <t>Всего (местный бюджет, окружной бюджет):</t>
  </si>
  <si>
    <t>Производственный контроль за соблюдением сан-эпид.мероприятий (гигиеническая аттестация работников)</t>
  </si>
  <si>
    <t>огнетушители</t>
  </si>
  <si>
    <t>Единовременная выплата при предоставлении ежегодного оплачиваемого отпуска 10% от годового фонда оплаты труда</t>
  </si>
  <si>
    <t xml:space="preserve">Техническое обслуживание системы вентиляции и дымоудаления </t>
  </si>
  <si>
    <t>Техническое обслуживание и ремонт сетей теплоснабжения, водоснабжения и водоотведения. Сервисное обслуживание установок очистки воды. Техническое обслуживание внутреннего противопожарного водоснабжения.</t>
  </si>
  <si>
    <t>благотворительность</t>
  </si>
  <si>
    <t>Оказание услуг по организации и сопровождению канала связи для передачи тревожных сообщений на пульт 01</t>
  </si>
  <si>
    <t>Техническое обслуживание и ремонт системы установок пожарной сигнализации</t>
  </si>
  <si>
    <t>1.8.</t>
  </si>
  <si>
    <t>Защита персональных данных</t>
  </si>
  <si>
    <t>Материальная помощь на профилактику заболеваний 10% от годового фонда оплаты труда</t>
  </si>
  <si>
    <t xml:space="preserve">Оплата за измерения и испытания сопротивления изоляции электрооборудования и электроустановок     (1 раз в 3 года) структурное подразделение </t>
  </si>
  <si>
    <t>Оплата за обучение по пожарно-техническому минимуму</t>
  </si>
  <si>
    <t>Информационно-технические услуги (право использования и годовое сопровождение программы "Контур-Экстерн")</t>
  </si>
  <si>
    <t>Сопровождения Контур Экстерн</t>
  </si>
  <si>
    <t>Услуг связи (местный бюджет), в том числе</t>
  </si>
  <si>
    <t>1.1</t>
  </si>
  <si>
    <t>1.2</t>
  </si>
  <si>
    <t>1.3</t>
  </si>
  <si>
    <t>Услуг связи (окружной бюджет), в том числе</t>
  </si>
  <si>
    <t>2.1</t>
  </si>
  <si>
    <t xml:space="preserve"> Оплата прочих работ, услуг  (местный бюджет), в том числе</t>
  </si>
  <si>
    <t>1.9.</t>
  </si>
  <si>
    <t xml:space="preserve"> Оплата прочих работ, услуг  (окружной бюджет), в том числе</t>
  </si>
  <si>
    <t>1.1. Расчеты (обоснования) расходов на оплату труда (КОСГУ 211, 266 / КВР 111)</t>
  </si>
  <si>
    <t>КОСГУ 211</t>
  </si>
  <si>
    <t>КОСГУ 266</t>
  </si>
  <si>
    <t>1.2. Расчеты (обоснования) выплат компенсационного характера персоналу, не включаемых в фонд оплаты труда (КОСГУ 212, 214, 226 / КВР 112)</t>
  </si>
  <si>
    <t>КОСГУ 212</t>
  </si>
  <si>
    <t>Компенсация дополнительных расходов, связанных с проживанием вне места постоянного жительства (суточные )</t>
  </si>
  <si>
    <t>КОСГУ 214</t>
  </si>
  <si>
    <t>КОСГУ 226</t>
  </si>
  <si>
    <t>Возмещение расходов на прохождение медицинского осмотра (первичный мед.осмотр)</t>
  </si>
  <si>
    <t>1.3. Расчеты (обоснования) выплат персоналу по уходу за ребенком (КОСГУ 266 / КВР 112)</t>
  </si>
  <si>
    <t>Материальная помощь близким родственникам в случае смерти работника</t>
  </si>
  <si>
    <t>Выплата работникам среднемесячного заработка на период трудоустройства  при их увольнении в связи  с лиувидацией либо реорганизацией учреждения, иными организационно-штатными мероприятиями, приводящими к  сокращению численности или штата учреждения</t>
  </si>
  <si>
    <t>3. Расчет (обоснование) расходов на уплату налогов, сборов и иных платежей (КОСГУ 291)</t>
  </si>
  <si>
    <t>Выплата пособий за первые три дня временной нетрудоспособности за счет средств работодателя (местный бюджет)</t>
  </si>
  <si>
    <t>Выплата пособий за первые три дня временной нетрудоспособности за счет средств работодателя (окружной бюджет)</t>
  </si>
  <si>
    <t>Субсидия на финансовое обеспечение выполнения муниципального задания на оказание муниципальных услуг   (выполнение работ)</t>
  </si>
  <si>
    <t>выплата материальной помощи на погребение сотрудника</t>
  </si>
  <si>
    <t>1.10.</t>
  </si>
  <si>
    <t>1.11.</t>
  </si>
  <si>
    <t>1.12.</t>
  </si>
  <si>
    <t>2. Расчеты (обоснования) расходов на социальные и иные выплаты населению КОСГУ 264/КВР 321</t>
  </si>
  <si>
    <t>Твердые коммунальные услуги, м3</t>
  </si>
  <si>
    <t>Центр занятости</t>
  </si>
  <si>
    <t>Итого (центр занятости):</t>
  </si>
  <si>
    <t>3.1.</t>
  </si>
  <si>
    <t>6.7. Услуги работы для целей капитальных вложений (КОСГУ 228)</t>
  </si>
  <si>
    <t>6.8.  Расчет (обоснование) расходов на увеличение стоимости основных средств (КОСГУ 310)</t>
  </si>
  <si>
    <t>6.9.  Расчет (обоснование) расходов на увеличение стоимости материальных запасов (КОСГУ 340)</t>
  </si>
  <si>
    <t>6.10. Расчет (обоснование) расходов на приобретение права пользования (КОСГУ 350)</t>
  </si>
  <si>
    <t>по Сводному реестру</t>
  </si>
  <si>
    <t>глава по БК</t>
  </si>
  <si>
    <t>ИНН</t>
  </si>
  <si>
    <t>КПП</t>
  </si>
  <si>
    <t>Сумма</t>
  </si>
  <si>
    <t>за пределами планового периода</t>
  </si>
  <si>
    <t>Доходы, всего:</t>
  </si>
  <si>
    <t>доходы от штрафов, пеней, иных сумм принудительного изъятия, всего</t>
  </si>
  <si>
    <t>доходы от операций с активами, всего</t>
  </si>
  <si>
    <t>Расходы, всего</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</si>
  <si>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</si>
  <si>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</si>
  <si>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</si>
  <si>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</si>
  <si>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</si>
  <si>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</si>
  <si>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страховые взносы на обязательное социальное страхование в части выплат персоналу, подлежащих обложению страховыми взносами</t>
  </si>
  <si>
    <t>выплата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</si>
  <si>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</si>
  <si>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уплата налогов, сборов и иных платежей, всего</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</si>
  <si>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</si>
  <si>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</si>
  <si>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</si>
  <si>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</si>
  <si>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</si>
  <si>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</si>
  <si>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</si>
  <si>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</si>
  <si>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0002</t>
  </si>
  <si>
    <t>за счет субсидий, предоставляемых в соответствии с абзацем вторым пункта 1 статьи 78.1 Бюджетного кодекса Российской Федерации</t>
  </si>
  <si>
    <t>1.4.2.1</t>
  </si>
  <si>
    <t>за счет средств обязательного медицинского страхования</t>
  </si>
  <si>
    <t>за счет прочих источников финансового обеспечения</t>
  </si>
  <si>
    <t>в том числе по году начала закупки:</t>
  </si>
  <si>
    <t>Доплата до МРОТ (26686 руб.)</t>
  </si>
  <si>
    <t xml:space="preserve">&lt;*&gt;   Указываются   страховые  тарифы,  дифференцированные  по  классам профессионального  риска,  установленные  Федеральным законом от 22 декабря 2005   г.    N  179-ФЗ  «О  страховых  тарифах  на  обязательное социальное страхование  от  несчастных  случаев  на  производстве  и  профессиональных заболеваний  на  2006 год» </t>
  </si>
  <si>
    <t>Исполнитель: экономист</t>
  </si>
  <si>
    <t>С.Н.Ершова</t>
  </si>
  <si>
    <t>О.Г.Иванова</t>
  </si>
  <si>
    <t>тел.: 8(34676)22296</t>
  </si>
  <si>
    <t xml:space="preserve">    Муниципальное бюджетное общеобразовательное учреждение средняя общеобразовательная школа №5</t>
  </si>
  <si>
    <t xml:space="preserve"> Категория: " Руководители"</t>
  </si>
  <si>
    <t>Заместитель директора  по учебно- воспитательной  работе</t>
  </si>
  <si>
    <t>Заместитель директора  по воспитательной  работе</t>
  </si>
  <si>
    <t>Заместитель директора  по  гражданско-патриотическому воспитанию</t>
  </si>
  <si>
    <t>Заместитель директора по административно-хозяйственной работе</t>
  </si>
  <si>
    <t>Итого по категории "Руководители"</t>
  </si>
  <si>
    <t xml:space="preserve">   Категория: "Специалисты"</t>
  </si>
  <si>
    <t>группа "Педагогический персонал"</t>
  </si>
  <si>
    <t>Учитель-дефектолог</t>
  </si>
  <si>
    <t>Преподаватель организатор основ безопасности и жизнедеятельности (допризывной подготовки)</t>
  </si>
  <si>
    <t>Педагог-организатор</t>
  </si>
  <si>
    <t>Педагог дополнительного образования</t>
  </si>
  <si>
    <t>Учитель</t>
  </si>
  <si>
    <t>Эсперты</t>
  </si>
  <si>
    <t>итого по группе</t>
  </si>
  <si>
    <t>группа "Прочие специалисты"</t>
  </si>
  <si>
    <t>Инженер (по техническим средствам обучения)</t>
  </si>
  <si>
    <t>Специалист (по связям с общественностью)</t>
  </si>
  <si>
    <t>Специалист (по питанию)</t>
  </si>
  <si>
    <t>Бухгалтер</t>
  </si>
  <si>
    <t>Экономист 1 категории</t>
  </si>
  <si>
    <t>Лаборант</t>
  </si>
  <si>
    <t>Звукооператор</t>
  </si>
  <si>
    <t>Документовед</t>
  </si>
  <si>
    <t>Библиотекарь</t>
  </si>
  <si>
    <t xml:space="preserve">итого по группе </t>
  </si>
  <si>
    <t>Итого по категории "Специалисты"</t>
  </si>
  <si>
    <t>Итого по категории "Служащие"</t>
  </si>
  <si>
    <t>Архивариус</t>
  </si>
  <si>
    <t>Ассистент по оказанию технической помощи</t>
  </si>
  <si>
    <t xml:space="preserve">   Категория "Служащие"</t>
  </si>
  <si>
    <t xml:space="preserve">   Категория "Рабочие"</t>
  </si>
  <si>
    <t>Водитель</t>
  </si>
  <si>
    <t>Вахтер</t>
  </si>
  <si>
    <t>Итого по категории "Рабочие"</t>
  </si>
  <si>
    <t>Итого (местный бюджет, окружной бюджет):</t>
  </si>
  <si>
    <t>Содействие улучшению положения на рынке труда не занятых трудовой деятельность и безработных граждан</t>
  </si>
  <si>
    <t>курьер</t>
  </si>
  <si>
    <t>Компенсация расходов на оплату стоимости проезда и провоза багажа к месту использования отпуска и обратно(работники учреждения)</t>
  </si>
  <si>
    <t>Компенсация расходов на оплату стоимости проезда и провоза багажа к месту использования отпуска и обратно (иждивенцы работников кучреждения)</t>
  </si>
  <si>
    <t>4 квартал 2019.</t>
  </si>
  <si>
    <t>1,2,3 кв.  2020г.</t>
  </si>
  <si>
    <t xml:space="preserve">Обслуживание кнопки тревожной сигнализации </t>
  </si>
  <si>
    <t>Проведение технического состояния транспортного средства</t>
  </si>
  <si>
    <t xml:space="preserve">Охранные услуги (постовая охрана) </t>
  </si>
  <si>
    <t>Предрейсовый , послерейсовый медицинский осмотр водителя</t>
  </si>
  <si>
    <t>Информационно-технические услуги (право использования и годовое сопровождение программы "Сбис")</t>
  </si>
  <si>
    <t>Право использование программы ЭВМ "Квалифицированный классик", для управления сертификатом УРМ</t>
  </si>
  <si>
    <t>установка и настройка ПО VIP Net Client (КТЗ)</t>
  </si>
  <si>
    <t xml:space="preserve"> Оплата прочих работ, услуг  (окружной бюджет ), в том числе</t>
  </si>
  <si>
    <t>Организация питания обучающихся (софинансирование)</t>
  </si>
  <si>
    <t>Организация питания обучающихся (льготная категория)</t>
  </si>
  <si>
    <t>повышение квалификации работников учреждения</t>
  </si>
  <si>
    <t>4.1.</t>
  </si>
  <si>
    <t>4.2.</t>
  </si>
  <si>
    <t xml:space="preserve"> Оплата прочих работ, услуг  (окружной бюджет), п.3.10. Обеспечение проведения государственной итоговой аттестации,  в том числе</t>
  </si>
  <si>
    <t>5.1.</t>
  </si>
  <si>
    <t>приобретение программного продукта - Шлюз безопасности+контент фильтр</t>
  </si>
  <si>
    <t>госстандарт</t>
  </si>
  <si>
    <t xml:space="preserve"> Оплата прочих работ, услуг  (окружной, местный бюджет), п.7.1. Организация работы лагеря дневного прибывания,в том числе</t>
  </si>
  <si>
    <t>6.1.</t>
  </si>
  <si>
    <t>6.2.</t>
  </si>
  <si>
    <t>6.3.</t>
  </si>
  <si>
    <t>6.4.</t>
  </si>
  <si>
    <t>Организация горячего питания в лагере дневного прибывания (местный бюджет)</t>
  </si>
  <si>
    <t>Организация горячего питания в лагере дневного прибывания (окружной бюджет)</t>
  </si>
  <si>
    <t>Посещение  кинотеатра в лагере дневного прибывания</t>
  </si>
  <si>
    <t>Страхование обучающихся в лагере с дневным прибыванием</t>
  </si>
  <si>
    <t>классы</t>
  </si>
  <si>
    <t xml:space="preserve"> КОСГУ 341 " Увеличение стоимости лекарственных препаратов и материалов"</t>
  </si>
  <si>
    <t xml:space="preserve"> КОСГУ 342 "Увеличение стоимости продуктов питания"</t>
  </si>
  <si>
    <t xml:space="preserve"> КОСГУ 343 "Увеличение стоимости ГСМ"</t>
  </si>
  <si>
    <t xml:space="preserve"> КОСГУ 344 " Увеличение стоимости строительных материалов"</t>
  </si>
  <si>
    <t>ГСМ</t>
  </si>
  <si>
    <t>приобретение спец.одежды</t>
  </si>
  <si>
    <t xml:space="preserve"> КОСГУ 345 " Увеличение стоимости мягкого инвентаря"</t>
  </si>
  <si>
    <t>КОСГУ 346"Увеличение стоимости прочих оборотных запасов"</t>
  </si>
  <si>
    <t>моющие, дезинфицирующие средства</t>
  </si>
  <si>
    <t>хозяйственные товары</t>
  </si>
  <si>
    <t>раздел 4 печатные пособия, библиотечный фонд - приобретение учебных пособий КОСГУ 346</t>
  </si>
  <si>
    <t>раздел 6 расходные материалы - приобретение канц.товаров, картриджей, расходных материалов для каб. Химии, технологии КОСГУ 346</t>
  </si>
  <si>
    <t>КОСГУ 349"Увеличение стоимости прочих материальных запасов однократного применения"</t>
  </si>
  <si>
    <t>изготовление бланков строгой отчетности</t>
  </si>
  <si>
    <t>3.2.</t>
  </si>
  <si>
    <t>приобретение настольных игр, хоз.товаров, моющих средств</t>
  </si>
  <si>
    <t>п. РО 3.10. (ЕГЭ)</t>
  </si>
  <si>
    <t>Итого лагерь дневного прибывания (местный бюджет):</t>
  </si>
  <si>
    <t>5.1. Страхование (КОСГУ 227)</t>
  </si>
  <si>
    <t>Страхование автомобиля (местный бюджет)</t>
  </si>
  <si>
    <t>программа "Развитие образования и молодежной политики в городе Урай" на 2019-2030 годы, подпрограмма 3, подпункт 3.6. "Мероприятия, способствующие развитию детских органов самоуправления (проведение и участие  в мероприятиях городского, окружного и федерального уровней)</t>
  </si>
  <si>
    <t>программа "Развитию образования и молодежной политики в городе Урай" на 2019-2030 годы", подпрограмма 3, подпункт3.4. "Реализация мероприятий , направленных на гражданско-патриотическое воспитание молодежи" (бюджет городского округа Урай).</t>
  </si>
  <si>
    <t>расходы в части суточных  расходов, для участия в поисковой экспедиции "Патриот"</t>
  </si>
  <si>
    <t>оплата транспортных расходов, проживание сопровождающему на фестиваль "Диалог цивилизаций"(квр 112)</t>
  </si>
  <si>
    <t>оплата транспортных расходов, проживание, обучающегося  на фестиваль "Диалог цивилизаций"(квр 113)</t>
  </si>
  <si>
    <t>огранизация горячего питания (обучающийся)</t>
  </si>
  <si>
    <t>программа "Развитию образования и молодежной политики в городе Урай" на 2019-2030 годы", подпрограмма 3, подпункт 3.4. "Реализация мероприятий , направленных на гражданско-патриотическое воспитание молодежи" (бюджет городского округа Урай).</t>
  </si>
  <si>
    <t>стрельба в городском тире (учебные сборы) квр 244</t>
  </si>
  <si>
    <t>организация горячего питания (учебные сборы) квр 244</t>
  </si>
  <si>
    <t>проезд, проживание сопровождающих  отряда "Патриот"(2 сопровождающих) КВР 112</t>
  </si>
  <si>
    <t>вода бутилированная (на проведение учебных сборов)</t>
  </si>
  <si>
    <t>форма камуфляжная</t>
  </si>
  <si>
    <t>п.3 п 3.4</t>
  </si>
  <si>
    <t>п.2 п 2.5</t>
  </si>
  <si>
    <t>Горячее водоснабжение, куб.м (компонент на холодную воду)</t>
  </si>
  <si>
    <t>Горячее водоснабжение, Гкал (компонент на тепловую энергию)</t>
  </si>
  <si>
    <t>Свод средств от предпринимательской и иной приносящей доход деятельности</t>
  </si>
  <si>
    <t>Приобретение основных средств , в том числе</t>
  </si>
  <si>
    <t>лагерь ДПД</t>
  </si>
  <si>
    <t>Итого :</t>
  </si>
  <si>
    <t>Возмещение расходов на прохождение медицинского осмотра (ЛДП)</t>
  </si>
  <si>
    <t>органинизация гор.питания (местный бюджет)</t>
  </si>
  <si>
    <t>1.2. Расчеты (обоснования) выплат компенсационного характера персоналу, не включаемых в фонд оплаты труда (КОСГУ 212, 214, 226 / КВР 112, 113)</t>
  </si>
  <si>
    <t xml:space="preserve"> Приобретение  расходных материалов, канц.товаров и т.д.  (окружной бюджет), п.3.10. Обеспечение проведения государственной итоговой аттестации,  в том числе</t>
  </si>
  <si>
    <t>года</t>
  </si>
  <si>
    <t>Материальная помощь на погребение (местный бюджет)</t>
  </si>
  <si>
    <t>работа</t>
  </si>
  <si>
    <t>КОСГУ 266 (КВР 111, 321)</t>
  </si>
  <si>
    <t>Выплата пособий за первые три дня временной нетрудоспособности за счет средств работодателя (окружной бюджет) КВР 111</t>
  </si>
  <si>
    <t>Итого по КОСГУ 340:</t>
  </si>
  <si>
    <t>Начисление на оплату труда экспертам (окружной бюджет)</t>
  </si>
  <si>
    <t>Оплата экспертам за проверку работ по ЕГЭ, ОГЭ (окружной бюджет)</t>
  </si>
  <si>
    <t>Организация питания обучающихся (софинансирование 1 - 4 классы)</t>
  </si>
  <si>
    <t>2. Расчеты (обоснования) расходов на социальные и иные выплаты населению КОСГУ 296/КВР 350</t>
  </si>
  <si>
    <t>награждения учащихся стипендией главы города Урай</t>
  </si>
  <si>
    <t>награждения учащихся премией ООО "ЛУКОЙЛ-Западная Сибирь"</t>
  </si>
  <si>
    <t>Программа «Развитие образования и молодежной политики в городе Урай» на 2019-2030 годы, утвержденной постановлением администрации города Урай от 27.09.2018 №2502, подпрограмма III , подпункт 3.2. "Организация и проведение мероприятий по развитию талантливых  детей и молодежи (участие в муниципальных, региональных, федеральных  учебно-исследовательских и творческих мероприятиях: олимпиады, сессии, форумы, чемпионаты, конкурсы, слеты, профильные смены; награждение  с участием главы города Урай, Губернатора Ханты-Мансийского автономного округа - Югры, награждение именной премией общества с ограниченной ответственностью «ЛУКОЙЛ – Западная Сибирь»  учащихся общеобразовательных организаций за отличную учебу и примерное поведение, достижение значительных результатов в олимпиадах, смотрах и конкурсах и др.)"                                                                                                                                            (бюджет городского округа)</t>
  </si>
  <si>
    <t>п.3 п.3.2</t>
  </si>
  <si>
    <t>Приобретение основных средств (гранд, софин-е местный бюджет) по итогам конкурса на лучшею подготовку к воееной службе , в том числе</t>
  </si>
  <si>
    <t>п. 3.4</t>
  </si>
  <si>
    <t>приобретение стартовых номеров</t>
  </si>
  <si>
    <t>федеральные средства</t>
  </si>
  <si>
    <t>"Успех каждого ребенка"</t>
  </si>
  <si>
    <t>выполнение работ по дезинфекции помещения учреждения</t>
  </si>
  <si>
    <t>помощь депутата Думы ХМАО-Югры</t>
  </si>
  <si>
    <t>раздел 3 "Цифровые образовательные ресурсы, экранно-звуковые пособия" демонстрационное , учебное оборудование , наглядные средства обучения- мебель в столовую, учебные классы</t>
  </si>
  <si>
    <t>раздел 5 "Игры и игрушки… "</t>
  </si>
  <si>
    <t xml:space="preserve">раздел 1 "Технические средства обучения"  - приобретение компьютерного класса, системного блока, проектора </t>
  </si>
  <si>
    <t>раздел 2  "Демонстрационное , учебное оборудование , наглядные средства обучения" - мебель в столовую, учебные классы</t>
  </si>
  <si>
    <t>раздел 4 "Печатные пособия, библиотечный фонд"  - приобретение учебников</t>
  </si>
  <si>
    <t>раздел 6  "Расходные материалы"  - приобретение оборудования для кабинета химии, технологии</t>
  </si>
  <si>
    <t>дотация на поддержку мер по обеспечению сбалансированности бюджетов городских округови муниципальных районов ХМАО-Югры, направленные на мероприятия, связанные с профилактикой и устранением последствий распространения новой короновирусной инфекцией</t>
  </si>
  <si>
    <t>Дотация (дезинфекция помещения)</t>
  </si>
  <si>
    <t xml:space="preserve">Оплата труда работникам лагеря с дневным пребыванием </t>
  </si>
  <si>
    <t>ВСЕГО</t>
  </si>
  <si>
    <t>ежемесячное вознаграждение за кл.рук</t>
  </si>
  <si>
    <t>приобретение термометров</t>
  </si>
  <si>
    <t>выполнение печатных работ</t>
  </si>
  <si>
    <t>приобретение значков юнармии</t>
  </si>
  <si>
    <t>приобретение парадной формы</t>
  </si>
  <si>
    <t>Субсидия на реализацию муниципальной программы «Развитие образования и молодежной политики в городе Урай» на 2019-2030 годы, утвержденной постановлением администрации города Урай от 27.09.2018 №2502, подпрограмма III, подпункт 3.12 "Реализация основного мероприятия регионального проекта «Успех каждого ребенка». Расходы на создание новых мест дополнительного образования детей"</t>
  </si>
  <si>
    <t>приобретение СЗИ</t>
  </si>
  <si>
    <t>п.1 п.1.4.</t>
  </si>
  <si>
    <t>программа "Защита населения и территории от чрезвычайных ситуаций, совершенствование гражданской обороны и  обеспечение первичных мер пожарной безопасности" на 2019-2030 годы, утвержденной постановлением администрациигорода Урай от 25.09.2018 №2467, п.п.1, п.1.4. "Профилактика инфекционных и паразитарных заболеваний" (бюджет городского округа Урай).</t>
  </si>
  <si>
    <t>приобретение набора метательных ножей, тренажор-петля</t>
  </si>
  <si>
    <t>огнетушители, коврик на остаток 2400</t>
  </si>
  <si>
    <t>изготовление пригласительных, буклетов, программок, печать грамот и благотворительных писем</t>
  </si>
  <si>
    <t>приобретение акустической системы, наборов инструментов, шлифовальной  машины, портативного верстака, шкаф для хим.реагентов, швейной машинки по коже, паяльной лампы и  т.д.(реализация проекта "По дорожкам фронтовыим", благотворительные средства)</t>
  </si>
  <si>
    <t>приобретение спецодежды (реализация проекта "По дорожкам фронтовым", благотворительные средства)</t>
  </si>
  <si>
    <t>Приобретение материальных запасов, в том числе</t>
  </si>
  <si>
    <t>приобретение расходных материалов (реализация проекта "По дорожкам фронтовым", благотворительные средства)</t>
  </si>
  <si>
    <t>4.4.</t>
  </si>
  <si>
    <t>приобретение МЭО</t>
  </si>
  <si>
    <t>остаток средств от штрафа с электронной площадки - приобретение канц.товаров</t>
  </si>
  <si>
    <t>средства от аренды - приобретение расходных материалов</t>
  </si>
  <si>
    <t xml:space="preserve"> год</t>
  </si>
  <si>
    <t>сайт ПО веб сайта Модуль обращения граждан (школьный сайт)</t>
  </si>
  <si>
    <t>доходы от оказания услуг, работ, компенсации затрат учреждений, всего</t>
  </si>
  <si>
    <t>безвозмездные денежные поступления, всего</t>
  </si>
  <si>
    <t>1410</t>
  </si>
  <si>
    <t>целевые субсидии</t>
  </si>
  <si>
    <t>1420</t>
  </si>
  <si>
    <t>прочие доходы, всего</t>
  </si>
  <si>
    <t>расходы на выплаты военнослужащим и сотрудникам, имеющим специальные звания, зависящие от размера денежного довольствия</t>
  </si>
  <si>
    <t>2180</t>
  </si>
  <si>
    <t>2181</t>
  </si>
  <si>
    <t>2440</t>
  </si>
  <si>
    <t>2450</t>
  </si>
  <si>
    <t>2460</t>
  </si>
  <si>
    <t>26310.1</t>
  </si>
  <si>
    <t>26430.1</t>
  </si>
  <si>
    <t>26451.1</t>
  </si>
  <si>
    <t>Лабораторные - химические анализы воды, определение нормы дез.хлора</t>
  </si>
  <si>
    <t>4.3.</t>
  </si>
  <si>
    <t>приобретение программного продукта - "Первая помощь….."</t>
  </si>
  <si>
    <t>п.3 п.п. 3.10 Возмещение расходов экспертам (проезд, проживание)</t>
  </si>
  <si>
    <t>будет</t>
  </si>
  <si>
    <t>1 раз в квартал</t>
  </si>
  <si>
    <t>обслучивание питьевых фонтанчиков (10 шт + система УВО в столовой 2 шт)</t>
  </si>
  <si>
    <t>Возмещение расходов (проезд, проживание)(местный бюджет)</t>
  </si>
  <si>
    <t>Компенсация дополнительных расходов (командировка)</t>
  </si>
  <si>
    <t>Возмещение расходов на проживание и транспортные расходы (командировка)</t>
  </si>
  <si>
    <t>Оплата проезда к месту учебы</t>
  </si>
  <si>
    <t>выполнение ремонтных работ в учреждении(ремонт орг.техники, оборудования в пищеблоке и т.д.)</t>
  </si>
  <si>
    <t>защита каналов связи (РО п.3.10.), (ЕГЭ, ГИА)</t>
  </si>
  <si>
    <t>Методист</t>
  </si>
  <si>
    <t>декабрь</t>
  </si>
  <si>
    <t>Е.Н.Крицкая</t>
  </si>
  <si>
    <t>Итого (федеральный бюджет):</t>
  </si>
  <si>
    <t>Выплата пособий за первые три дня временной нетрудоспособности за счет средств работодателя (феральный бюджет)</t>
  </si>
  <si>
    <t>3.3.</t>
  </si>
  <si>
    <t xml:space="preserve"> Оплата прочих работ, услуг  (окружной, федеральный бюджет ), в том числе</t>
  </si>
  <si>
    <t>Организация питания обучающихся (1 - 4 классы) окружной бюджет</t>
  </si>
  <si>
    <t>Организация питания обучающихся (1 - 4 классы) федеральный бюджет</t>
  </si>
  <si>
    <t>примечание</t>
  </si>
  <si>
    <t>строительные материалы необходимы для проведения косметического ремонта в учреждении</t>
  </si>
  <si>
    <t>строительные материалы (лаки, краски,кисть, и т.д….)</t>
  </si>
  <si>
    <t xml:space="preserve">шкаф расстоечный </t>
  </si>
  <si>
    <t>пароконвектомат</t>
  </si>
  <si>
    <t>плита электрическая 4-х конфорочная без жарочного шкафа</t>
  </si>
  <si>
    <t>слайсер</t>
  </si>
  <si>
    <t>Специальная оценка условий труда (делаем постепенно все раб.места у которых заканчивается срок оценки)</t>
  </si>
  <si>
    <t>место</t>
  </si>
  <si>
    <t>1.13.</t>
  </si>
  <si>
    <t>1.14.</t>
  </si>
  <si>
    <t>1.15.</t>
  </si>
  <si>
    <t>обслуживание необходимо для безопасной эксплуатации спортивного сооружения</t>
  </si>
  <si>
    <t>Обслуживание СКУД, видеонаблюдения</t>
  </si>
  <si>
    <t>Обслуживание пожарных кранов (гидрантов)</t>
  </si>
  <si>
    <t>Техническое обслуживание и технический ремонт шлагбаума  (совместно с электрическими приводовами ворот)</t>
  </si>
  <si>
    <t>Техническое обслуживание и технический ремонт электромагнитных замков и кнопок экстренного открытия дверей</t>
  </si>
  <si>
    <t>услугу</t>
  </si>
  <si>
    <t>1.16.</t>
  </si>
  <si>
    <t>Сертификат (освидетельствование ворот футбольных)</t>
  </si>
  <si>
    <t>приобретение новогодней иллюминации</t>
  </si>
  <si>
    <t>стол кондитерский</t>
  </si>
  <si>
    <t>банкетки</t>
  </si>
  <si>
    <t>приобретение СЗИ (для работников учреждения)</t>
  </si>
  <si>
    <t>калорифер (пищеблок)</t>
  </si>
  <si>
    <t>вентиляр (пищеблок)</t>
  </si>
  <si>
    <t>приобретение штор</t>
  </si>
  <si>
    <t>статья 223   примечание</t>
  </si>
  <si>
    <t>статья 225  примечание</t>
  </si>
  <si>
    <t>статья 226 примечание</t>
  </si>
  <si>
    <t>статья 344   примечание</t>
  </si>
  <si>
    <t>статья 345    примечание</t>
  </si>
  <si>
    <t>статья 346   примечание</t>
  </si>
  <si>
    <t>Разработка проектно сметной документации по видеонаблюдению (т.е. увеличение видиокамер), требование антитеррористической безопасности)</t>
  </si>
  <si>
    <t>увеличение суммы на моющие обусловленно  ростом цен. Хозяйственные товары  рост, т.к. необходимо закупить ведра, швабры, веники, совки, грабли, лопаты, имеющиеся пришли в не годность. СЗИ необходимо для работников учреждения.</t>
  </si>
  <si>
    <t>соблюдения требований роспотребнадзора</t>
  </si>
  <si>
    <t>соблюдения требований антитеррористической безопасности</t>
  </si>
  <si>
    <t>Очистка кровли от наледи</t>
  </si>
  <si>
    <t>усугу</t>
  </si>
  <si>
    <t>стирка штор</t>
  </si>
  <si>
    <t>1020*12</t>
  </si>
  <si>
    <t xml:space="preserve">101291 отыграли </t>
  </si>
  <si>
    <t xml:space="preserve">телефонная связь </t>
  </si>
  <si>
    <t>органинизация гор.питания (федеральный, окружной бюджет)</t>
  </si>
  <si>
    <t>26430.2</t>
  </si>
  <si>
    <t>26451.2</t>
  </si>
  <si>
    <t>Доплата до МРОТ (29957,4 руб.)</t>
  </si>
  <si>
    <t>приобретение канц.товаров</t>
  </si>
  <si>
    <t xml:space="preserve"> Расчет (обоснование) расходов на оплату коммунальных услуг (КОСГУ 223, КВР 247)</t>
  </si>
  <si>
    <t>6.3. Расчет (обоснование) расходов на оплату коммунальных услуг (КОСГУ 223, КВР 244)</t>
  </si>
  <si>
    <t>ИТОГО 223 статья</t>
  </si>
  <si>
    <t>Тьютер</t>
  </si>
  <si>
    <t>Всего:</t>
  </si>
  <si>
    <t xml:space="preserve">1 раз в полугодие </t>
  </si>
  <si>
    <t>1 раз в год</t>
  </si>
  <si>
    <t>Объект, цикличность</t>
  </si>
  <si>
    <t>прочую закупку товаров, работ и услуг</t>
  </si>
  <si>
    <t>закупку энергетических ресурсов</t>
  </si>
  <si>
    <t>2700</t>
  </si>
  <si>
    <t>2710</t>
  </si>
  <si>
    <t>2720</t>
  </si>
  <si>
    <t>26310.2</t>
  </si>
  <si>
    <t>жалюзи в бухгалтерию</t>
  </si>
  <si>
    <t>кондинционер в бухгалтерию</t>
  </si>
  <si>
    <t>средняя стоимость на 1 работника в переделах 6000,00</t>
  </si>
  <si>
    <t>Итого = 6464 кв.м. Школа S= 6025 кв. м;, мастерская S= 278,5 кв. м; вспомогательное помещение S= 160 кв.м</t>
  </si>
  <si>
    <t>1.20.</t>
  </si>
  <si>
    <t>Проведение оценки профессиональных рисков</t>
  </si>
  <si>
    <t>Обучениепо пожарной безопасности</t>
  </si>
  <si>
    <t>Обучение по гражданской обороне</t>
  </si>
  <si>
    <t>Обучение по программе "Антитеррор"</t>
  </si>
  <si>
    <t>1 раз в 5 лет (согласно плана мероприятий от специалиста по охране труда)</t>
  </si>
  <si>
    <t>1 раз в 3 года (согласно плана мероприятийс от специалиста по охране труда)</t>
  </si>
  <si>
    <t>1.21.</t>
  </si>
  <si>
    <t>Техническое обслуживание и технический ремонт футбольного покрытия</t>
  </si>
  <si>
    <t>к приемке учреждения, к новому учебному году</t>
  </si>
  <si>
    <t>1 раз в год, соблюдения требований роспотребнадзора</t>
  </si>
  <si>
    <t>с апреля по октябрь</t>
  </si>
  <si>
    <t>Испытание и измерение электрооборудования</t>
  </si>
  <si>
    <t>Выполнение монтажных работ по установке громкой связи (транслиционной акустической системы)</t>
  </si>
  <si>
    <t>лестничный подъемник для инвалидов (мобильное подъемное устройство)</t>
  </si>
  <si>
    <t>холодильник среднетемпературный (полки 4 шт., мощность 350 Вт, объем 700 л, тип охлаждения динамический, допустимая нагрузка на полку 40 кг, расположение агрегата вергнее, корпус цельнозаливной, материал обшивок корпуса сталь с полимерным покрытием, дверь металлическая, распашная, замок, подсветка)</t>
  </si>
  <si>
    <t>холодильник низкотемпературный (полки 4 шт., мощность 550 Вт, объем 700 л, тип охлаждения динамический, допустимая нагрузка на полку 40 кг, расположение агрегата верхнее, корпус цельнозаливной, материал обшивок корпуса сталь с полимерным покрытием, дверь металлическая, распашная, замок, подсветка)</t>
  </si>
  <si>
    <t>стеллаж для склада сыпучих продуктов</t>
  </si>
  <si>
    <t>металлический шкаф для хранения инвентаря, моющих и дезинфицирующих средств</t>
  </si>
  <si>
    <t>напольный  электросушитель для рук</t>
  </si>
  <si>
    <t xml:space="preserve">Утилизация снега </t>
  </si>
  <si>
    <t>приобретение канц.товаров , хоз.тваров, моющих средств для проведения платных услуг по программе "Я первоклассник"</t>
  </si>
  <si>
    <t>Учитель физкультуры</t>
  </si>
  <si>
    <t>Учитель нач.классов</t>
  </si>
  <si>
    <t>1 раз в 3 года</t>
  </si>
  <si>
    <t>в 2020 проводили работы</t>
  </si>
  <si>
    <t>грибок постовой</t>
  </si>
  <si>
    <t>инф.стенд</t>
  </si>
  <si>
    <t>проезд, проживание  участников отряда "Патриот"(6 обучающихся) КВР 113</t>
  </si>
  <si>
    <t>Итого (местный бюджет, окружной бюджет, федеральный бюджет):</t>
  </si>
  <si>
    <t>Всего (местный бюджет, окружной бюджет, федеральный бюджет):</t>
  </si>
  <si>
    <t>изготовление методического и наглядного материала (распечатка, ламинирование и т.д.)</t>
  </si>
  <si>
    <t>оплата приглашенных специалистов</t>
  </si>
  <si>
    <t>букет из живых цветов, сертификаты победителей</t>
  </si>
  <si>
    <t>приобретение наградного материала (кубки, медали, грамоты)</t>
  </si>
  <si>
    <t>п.5 п 5.1</t>
  </si>
  <si>
    <t>п.4 п 4.3</t>
  </si>
  <si>
    <t>Итого (платные услуги):</t>
  </si>
  <si>
    <t>Итого (платные услуги) :</t>
  </si>
  <si>
    <t>договор проведение психоотрического освидетельствования пед.работников учреждения</t>
  </si>
  <si>
    <t xml:space="preserve">    = 7107*1,5*(0,15+0,3+1,05)+50</t>
  </si>
  <si>
    <t xml:space="preserve">мат помощь </t>
  </si>
  <si>
    <t>Перезарядка огнетушителей</t>
  </si>
  <si>
    <t>1 раз в месяц</t>
  </si>
  <si>
    <t>приобретение бочков для унитаза</t>
  </si>
  <si>
    <t>1 полугодие  (4+2+4+5+4+3)</t>
  </si>
  <si>
    <t>2 полугодие (2+1+3+4+4)</t>
  </si>
  <si>
    <t>Обслуживание и текущий ремонт электромагнитных замков, шлагбаума и ворот (СКУД, видеонаблюдение)</t>
  </si>
  <si>
    <t>курьер, рабочий зеленого хозяйства</t>
  </si>
  <si>
    <t>Оплата услуг по информационно-консультативному обслуживанию и сопровождению программных продуктов(1С,Камин)</t>
  </si>
  <si>
    <t>Оказание услуг по информационно-техническому обслуживанию УРМ</t>
  </si>
  <si>
    <t>43200 ПЕРВОНАЧАЛЬНО</t>
  </si>
  <si>
    <t>1основное + 2 дополнительно</t>
  </si>
  <si>
    <t>Субсидия на иные цели, не связанные с финансовым обеспечением выполнения муницыпального задания на оказание муниципальных услуг (субсидии на иные цели)</t>
  </si>
  <si>
    <t>Ежемесячное денежное вознаграждение за классное руководство (федеральный бюджет)</t>
  </si>
  <si>
    <t>федеральный бюджет</t>
  </si>
  <si>
    <t>п.2  "Развитие современной инфраструктуры" п.2.5. "Обеспечение безопасных и комфортных условий обучения, в т.ч. устранение предписаний надзорных органов"(бюджет городского округа)</t>
  </si>
  <si>
    <t xml:space="preserve">программа "Развитию образования и молодежной политики в городе Урай" на 2019-2030 годы", подпрограмма 3, подпункт 3.4. "Реализация мероприятий , направленных на гражданско-патриотическое воспитание молодежи" (бюджет городского округа) </t>
  </si>
  <si>
    <t>программа  "Развитие муниципальной методической службы" подпрограмма 4.3. "Конкурсы в сфере образования. Организация и проведение профессиональных праздников" (бюджет городского округа).</t>
  </si>
  <si>
    <t>программа "Развитию образования и молодежной политики в городе Урай" на 2019-2030 годы", подпрограмма 3, подпункт 3.4. "Реализация мероприятий , направленных на гражданско-патриотическое воспитание молодежи" (бюджет городского округа).</t>
  </si>
  <si>
    <t>программа  "Здоровьесбережение и здоровьесбережение" подпрограмма 5.1. "Мероприятие, направленые на формирование здорового образа жизни (проведение  и участие в мероприятиях городского, окружного, федерального округа), (бюджет городского округа).</t>
  </si>
  <si>
    <t>244, 247</t>
  </si>
  <si>
    <t>244 , 247</t>
  </si>
  <si>
    <t>договор 2023 на 11 мес 208859,5</t>
  </si>
  <si>
    <t xml:space="preserve">в рамках реализации муниципальной программы «Развитие образования и молодежной политики в городе Урай» на 2019-2030 годы, утвержденной постановлением администрации города Урай от 27.09.2018 №2502, подпрограмма III, подпункт 3.2. «Организация и проведение мероприятий по развитию талантливых детей и молодежи (участие в муниципальных, региональных, федеральных учебно-исследовательских и творческих мероприятиях: олимпиады, сессии, форумы, чемпионаты, конкурсы, слеты, профильные смены; награждение с участием главы города Урай, Губернатора Ханты-Мансийского автономного округа – Югры, награждение именной премией общества с ограниченной ответственностью «ЛУКОЙЛ – Западная Сибирь» учащихся общеобразовательных организаций за отличную учебу и примерное поведение, достижение значительных результатов в олимпиадах, смотрах и конкурсах и др.)»
</t>
  </si>
  <si>
    <t>суточные расходы на участие в олимпиаде г.Сургут</t>
  </si>
  <si>
    <t>1  чел.</t>
  </si>
  <si>
    <t>оплата транспортных расходов  сопровождающему на олимпиаду г.Сургут(квр 112), 1 чел</t>
  </si>
  <si>
    <t>оплата транспортных расходов  обучающимся на олимпиаду г.Сургут(квр 113), 2 чел</t>
  </si>
  <si>
    <t>оплата проживания сопровождающему на олимпиаде г.Сургут(квр 112), 1 чел</t>
  </si>
  <si>
    <t>оплата проживания обучающимся на олимпиаде г.Сургут(квр 113), 2 чел</t>
  </si>
  <si>
    <t>расходы на питание , 2 чел (3 завтрака, 3 ужина, 2 обеда)</t>
  </si>
  <si>
    <t>п.3 п 3.2</t>
  </si>
  <si>
    <t>подпрограмма 4, подпункт 4.4. "Участие в профилактике экстремизма, а также минимизации и (или) ликвидации последствий проявления экстремизма" муниципальной программы "Профилактика правонарушений на территории города Урай на 2018-2030 годы" и во исполнения пункта 2.5. протокола Межведомственной комиссии города Урай по профилактике экстремизма №4 от 15.12.2022, в целях формирования законопослушного поведения у обучающихся, воспитания патриотизма, культуры мирного поведения, обучения навыкам бесконфликтного общения, а также умению отстаиваить собственное мнение, противодействовать социально опасному поведению, в том числе противодействию националистическому и религиозному экстпемизму в общеобразовательных организациях города Урай.</t>
  </si>
  <si>
    <t>оплата приглашенного специалиста</t>
  </si>
  <si>
    <t>п.4 п.4,4</t>
  </si>
  <si>
    <t>первонач</t>
  </si>
  <si>
    <t>иследование параметров микроклимота, осещенности</t>
  </si>
  <si>
    <t>Итого лагерь дневного прибывания:</t>
  </si>
  <si>
    <t>Услуг связи , в том числе</t>
  </si>
  <si>
    <t>Услуги по абонентскому облуживанию</t>
  </si>
  <si>
    <t>Лицензия и право использования ЭВМ</t>
  </si>
  <si>
    <t>выполнение печатных работ+B261:J272B261:J288</t>
  </si>
  <si>
    <t>Итого (благотворительность):</t>
  </si>
  <si>
    <t>питьевая вода (уч.сборы)</t>
  </si>
  <si>
    <t>дипломы, сертификаты, благодарственные письма (уч.сборы)</t>
  </si>
  <si>
    <t>призовой фонд (зарница)</t>
  </si>
  <si>
    <t>пластиковые стаканы (уч.сборы)</t>
  </si>
  <si>
    <t>туалетная бумага (уч.сборы)</t>
  </si>
  <si>
    <t>крем для обуви (уч.сборы)</t>
  </si>
  <si>
    <t>бумага ксероксная, цветная (уч.сборы)</t>
  </si>
  <si>
    <t>канц.товары (зарница)</t>
  </si>
  <si>
    <t xml:space="preserve">приобретение канц.товаров </t>
  </si>
  <si>
    <t>Приобретение ( местный бюджет), п.7.1. Организация работы лагеря дневного прибывания</t>
  </si>
  <si>
    <t>лагерь (местный бюджет)</t>
  </si>
  <si>
    <t>питание в лагере  (местный бюджет)</t>
  </si>
  <si>
    <t>питание в лагере (окружной бюджет)</t>
  </si>
  <si>
    <t>Приложение</t>
  </si>
  <si>
    <t>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 августа 2018 г. № 186н</t>
  </si>
  <si>
    <t>(в ред. Приказов Минфина России от 07.02.2020 № 17н, от 02.04.2021 № 53н,
от 03.09.2021 № 121н, от 08.06.2022 № 92н, от 25.08.2022 № 128н)</t>
  </si>
  <si>
    <t>(рекомендуемый образец)</t>
  </si>
  <si>
    <t>Утверждаю</t>
  </si>
  <si>
    <t>(наименование должности уполномоченного лица)</t>
  </si>
  <si>
    <t>УО администрации города Урай</t>
  </si>
  <si>
    <t>(наименование органа-учредителя (учреждения)</t>
  </si>
  <si>
    <t>"</t>
  </si>
  <si>
    <t xml:space="preserve"> г.</t>
  </si>
  <si>
    <t>23</t>
  </si>
  <si>
    <t>(на 20</t>
  </si>
  <si>
    <t>г. и плановый период 20</t>
  </si>
  <si>
    <t>24</t>
  </si>
  <si>
    <t>и 20</t>
  </si>
  <si>
    <t>25</t>
  </si>
  <si>
    <r>
      <t xml:space="preserve"> годов </t>
    </r>
    <r>
      <rPr>
        <b/>
        <vertAlign val="superscript"/>
        <sz val="9"/>
        <rFont val="Times New Roman"/>
        <family val="1"/>
        <charset val="204"/>
      </rPr>
      <t>1</t>
    </r>
    <r>
      <rPr>
        <b/>
        <sz val="9"/>
        <rFont val="Times New Roman"/>
        <family val="1"/>
        <charset val="204"/>
      </rPr>
      <t>)</t>
    </r>
  </si>
  <si>
    <t>Коды</t>
  </si>
  <si>
    <t>от "</t>
  </si>
  <si>
    <r>
      <t xml:space="preserve"> г.</t>
    </r>
    <r>
      <rPr>
        <vertAlign val="superscript"/>
        <sz val="8"/>
        <rFont val="Times New Roman"/>
        <family val="1"/>
        <charset val="204"/>
      </rPr>
      <t>2</t>
    </r>
  </si>
  <si>
    <t>Орган, осуществляющий</t>
  </si>
  <si>
    <t>функции и полномочия учредителя</t>
  </si>
  <si>
    <t>Управление образования администрации города Урай</t>
  </si>
  <si>
    <t>8606004216</t>
  </si>
  <si>
    <t>Учреждение</t>
  </si>
  <si>
    <t>Муниципальное бюджетное общеобразовательное учреждение средняя общеобразовательная школа №5</t>
  </si>
  <si>
    <t>860601001</t>
  </si>
  <si>
    <t>Единица измерения: руб.</t>
  </si>
  <si>
    <t>383</t>
  </si>
  <si>
    <t>Раздел 1. Поступления и выплаты</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</si>
  <si>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</si>
  <si>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</si>
  <si>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на 20</t>
  </si>
  <si>
    <t>текущий финансовый год</t>
  </si>
  <si>
    <t>первый год планового периода</t>
  </si>
  <si>
    <t>второй год планового периода</t>
  </si>
  <si>
    <t>1</t>
  </si>
  <si>
    <t>2</t>
  </si>
  <si>
    <t>3</t>
  </si>
  <si>
    <t>4</t>
  </si>
  <si>
    <t>5</t>
  </si>
  <si>
    <t>6</t>
  </si>
  <si>
    <t>7</t>
  </si>
  <si>
    <t>8</t>
  </si>
  <si>
    <r>
      <t xml:space="preserve">Остаток средств на начало текущего финансового года </t>
    </r>
    <r>
      <rPr>
        <b/>
        <vertAlign val="superscript"/>
        <sz val="8"/>
        <rFont val="Times New Roman"/>
        <family val="1"/>
        <charset val="204"/>
      </rPr>
      <t>5</t>
    </r>
  </si>
  <si>
    <r>
      <t xml:space="preserve">Остаток средств на конец текущего финансового года </t>
    </r>
    <r>
      <rPr>
        <b/>
        <vertAlign val="superscript"/>
        <sz val="8"/>
        <rFont val="Times New Roman"/>
        <family val="1"/>
        <charset val="204"/>
      </rPr>
      <t>5</t>
    </r>
  </si>
  <si>
    <t>1000</t>
  </si>
  <si>
    <t>в том числе:
доходы от собственности, всего</t>
  </si>
  <si>
    <t>1100</t>
  </si>
  <si>
    <t>120</t>
  </si>
  <si>
    <t>1110</t>
  </si>
  <si>
    <t>1200</t>
  </si>
  <si>
    <t>130</t>
  </si>
  <si>
    <t>мз + пл+рп</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</si>
  <si>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</si>
  <si>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</si>
  <si>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131</t>
  </si>
  <si>
    <t>мз</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</si>
  <si>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</si>
  <si>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1220</t>
  </si>
  <si>
    <t>поступление от оказания услуг (выполнения работ) на платной основе и от иной приносящей доход</t>
  </si>
  <si>
    <t>лс 2</t>
  </si>
  <si>
    <t>1300</t>
  </si>
  <si>
    <t>140</t>
  </si>
  <si>
    <t>1310</t>
  </si>
  <si>
    <t>1400</t>
  </si>
  <si>
    <t>150</t>
  </si>
  <si>
    <t>152,155</t>
  </si>
  <si>
    <t>иные 7 + 3 благот</t>
  </si>
  <si>
    <t>лс 7</t>
  </si>
  <si>
    <t>1500</t>
  </si>
  <si>
    <t>180</t>
  </si>
  <si>
    <t>1900</t>
  </si>
  <si>
    <r>
      <t xml:space="preserve">прочие поступления, всего </t>
    </r>
    <r>
      <rPr>
        <b/>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</si>
  <si>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</si>
  <si>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</si>
  <si>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</si>
  <si>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</si>
  <si>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2000</t>
  </si>
  <si>
    <t>в том числе:
на выплаты персоналу, всего</t>
  </si>
  <si>
    <t>2100</t>
  </si>
  <si>
    <t>в том числе:
оплата труда</t>
  </si>
  <si>
    <t>2110</t>
  </si>
  <si>
    <t>111</t>
  </si>
  <si>
    <t>211,266</t>
  </si>
  <si>
    <t>2120</t>
  </si>
  <si>
    <t>112</t>
  </si>
  <si>
    <t>212,214,226</t>
  </si>
  <si>
    <t>2130</t>
  </si>
  <si>
    <t>113</t>
  </si>
  <si>
    <t>226</t>
  </si>
  <si>
    <t>2140</t>
  </si>
  <si>
    <t>119</t>
  </si>
  <si>
    <t>213,226,345</t>
  </si>
  <si>
    <t>в том числе:
на выплаты по оплате труда</t>
  </si>
  <si>
    <t>2141</t>
  </si>
  <si>
    <t>213</t>
  </si>
  <si>
    <t>2142</t>
  </si>
  <si>
    <t>2150</t>
  </si>
  <si>
    <t>2160</t>
  </si>
  <si>
    <t>133</t>
  </si>
  <si>
    <t>2170</t>
  </si>
  <si>
    <t>134</t>
  </si>
  <si>
    <t>139</t>
  </si>
  <si>
    <t>в том числе:
на оплату труда стажеров</t>
  </si>
  <si>
    <t>2200</t>
  </si>
  <si>
    <t>300</t>
  </si>
  <si>
    <t>263,296</t>
  </si>
  <si>
    <t>в том числе:
социальные выплаты гражданам, кроме публичных нормативных социальных выплат</t>
  </si>
  <si>
    <t>2210</t>
  </si>
  <si>
    <t>320</t>
  </si>
  <si>
    <t>263</t>
  </si>
  <si>
    <t>из них:
пособия, компенсации и иные социальные выплаты гражданам, кроме публичных нормативных обязательств</t>
  </si>
  <si>
    <t>2211</t>
  </si>
  <si>
    <t>321</t>
  </si>
  <si>
    <t>263,265</t>
  </si>
  <si>
    <t>2220</t>
  </si>
  <si>
    <t>340</t>
  </si>
  <si>
    <t>2230</t>
  </si>
  <si>
    <t>350</t>
  </si>
  <si>
    <t>296</t>
  </si>
  <si>
    <t>иные выплаты населению</t>
  </si>
  <si>
    <t>2240</t>
  </si>
  <si>
    <t>360</t>
  </si>
  <si>
    <t>2300</t>
  </si>
  <si>
    <t>850</t>
  </si>
  <si>
    <t>291</t>
  </si>
  <si>
    <t>из них:
налог на имущество организаций и земельный налог</t>
  </si>
  <si>
    <t>2310</t>
  </si>
  <si>
    <t>851</t>
  </si>
  <si>
    <t>2320</t>
  </si>
  <si>
    <t>852</t>
  </si>
  <si>
    <t>2330</t>
  </si>
  <si>
    <t>853</t>
  </si>
  <si>
    <t>2400</t>
  </si>
  <si>
    <t>из них:
гранты, предоставляемые бюджетным учреждениям</t>
  </si>
  <si>
    <t>2410</t>
  </si>
  <si>
    <t>613</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</si>
  <si>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</si>
  <si>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</si>
  <si>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</si>
  <si>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</si>
  <si>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</si>
  <si>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</si>
  <si>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810</t>
  </si>
  <si>
    <t>862</t>
  </si>
  <si>
    <t>863</t>
  </si>
  <si>
    <t>2500</t>
  </si>
  <si>
    <t>2520</t>
  </si>
  <si>
    <t>831</t>
  </si>
  <si>
    <r>
      <t xml:space="preserve">расходы на закупку товаров, работ, услуг, всего </t>
    </r>
    <r>
      <rPr>
        <vertAlign val="superscript"/>
        <sz val="8"/>
        <rFont val="Times New Roman"/>
        <family val="1"/>
        <charset val="204"/>
      </rPr>
      <t>7</t>
    </r>
  </si>
  <si>
    <t>2600</t>
  </si>
  <si>
    <t>в том числе:
закупку научно-исследовательских, опытно-конструкторских и технологических работ</t>
  </si>
  <si>
    <t>2610</t>
  </si>
  <si>
    <t>241</t>
  </si>
  <si>
    <t>закупку товаров, работ, услуг в целях капитального ремонта государственного (муниципального) имущества</t>
  </si>
  <si>
    <t>2630</t>
  </si>
  <si>
    <t>243</t>
  </si>
  <si>
    <t>2640</t>
  </si>
  <si>
    <t>244</t>
  </si>
  <si>
    <t>закупку товаров, работ, услуг в целях создания, развития, эксплуатации и вывода 
из эксплуатации государственных информационных систем</t>
  </si>
  <si>
    <t>2650</t>
  </si>
  <si>
    <t>246</t>
  </si>
  <si>
    <t>2660</t>
  </si>
  <si>
    <t>247</t>
  </si>
  <si>
    <t>капитальные вложения в объекты государственной (муниципальной) собственности, всего</t>
  </si>
  <si>
    <t>400</t>
  </si>
  <si>
    <t>в том числе:
приобретение объектов недвижимого имущества государственными (муниципальными) учреждениями</t>
  </si>
  <si>
    <t>406</t>
  </si>
  <si>
    <t>строительство (реконструкция) объектов недвижимого имущества государственными (муниципальными) учреждениями</t>
  </si>
  <si>
    <t>407</t>
  </si>
  <si>
    <t>специальные расходы</t>
  </si>
  <si>
    <t>2800</t>
  </si>
  <si>
    <t>880</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</si>
  <si>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</si>
  <si>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</si>
  <si>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</si>
  <si>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</si>
  <si>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</si>
  <si>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</si>
  <si>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</si>
  <si>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r>
      <t xml:space="preserve">прочие налоги, уменьшающие доход </t>
    </r>
    <r>
      <rPr>
        <vertAlign val="superscript"/>
        <sz val="8"/>
        <rFont val="Times New Roman"/>
        <family val="1"/>
        <charset val="204"/>
      </rPr>
      <t>8</t>
    </r>
  </si>
  <si>
    <t>3030</t>
  </si>
  <si>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</si>
  <si>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</si>
  <si>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</si>
  <si>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</si>
  <si>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</si>
  <si>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</si>
  <si>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</si>
  <si>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</si>
  <si>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</si>
  <si>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</si>
  <si>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2000 - 2800 -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</si>
  <si>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</si>
  <si>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</si>
  <si>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</si>
  <si>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</si>
  <si>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</si>
  <si>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</si>
  <si>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</si>
  <si>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</si>
  <si>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 xml:space="preserve">Раздел 2. Сведения по выплатам на закупки товаров, работ, услуг </t>
    </r>
    <r>
      <rPr>
        <b/>
        <vertAlign val="superscript"/>
        <sz val="8"/>
        <rFont val="Times New Roman"/>
        <family val="1"/>
        <charset val="204"/>
      </rPr>
      <t>10</t>
    </r>
  </si>
  <si>
    <t>№
п/п</t>
  </si>
  <si>
    <t>Коды
строк</t>
  </si>
  <si>
    <t>Год
начала закупки</t>
  </si>
  <si>
    <r>
      <t xml:space="preserve">Код по бюджетной классификации Российской Федерации </t>
    </r>
    <r>
      <rPr>
        <vertAlign val="superscript"/>
        <sz val="8"/>
        <rFont val="Times New Roman"/>
        <family val="1"/>
        <charset val="204"/>
      </rPr>
      <t>10.1</t>
    </r>
  </si>
  <si>
    <r>
      <t xml:space="preserve">Уникальный 
код </t>
    </r>
    <r>
      <rPr>
        <vertAlign val="superscript"/>
        <sz val="8"/>
        <rFont val="Times New Roman"/>
        <family val="1"/>
        <charset val="204"/>
      </rPr>
      <t>10.2</t>
    </r>
  </si>
  <si>
    <t>г.</t>
  </si>
  <si>
    <t>(текущий финансовый год)</t>
  </si>
  <si>
    <t>(первый год планового периода)</t>
  </si>
  <si>
    <t>(второй год планового периода)</t>
  </si>
  <si>
    <t>4.1</t>
  </si>
  <si>
    <t>4.2</t>
  </si>
  <si>
    <r>
      <t xml:space="preserve">Выплаты на закупку товаров, работ, услуг, всего </t>
    </r>
    <r>
      <rPr>
        <b/>
        <vertAlign val="superscript"/>
        <sz val="8"/>
        <rFont val="Times New Roman"/>
        <family val="1"/>
        <charset val="204"/>
      </rPr>
      <t>11</t>
    </r>
  </si>
  <si>
    <t>26000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</si>
  <si>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</si>
  <si>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26100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</si>
  <si>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</si>
  <si>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26200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</si>
  <si>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</si>
  <si>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t>26300</t>
  </si>
  <si>
    <t>1.3.1</t>
  </si>
  <si>
    <t>в том числе:
в соответствии с Федеральным законом № 44-ФЗ</t>
  </si>
  <si>
    <t>26310</t>
  </si>
  <si>
    <r>
      <t xml:space="preserve">из них </t>
    </r>
    <r>
      <rPr>
        <vertAlign val="superscript"/>
        <sz val="8"/>
        <rFont val="Times New Roman"/>
        <family val="1"/>
        <charset val="204"/>
      </rPr>
      <t>10.1</t>
    </r>
    <r>
      <rPr>
        <sz val="8"/>
        <rFont val="Times New Roman"/>
        <family val="1"/>
        <charset val="204"/>
      </rPr>
      <t xml:space="preserve">:
</t>
    </r>
  </si>
  <si>
    <r>
      <t xml:space="preserve">из них </t>
    </r>
    <r>
      <rPr>
        <vertAlign val="superscript"/>
        <sz val="8"/>
        <rFont val="Times New Roman"/>
        <family val="1"/>
        <charset val="204"/>
      </rPr>
      <t>10.2</t>
    </r>
    <r>
      <rPr>
        <sz val="8"/>
        <rFont val="Times New Roman"/>
        <family val="1"/>
        <charset val="204"/>
      </rPr>
      <t xml:space="preserve">:
</t>
    </r>
  </si>
  <si>
    <t>1.3.2</t>
  </si>
  <si>
    <t>в соответствии с Федеральным законом № 223-ФЗ</t>
  </si>
  <si>
    <t>26320</t>
  </si>
  <si>
    <t>1.4</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</si>
  <si>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</si>
  <si>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26400</t>
  </si>
  <si>
    <t>1.4.1</t>
  </si>
  <si>
    <t>в том числе:
за счет субсидий, предоставляемых на финансовое обеспечение выполнения государственного (муниципального) задания</t>
  </si>
  <si>
    <t>26410</t>
  </si>
  <si>
    <t>1.4.1.1</t>
  </si>
  <si>
    <t>26411</t>
  </si>
  <si>
    <t>1.4.1.2</t>
  </si>
  <si>
    <r>
      <t xml:space="preserve">в соответствии с Федеральным законом № 223-ФЗ </t>
    </r>
    <r>
      <rPr>
        <vertAlign val="superscript"/>
        <sz val="8"/>
        <rFont val="Times New Roman"/>
        <family val="1"/>
        <charset val="204"/>
      </rPr>
      <t>14</t>
    </r>
  </si>
  <si>
    <t>26412</t>
  </si>
  <si>
    <t>1.4.2</t>
  </si>
  <si>
    <t>26420</t>
  </si>
  <si>
    <t>26421</t>
  </si>
  <si>
    <t>26321.1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</si>
  <si>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</si>
  <si>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</si>
  <si>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</si>
  <si>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</si>
  <si>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</si>
  <si>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</si>
  <si>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26440</t>
  </si>
  <si>
    <t>1.4.4.1</t>
  </si>
  <si>
    <t>26441</t>
  </si>
  <si>
    <t>1.4.4.2</t>
  </si>
  <si>
    <t>26442</t>
  </si>
  <si>
    <t>1.4.5</t>
  </si>
  <si>
    <t>26450</t>
  </si>
  <si>
    <t>1.4.5.1</t>
  </si>
  <si>
    <t>26451</t>
  </si>
  <si>
    <t>1.4.5.2</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</si>
  <si>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</si>
  <si>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</si>
  <si>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</si>
  <si>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</si>
  <si>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</si>
  <si>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</si>
  <si>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</si>
  <si>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(уполномоченное лицо учреждения)</t>
  </si>
  <si>
    <t>(должность)</t>
  </si>
  <si>
    <t>Исполнитель</t>
  </si>
  <si>
    <t>(фамилия, инициалы)</t>
  </si>
  <si>
    <t>(телефон)</t>
  </si>
  <si>
    <t>СОГЛАСОВАНО</t>
  </si>
  <si>
    <t>(наименование должности уполномоченного лица органа-учредителя)</t>
  </si>
  <si>
    <t>223</t>
  </si>
  <si>
    <t>221,222,223,224,225,226,228,310,341,342,343,344,345,346,349,353</t>
  </si>
  <si>
    <t>2023</t>
  </si>
  <si>
    <t>п + рп + б</t>
  </si>
  <si>
    <t>иные</t>
  </si>
  <si>
    <t xml:space="preserve">см 4 стр </t>
  </si>
  <si>
    <t xml:space="preserve">  =  вся сумма по 244 - стр26300-стр 26420</t>
  </si>
  <si>
    <t>сумма по коду 244</t>
  </si>
  <si>
    <t>заключ. В конце предыдуш года</t>
  </si>
  <si>
    <r>
      <t>_____</t>
    </r>
    <r>
      <rPr>
        <vertAlign val="superscript"/>
        <sz val="9"/>
        <rFont val="Times New Roman"/>
        <family val="1"/>
        <charset val="204"/>
      </rPr>
      <t>10</t>
    </r>
    <r>
      <rPr>
        <sz val="9"/>
        <color indexed="9"/>
        <rFont val="Times New Roman"/>
        <family val="1"/>
        <charset val="204"/>
      </rPr>
      <t>_</t>
    </r>
    <r>
      <rPr>
        <sz val="9"/>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</si>
  <si>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_____</t>
    </r>
    <r>
      <rPr>
        <vertAlign val="superscript"/>
        <sz val="9"/>
        <rFont val="Times New Roman"/>
        <family val="1"/>
        <charset val="204"/>
      </rPr>
      <t>10.1</t>
    </r>
    <r>
      <rPr>
        <sz val="9"/>
        <color indexed="9"/>
        <rFont val="Times New Roman"/>
        <family val="1"/>
        <charset val="204"/>
      </rPr>
      <t>_</t>
    </r>
    <r>
      <rPr>
        <sz val="9"/>
        <rFont val="Times New Roman"/>
        <family val="1"/>
        <charset val="204"/>
      </rPr>
      <t>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r>
  </si>
  <si>
    <r>
      <t>_____</t>
    </r>
    <r>
      <rPr>
        <vertAlign val="superscript"/>
        <sz val="9"/>
        <rFont val="Times New Roman"/>
        <family val="1"/>
        <charset val="204"/>
      </rPr>
      <t>10.2</t>
    </r>
    <r>
      <rPr>
        <sz val="9"/>
        <color indexed="9"/>
        <rFont val="Times New Roman"/>
        <family val="1"/>
        <charset val="204"/>
      </rPr>
      <t>_</t>
    </r>
    <r>
      <rPr>
        <sz val="9"/>
        <rFont val="Times New Roman"/>
        <family val="1"/>
        <charset val="204"/>
      </rPr>
      <t>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</si>
  <si>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r>
      <t>_____</t>
    </r>
    <r>
      <rPr>
        <vertAlign val="superscript"/>
        <sz val="9"/>
        <rFont val="Times New Roman"/>
        <family val="1"/>
        <charset val="204"/>
      </rPr>
      <t>11</t>
    </r>
    <r>
      <rPr>
        <sz val="9"/>
        <color indexed="9"/>
        <rFont val="Times New Roman"/>
        <family val="1"/>
        <charset val="204"/>
      </rPr>
      <t>_</t>
    </r>
    <r>
      <rPr>
        <sz val="9"/>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</si>
  <si>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r>
      <t>_____</t>
    </r>
    <r>
      <rPr>
        <vertAlign val="superscript"/>
        <sz val="9"/>
        <rFont val="Times New Roman"/>
        <family val="1"/>
        <charset val="204"/>
      </rPr>
      <t>12</t>
    </r>
    <r>
      <rPr>
        <sz val="9"/>
        <color indexed="9"/>
        <rFont val="Times New Roman"/>
        <family val="1"/>
        <charset val="204"/>
      </rPr>
      <t>_</t>
    </r>
    <r>
      <rPr>
        <sz val="9"/>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</si>
  <si>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9"/>
        <rFont val="Times New Roman"/>
        <family val="1"/>
        <charset val="204"/>
      </rPr>
      <t>13</t>
    </r>
    <r>
      <rPr>
        <sz val="9"/>
        <color indexed="9"/>
        <rFont val="Times New Roman"/>
        <family val="1"/>
        <charset val="204"/>
      </rPr>
      <t>_</t>
    </r>
    <r>
      <rPr>
        <sz val="9"/>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</si>
  <si>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9"/>
        <rFont val="Times New Roman"/>
        <family val="1"/>
        <charset val="204"/>
      </rPr>
      <t>14</t>
    </r>
    <r>
      <rPr>
        <sz val="9"/>
        <color indexed="9"/>
        <rFont val="Times New Roman"/>
        <family val="1"/>
        <charset val="204"/>
      </rPr>
      <t>_</t>
    </r>
    <r>
      <rPr>
        <sz val="9"/>
        <rFont val="Times New Roman"/>
        <family val="1"/>
        <charset val="204"/>
      </rPr>
      <t>Государственным (муниципальным) бюджетным учреждением показатель не формируется.</t>
    </r>
  </si>
  <si>
    <r>
      <t>_____</t>
    </r>
    <r>
      <rPr>
        <vertAlign val="superscript"/>
        <sz val="9"/>
        <rFont val="Times New Roman"/>
        <family val="1"/>
        <charset val="204"/>
      </rPr>
      <t>15</t>
    </r>
    <r>
      <rPr>
        <sz val="9"/>
        <color indexed="9"/>
        <rFont val="Times New Roman"/>
        <family val="1"/>
        <charset val="204"/>
      </rPr>
      <t>_</t>
    </r>
    <r>
      <rPr>
        <sz val="9"/>
        <rFont val="Times New Roman"/>
        <family val="1"/>
        <charset val="204"/>
      </rPr>
      <t>Указывается сумма закупок товаров, работ, услуг, осуществляемых в соответствии с Федеральным законом № 44-ФЗ.</t>
    </r>
  </si>
  <si>
    <t>Согласовано</t>
  </si>
  <si>
    <t>специалист по закупкам</t>
  </si>
  <si>
    <t>2. Расчеты (обоснования) расходов на социальные и иные выплаты населению КОСГУ 263,266/КВР 321</t>
  </si>
  <si>
    <t>Тюм.Дума</t>
  </si>
  <si>
    <t>вся сумма</t>
  </si>
  <si>
    <t>Выплата пособий по сокращению численности (КВР 111)</t>
  </si>
  <si>
    <t xml:space="preserve"> Приобретение основных средств ,(Тюменская дума, благотворительность)  в том числе</t>
  </si>
  <si>
    <t>приобретение парашютной системы (Тюменская Дума)</t>
  </si>
  <si>
    <t>приобретение парашютной системы (благотворительность)</t>
  </si>
  <si>
    <t>План финансово-хозяйственной деятельности на 2024 год</t>
  </si>
  <si>
    <t>26</t>
  </si>
  <si>
    <t>снегоуборочная машина, газонокосилка, воздуходувное устройство для уборки листвы</t>
  </si>
  <si>
    <t>4 квартал 2023.</t>
  </si>
  <si>
    <t>1,2,3 кв.  2024г.</t>
  </si>
  <si>
    <t>Страхование квадрокоптера (местный бюджет)</t>
  </si>
  <si>
    <t>366 дней * 24 часа</t>
  </si>
  <si>
    <t>необходима приобретение спец.одежды персоналу (категория рабочие) , так же зимнию одежду дворникам.</t>
  </si>
  <si>
    <t>Оплата за обучение по охране труда (для руководителя и специалистов)</t>
  </si>
  <si>
    <t>Обучение  по оказанию первой медицинской помощи</t>
  </si>
  <si>
    <t>1.17.</t>
  </si>
  <si>
    <t>тел.: 8(34676)91120</t>
  </si>
  <si>
    <t>сумма рассчитана из расчета стоимости 1 часа охраны в размере 325 рублей</t>
  </si>
  <si>
    <t>предусмотрела рост 10%, тариф 2023 года = 19,4 руб+10% = 21,34 р.</t>
  </si>
  <si>
    <t>2024</t>
  </si>
  <si>
    <t>1 полугодие (164+163+123+98+38)</t>
  </si>
  <si>
    <t>1 полугодие (101+74+89+88+96+32)</t>
  </si>
  <si>
    <t>1 полугодие (45+95+122+127+140+35)</t>
  </si>
  <si>
    <t>1 полугодие (140+169+211+215+236+67)</t>
  </si>
  <si>
    <t>объемы по факту 1 полугодия 2023, 2 полугодие факт 2 полугодия 2022 г.  Тариф с 01.01.24=74,87 руб., а с 01.07.24 предусмотрела рост тарифа в размере 4%</t>
  </si>
  <si>
    <t>объемы по факту 1 полугодия 2023, 2 полугодие факт 2 полугодия 2022 г.  Тариф с 01.01.24=2299,53 руб., а с 01.07.24 предусмотрела рост тарифа в размере 4%</t>
  </si>
  <si>
    <t>объемы по факту 1 полугодия 2023, 2 полугодие факт 2 полугодия 2022 г.  Тариф с 01.01.24=62,75 руб., а с 01.07.24 предусмотрела рост тарифа в размере 4%</t>
  </si>
  <si>
    <t>необходима страхование квадрокоптера</t>
  </si>
  <si>
    <t>декларации прилагаются</t>
  </si>
  <si>
    <t>1 полугодие (12252+11815+13048+13361+12126+4858)</t>
  </si>
  <si>
    <t>объемы по факту 1 полугодия 2023, 2 полугодие факт 2 полугодия 2022 г.  Тариф с 01.01.24=8,4 руб., а с 01.07.24 предусмотрела рост тарифа в размере 4%</t>
  </si>
  <si>
    <t>статья 222   примечание</t>
  </si>
  <si>
    <t>список обучающихся прилагается</t>
  </si>
  <si>
    <t>статья 227   примечание</t>
  </si>
  <si>
    <t>статья 291   примечание</t>
  </si>
  <si>
    <t>статья 214, 226   примечание</t>
  </si>
  <si>
    <t>поименные списки прилагаются</t>
  </si>
  <si>
    <t>предусмотрела рост 10%, тариф в месяц  2023 года  = 4000,0</t>
  </si>
  <si>
    <t>первоначальная сумма на 2023 год= 101800, по результатам торгов сумма составила = 101291. предусмотрела рост 10%</t>
  </si>
  <si>
    <t>площадь вместе с вспомагательным помещением составляет 6464 кв.м,= 6464 кв. м*3,9рубля*12 месяцев = 302515,2 р.</t>
  </si>
  <si>
    <t>первоначальная сумма на 2023 год = 66000, по результатам торгов сумма составила = 59730. Предусмотрела рост 10%</t>
  </si>
  <si>
    <t>предусмотрела рост 10%, договор 2023 года  13464 р.</t>
  </si>
  <si>
    <t>первоначальная сумма на 2022 год = 70000, 2023 = 40000,по результатам торгов сумма составила = 26000. Предусмотрела рост 10%</t>
  </si>
  <si>
    <t>первоначальная сумма на 2023 год = 2880, предусмотрела рост 10%</t>
  </si>
  <si>
    <t>первоначальная сумма на 2023 год = 2500, предусмотрела рост 10%</t>
  </si>
  <si>
    <t>в бухгалтерии = 1 С-3 места; Камин - 2 места. Предусмотрела рост 10%, договор 2023 года 68200 р.</t>
  </si>
  <si>
    <t>приобретение аптечек в 2шт мастерские, 1 приемная, 1 вахта, 2 столовая, 1 зам.директор. Стоимость 1 на 25.07.23 в пределах 2500.</t>
  </si>
  <si>
    <t>вновь принятым работникам</t>
  </si>
  <si>
    <t>вывеска для кабинетов со шрифтом Брайля</t>
  </si>
  <si>
    <t>приобретение новогодней ели</t>
  </si>
  <si>
    <t>1.18.</t>
  </si>
  <si>
    <t>1.19.</t>
  </si>
  <si>
    <t>усуга</t>
  </si>
  <si>
    <t xml:space="preserve">обслуживание необходимо для безопасной эксплуатации </t>
  </si>
  <si>
    <t>Техническое обслуживание и технический ремонт шлагбаума (совместно с электрическим приводом ворот), обслуживание и ремонт  электромагнитных замков и кнопок экстренного открытия дверей</t>
  </si>
  <si>
    <t>план 2023 года = 554893,00</t>
  </si>
  <si>
    <t>необходимо приобретение перевязочного материала и мед.товаров для оснащения медицинского блока</t>
  </si>
  <si>
    <t>приобретение банкеток,  диэлектрического коврика, жалюзи  и т.д.</t>
  </si>
  <si>
    <t>приобретение медицинских товаров (перевязочного материала)</t>
  </si>
  <si>
    <t>В 2023 году была замена контейнеров , ранее объем 1 контейнера составлял 0,75 м3, на данный момент объем нового контейнера 1,1 м3, установлено 2 контейнера. Также планируется вывоз мусора согласно графика (к бюджету приложен).Объемы прилагаются . Тариф  утверждены Региональнойцслужбой по тарифам ХМАО-Югры от 24.11.2022 №93-нп, с 01.01.24=960,19 рублей, а с 01.07.24  = 1043,81 рублей</t>
  </si>
  <si>
    <t>1 раз в 2 года, проводилась в 2021 году  = 94 чел по 250 р., 2022 год = 20 чел по 250 руб., 2023 год = 103 чел по 275 руб., 2024 год согласно плана мероприятий от специалиста по охране труда</t>
  </si>
  <si>
    <t>1 раз в год, согласно плана мероприятий от специалиста по охране труда</t>
  </si>
  <si>
    <t>согласно плана мероприятий от специалиста по охране труда</t>
  </si>
  <si>
    <t>обучение ПП 1 раз в 3 года</t>
  </si>
  <si>
    <t xml:space="preserve">1 раз в 5 лет согласно плана мероприятий от специалиста по охране труда </t>
  </si>
  <si>
    <t>1 раз в 5 лет согласно плана мероприятий от специалиста по охране труда</t>
  </si>
  <si>
    <t>постепенно на всех рабочих местах согласно плана мероприятий от специалиста по охране труда</t>
  </si>
  <si>
    <t>2 полугодие (19+29+81+104+80)</t>
  </si>
  <si>
    <t>2 полугодие (39+67+96+139+113)</t>
  </si>
  <si>
    <t>2 полугодие (58+96+177+243+193)</t>
  </si>
  <si>
    <t>1 полугодие (11+12,1+13,2+13,2+13,2+12,1)</t>
  </si>
  <si>
    <t>2 полугодие (9,9+9,9+14,3+14,3+13,2)</t>
  </si>
  <si>
    <t>2 полугодие (27+88+160)</t>
  </si>
  <si>
    <t>2 полугодие (2538+3244+8966+13789+15015)</t>
  </si>
  <si>
    <t>было первонач</t>
  </si>
  <si>
    <t>5-11 кл.=181 чел; кадеты = 45 чел.</t>
  </si>
  <si>
    <t>308 чел. 160 дней</t>
  </si>
  <si>
    <t>01.01.24= 5 - 11 классы =116,2 руб, кадеты = 233,1 руб;</t>
  </si>
  <si>
    <t>есть ком-кое 3 рабочих места, предусмотрелв рост 10%, договор 2023 года 30000 р.</t>
  </si>
  <si>
    <t>Итого = 7271,1 кв.м.Подвал учреждения = 1337,6 м2. Школа S= 5518,5 кв. м;, мастерская S= 255 кв. м; вспомогательное помещение S= 160 кв.м</t>
  </si>
  <si>
    <t>Денежная выплата обучающ.из льготн. категории за двухразовое питание 207 рублей (2 чел. обучение на дому постоянно)</t>
  </si>
  <si>
    <t>01.01.24= 414 руб.</t>
  </si>
  <si>
    <t>снегоуборочная машина, газонокосилка, воздуходувное устройство</t>
  </si>
  <si>
    <t>бесплатный , так как окружной</t>
  </si>
  <si>
    <t>п.1.4. (центр занятости)</t>
  </si>
  <si>
    <t>бюджет ХМАО-Югры, бюджет городского округа Урай</t>
  </si>
  <si>
    <t>Техническое обслуживание автоматизированных тепловых пунктоа (АИТП)</t>
  </si>
  <si>
    <t xml:space="preserve">ежемесячно </t>
  </si>
  <si>
    <t>Дежурный по режиму</t>
  </si>
  <si>
    <t>возврат за счет ФСС</t>
  </si>
  <si>
    <t>5,83 предоставили на 24,первоначальная  стоимость по факту составляла 5 рублей, с учетом роста 10 % = 7801,6 кв.м*5,5рублей*12 месяцев = 514905,6</t>
  </si>
  <si>
    <t xml:space="preserve">684000 в месяц плановое </t>
  </si>
  <si>
    <t>25700 ат-ты, медаль  3044</t>
  </si>
  <si>
    <t>приобретени холодильника</t>
  </si>
  <si>
    <t>приобретение фонтанчика</t>
  </si>
  <si>
    <t>ремонт кондиционера</t>
  </si>
  <si>
    <t>организацияпараш.прыжков</t>
  </si>
  <si>
    <t>2025</t>
  </si>
  <si>
    <t>2026</t>
  </si>
  <si>
    <t>1 смена = 136 чел.*150 дней * 15,22 руб, 2 смена = 70 чел.*150 дней *22,74 руб</t>
  </si>
  <si>
    <t>с 01.01.2024 = 15,22 руб.(1 смена), 22,74 руб. (2 смена)</t>
  </si>
  <si>
    <t>1 смена = 136 чел.*150 дней * 90,47 руб, 2 смена = 70 чел.*150 дней *135,16 руб</t>
  </si>
  <si>
    <t>1 смена = 136 чел.*150 дней * 60,31 руб, 2 смена = 70 чел.*150 дней *90,10 руб</t>
  </si>
  <si>
    <t>01.01.24=90,47 руб.</t>
  </si>
  <si>
    <t>01.01.24=60,31 руб.</t>
  </si>
  <si>
    <t>фб</t>
  </si>
  <si>
    <t>об</t>
  </si>
  <si>
    <t>мб</t>
  </si>
  <si>
    <t>льгот</t>
  </si>
  <si>
    <t>01.01.25= 414 руб.</t>
  </si>
  <si>
    <t>1 смена = 136 чел.*150 дней * 92,47 руб, 2 смена = 70 чел.*150 дней *138,14 руб</t>
  </si>
  <si>
    <t>01.01.25=92,47 руб.</t>
  </si>
  <si>
    <t>1 смена = 136 чел.*150 дней * 56,67 руб, 2 смена = 70 чел.*150 дней *84,67 руб</t>
  </si>
  <si>
    <t>01.01.25=56,67 руб.</t>
  </si>
  <si>
    <t>1 смена = 136 чел.*150 дней * 16,86 руб, 2 смена = 70 чел.*150 дней *25,19 руб</t>
  </si>
  <si>
    <t>1 смена = 136 чел.*150 дней *45,33 руб, 2 смена = 70 чел.*150 дней *45,33 руб</t>
  </si>
  <si>
    <t>1 смена = 136 чел.*150 дней * 92,03 руб, 2 смена = 70 чел.*150 дней *92,03 руб</t>
  </si>
  <si>
    <t>1 смена = 136 чел.*150 дней * 28,64 руб, 2 смена = 70 чел.*150 дней *28,64 руб</t>
  </si>
  <si>
    <t>с 01.01.2026 = 28,64 руб.(1 смена), 28,64 руб. (2 смена)</t>
  </si>
  <si>
    <t>01.01.26= 414 руб.</t>
  </si>
  <si>
    <t>01.01.26=92,03 руб.</t>
  </si>
  <si>
    <t>01.01.26=45,33 руб.</t>
  </si>
  <si>
    <t>01.01.26= 5 - 11 классы =116,2 руб, кадеты = 233,1 руб;</t>
  </si>
  <si>
    <t>01.01.25= 5 - 11 классы =116,2 руб, кадеты = 233,1 руб;</t>
  </si>
  <si>
    <t>с 01.01.2025 = 16,86 руб.(1 смена), 25,19 руб. (2 смена)</t>
  </si>
  <si>
    <t>И.о.начальника Управления  образовавания администрации города Урай</t>
  </si>
  <si>
    <t>И.Ю.Грунина</t>
  </si>
  <si>
    <t>Иные выплаты (в т.ч.Единовременная выплата при предоставлении ежегодного оплачиваемого отпуска 10% от годового фонда оплаты труда)</t>
  </si>
  <si>
    <t xml:space="preserve">Доплата до Указа Президента  ПП </t>
  </si>
  <si>
    <t>Директор МБОУ СОШ №5</t>
  </si>
  <si>
    <t>Л.Р.Зорина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</si>
</sst>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р_._-;\-* #,##0.00_р_._-;_-* &quot;-&quot;??_р_._-;_-@_-"/>
    <numFmt numFmtId="164" formatCode="_-* #,##0.00\ _₽_-;\-* #,##0.00\ _₽_-;_-* &quot;-&quot;??\ _₽_-;_-@_-"/>
    <numFmt numFmtId="165" formatCode="_-* #,##0.00_₽_-;\-* #,##0.00_₽_-;_-* &quot;-&quot;??_₽_-;_-@_-"/>
    <numFmt numFmtId="166" formatCode="0.0"/>
    <numFmt numFmtId="167" formatCode="0.0%"/>
    <numFmt numFmtId="168" formatCode="#,##0.0"/>
    <numFmt numFmtId="169" formatCode="_-* #,##0_р_._-;\-* #,##0_р_._-;_-* &quot;-&quot;??_р_._-;_-@_-"/>
    <numFmt numFmtId="170" formatCode="#,##0.00_ ;\-#,##0.00\ "/>
    <numFmt numFmtId="171" formatCode="_-* #,##0.0000_р_._-;\-* #,##0.0000_р_._-;_-* &quot;-&quot;??_р_._-;_-@_-"/>
    <numFmt numFmtId="172" formatCode="#,##0.00_р_."/>
    <numFmt numFmtId="173" formatCode="#,##0.00\ _₽"/>
    <numFmt numFmtId="174" formatCode="#,##0.000_р_."/>
    <numFmt numFmtId="175" formatCode="#,##0.000000000_ ;\-#,##0.000000000\ "/>
    <numFmt numFmtId="176" formatCode="_-* #,##0.000_р_._-;\-* #,##0.000_р_._-;_-* &quot;-&quot;??_р_._-;_-@_-"/>
    <numFmt numFmtId="177" formatCode="#,##0.00000000_ ;\-#,##0.00000000\ "/>
    <numFmt numFmtId="178" formatCode="#,##0_р_."/>
    <numFmt numFmtId="179" formatCode="#,##0.000"/>
  </numFmts>
  <fonts count="66" x14ac:knownFonts="1">
    <font>
      <sz val="11"/>
      <color theme="1"/>
      <name val="Calibri"/>
      <family val="2"/>
      <charset val="204"/>
      <scheme val="minor"/>
    </font>
    <font>
      <sz val="11"/>
      <color theme="1"/>
      <name val="Calibri"/>
      <family val="2"/>
      <charset val="204"/>
      <scheme val="minor"/>
    </font>
    <font>
      <b/>
      <sz val="12"/>
      <color theme="1"/>
      <name val="Calibri"/>
      <family val="2"/>
      <charset val="204"/>
    </font>
    <font>
      <sz val="11"/>
      <color theme="1"/>
      <name val="Calibri"/>
      <family val="2"/>
      <charset val="204"/>
    </font>
    <font>
      <sz val="12"/>
      <color theme="1"/>
      <name val="Calibri"/>
      <family val="2"/>
      <charset val="204"/>
    </font>
    <font>
      <b/>
      <sz val="11"/>
      <color theme="1"/>
      <name val="Calibri"/>
      <family val="2"/>
      <charset val="204"/>
    </font>
    <font>
      <sz val="8"/>
      <color theme="1"/>
      <name val="Calibri"/>
      <family val="2"/>
      <charset val="204"/>
    </font>
    <font>
      <sz val="10"/>
      <color theme="1"/>
      <name val="Calibri"/>
      <family val="2"/>
      <charset val="204"/>
    </font>
    <font>
      <sz val="10"/>
      <name val="Helv"/>
      <family val="2"/>
      <charset val="204"/>
    </font>
    <font>
      <b/>
      <sz val="14"/>
      <color theme="1"/>
      <name val="Calibri"/>
      <family val="2"/>
      <charset val="204"/>
    </font>
    <font>
      <b/>
      <u/>
      <sz val="12"/>
      <color theme="1"/>
      <name val="Calibri"/>
      <family val="2"/>
      <charset val="204"/>
    </font>
    <font>
      <sz val="10"/>
      <color indexed="8"/>
      <name val="Calibri"/>
      <family val="2"/>
      <charset val="204"/>
    </font>
    <font>
      <b/>
      <i/>
      <sz val="11"/>
      <color indexed="8"/>
      <name val="Calibri"/>
      <family val="2"/>
      <charset val="204"/>
    </font>
    <font>
      <sz val="11"/>
      <color indexed="8"/>
      <name val="Calibri"/>
      <family val="2"/>
      <charset val="204"/>
    </font>
    <font>
      <b/>
      <sz val="10"/>
      <color theme="1"/>
      <name val="Calibri"/>
      <family val="2"/>
      <charset val="204"/>
    </font>
    <font>
      <b/>
      <sz val="8"/>
      <color theme="1"/>
      <name val="Calibri"/>
      <family val="2"/>
      <charset val="204"/>
    </font>
    <font>
      <sz val="10"/>
      <name val="Calibri"/>
      <family val="2"/>
      <charset val="204"/>
    </font>
    <font>
      <sz val="10"/>
      <name val="Arial Cyr"/>
      <charset val="204"/>
    </font>
    <font>
      <sz val="12"/>
      <name val="Calibri"/>
      <family val="2"/>
      <charset val="204"/>
    </font>
    <font>
      <sz val="11"/>
      <name val="Calibri"/>
      <family val="2"/>
      <charset val="204"/>
    </font>
    <font>
      <sz val="8"/>
      <name val="Calibri"/>
      <family val="2"/>
      <charset val="204"/>
    </font>
    <font>
      <sz val="1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sz val="10"/>
      <color theme="1"/>
      <name val="Times New Roman"/>
      <family val="1"/>
      <charset val="204"/>
    </font>
    <font>
      <sz val="8"/>
      <color theme="1"/>
      <name val="Times New Roman"/>
      <family val="1"/>
      <charset val="204"/>
    </font>
    <font>
      <sz val="10"/>
      <name val="Times New Roman"/>
      <family val="1"/>
      <charset val="204"/>
    </font>
    <font>
      <sz val="16"/>
      <color rgb="FFFF0000"/>
      <name val="Calibri"/>
      <family val="2"/>
      <charset val="204"/>
    </font>
    <font>
      <b/>
      <sz val="11"/>
      <name val="Times New Roman"/>
      <family val="1"/>
      <charset val="204"/>
    </font>
    <font>
      <b/>
      <sz val="12"/>
      <name val="Times New Roman"/>
      <family val="1"/>
      <charset val="204"/>
    </font>
    <font>
      <i/>
      <sz val="11"/>
      <color theme="1"/>
      <name val="Times New Roman"/>
      <family val="1"/>
      <charset val="204"/>
    </font>
    <font>
      <i/>
      <sz val="11"/>
      <color theme="1"/>
      <name val="Calibri"/>
      <family val="2"/>
      <charset val="204"/>
    </font>
    <font>
      <u val="singleAccounting"/>
      <sz val="11"/>
      <color theme="1"/>
      <name val="Times New Roman"/>
      <family val="1"/>
      <charset val="204"/>
    </font>
    <font>
      <i/>
      <u val="singleAccounting"/>
      <sz val="11"/>
      <color theme="1"/>
      <name val="Times New Roman"/>
      <family val="1"/>
      <charset val="204"/>
    </font>
    <font>
      <sz val="9"/>
      <name val="Calibri"/>
      <family val="2"/>
      <charset val="204"/>
    </font>
    <font>
      <b/>
      <i/>
      <sz val="11"/>
      <color theme="1"/>
      <name val="Times New Roman"/>
      <family val="1"/>
      <charset val="204"/>
    </font>
    <font>
      <b/>
      <i/>
      <sz val="11"/>
      <color theme="1"/>
      <name val="Calibri"/>
      <family val="2"/>
      <charset val="204"/>
    </font>
    <font>
      <b/>
      <i/>
      <sz val="12"/>
      <color theme="1"/>
      <name val="Calibri"/>
      <family val="2"/>
      <charset val="204"/>
    </font>
    <font>
      <b/>
      <sz val="16"/>
      <color theme="1"/>
      <name val="Calibri"/>
      <family val="2"/>
      <charset val="204"/>
    </font>
    <font>
      <b/>
      <sz val="18"/>
      <color theme="1"/>
      <name val="Calibri"/>
      <family val="2"/>
      <charset val="204"/>
    </font>
    <font>
      <sz val="11"/>
      <color theme="0"/>
      <name val="Times New Roman"/>
      <family val="1"/>
      <charset val="204"/>
    </font>
    <font>
      <b/>
      <sz val="11"/>
      <color theme="0"/>
      <name val="Times New Roman"/>
      <family val="1"/>
      <charset val="204"/>
    </font>
    <font>
      <sz val="12"/>
      <color theme="1"/>
      <name val="Calibri"/>
      <family val="2"/>
      <charset val="204"/>
      <scheme val="minor"/>
    </font>
    <font>
      <b/>
      <sz val="11"/>
      <color rgb="FFFF0000"/>
      <name val="Times New Roman"/>
      <family val="1"/>
      <charset val="204"/>
    </font>
    <font>
      <b/>
      <sz val="12"/>
      <color theme="1"/>
      <name val="Calibri"/>
      <family val="2"/>
      <charset val="204"/>
      <scheme val="minor"/>
    </font>
    <font>
      <u val="singleAccounting"/>
      <sz val="10"/>
      <name val="Calibri"/>
      <family val="2"/>
      <charset val="204"/>
    </font>
    <font>
      <sz val="7"/>
      <name val="Times New Roman"/>
      <family val="1"/>
      <charset val="204"/>
    </font>
    <font>
      <sz val="8"/>
      <name val="Times New Roman"/>
      <family val="1"/>
      <charset val="204"/>
    </font>
    <font>
      <sz val="6.5"/>
      <name val="Times New Roman"/>
      <family val="1"/>
      <charset val="204"/>
    </font>
    <font>
      <sz val="9"/>
      <name val="Times New Roman"/>
      <family val="1"/>
      <charset val="204"/>
    </font>
    <font>
      <sz val="6"/>
      <name val="Times New Roman"/>
      <family val="1"/>
      <charset val="204"/>
    </font>
    <font>
      <u/>
      <sz val="7"/>
      <name val="Times New Roman"/>
      <family val="1"/>
      <charset val="204"/>
    </font>
    <font>
      <b/>
      <sz val="9"/>
      <name val="Times New Roman"/>
      <family val="1"/>
      <charset val="204"/>
    </font>
    <font>
      <b/>
      <vertAlign val="superscript"/>
      <sz val="9"/>
      <name val="Times New Roman"/>
      <family val="1"/>
      <charset val="204"/>
    </font>
    <font>
      <vertAlign val="superscript"/>
      <sz val="8"/>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sz val="9"/>
      <color indexed="9"/>
      <name val="Times New Roman"/>
      <family val="1"/>
      <charset val="204"/>
    </font>
    <font>
      <vertAlign val="superscript"/>
      <sz val="9"/>
      <name val="Times New Roman"/>
      <family val="1"/>
      <charset val="204"/>
    </font>
    <font>
      <sz val="8"/>
      <color theme="0"/>
      <name val="Times New Roman"/>
      <family val="1"/>
      <charset val="204"/>
    </font>
    <font>
      <b/>
      <sz val="11"/>
      <color theme="1"/>
      <name val="Calibri"/>
      <family val="2"/>
      <charset val="204"/>
      <scheme val="minor"/>
    </font>
    <font>
      <b/>
      <sz val="10"/>
      <color theme="1"/>
      <name val="Times New Roman"/>
      <family val="1"/>
      <charset val="204"/>
    </font>
  </fonts>
  <fills count="12">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00B05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0" fontId="17" fillId="0" borderId="0"/>
    <xf numFmtId="43" fontId="17" fillId="0" borderId="0" applyFont="0" applyFill="0" applyBorder="0" applyAlignment="0" applyProtection="0"/>
    <xf numFmtId="0" fontId="17" fillId="0" borderId="0"/>
    <xf numFmtId="9"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734">
    <xf numFmtId="0" fontId="0" fillId="0" borderId="0" xfId="0"/>
    <xf numFmtId="0" fontId="3" fillId="0" borderId="0" xfId="0" applyFont="1"/>
    <xf numFmtId="0" fontId="4" fillId="0" borderId="0" xfId="0" applyFont="1" applyAlignment="1">
      <alignment horizontal="left"/>
    </xf>
    <xf numFmtId="0" fontId="5" fillId="0" borderId="6" xfId="0" applyFont="1" applyBorder="1" applyAlignment="1">
      <alignment horizontal="center"/>
    </xf>
    <xf numFmtId="0" fontId="3" fillId="0" borderId="6" xfId="0" applyFont="1" applyBorder="1"/>
    <xf numFmtId="0" fontId="5" fillId="0" borderId="4" xfId="0" applyFont="1" applyBorder="1"/>
    <xf numFmtId="0" fontId="3" fillId="0" borderId="4" xfId="0" applyFont="1" applyBorder="1"/>
    <xf numFmtId="0" fontId="4" fillId="0" borderId="0" xfId="0" applyFont="1" applyAlignment="1">
      <alignment horizontal="justify"/>
    </xf>
    <xf numFmtId="0" fontId="4" fillId="0" borderId="0" xfId="0" applyFont="1" applyAlignment="1">
      <alignment horizontal="center"/>
    </xf>
    <xf numFmtId="4" fontId="3" fillId="2" borderId="1" xfId="0" applyNumberFormat="1" applyFont="1" applyFill="1" applyBorder="1" applyAlignment="1">
      <alignment horizontal="center" wrapText="1"/>
    </xf>
    <xf numFmtId="167" fontId="3" fillId="2" borderId="1" xfId="2" applyNumberFormat="1" applyFont="1" applyFill="1" applyBorder="1" applyAlignment="1">
      <alignment horizontal="center" wrapText="1"/>
    </xf>
    <xf numFmtId="43" fontId="6" fillId="0" borderId="0" xfId="1" applyNumberFormat="1" applyFont="1" applyAlignment="1">
      <alignment vertical="top"/>
    </xf>
    <xf numFmtId="0" fontId="4" fillId="0" borderId="1" xfId="0" applyFont="1" applyBorder="1" applyAlignment="1">
      <alignment horizontal="center" wrapText="1"/>
    </xf>
    <xf numFmtId="43" fontId="6" fillId="0" borderId="0" xfId="1" applyNumberFormat="1" applyFont="1" applyAlignment="1">
      <alignment vertical="center"/>
    </xf>
    <xf numFmtId="0" fontId="6" fillId="0" borderId="0" xfId="0" applyFont="1"/>
    <xf numFmtId="0" fontId="6" fillId="0" borderId="0" xfId="0" applyFont="1" applyAlignment="1">
      <alignment wrapText="1"/>
    </xf>
    <xf numFmtId="16" fontId="3" fillId="0" borderId="1" xfId="0" applyNumberFormat="1" applyFont="1" applyBorder="1" applyAlignment="1">
      <alignment horizontal="center" wrapText="1"/>
    </xf>
    <xf numFmtId="0" fontId="3" fillId="0" borderId="7" xfId="0" applyFont="1" applyBorder="1" applyAlignment="1">
      <alignment wrapText="1"/>
    </xf>
    <xf numFmtId="0" fontId="2" fillId="0" borderId="0" xfId="0" applyFont="1" applyAlignment="1">
      <alignment horizontal="left"/>
    </xf>
    <xf numFmtId="0" fontId="11" fillId="0" borderId="1" xfId="3" applyFont="1" applyFill="1" applyBorder="1" applyAlignment="1">
      <alignment horizontal="center" vertical="center" wrapText="1"/>
    </xf>
    <xf numFmtId="4" fontId="7" fillId="0" borderId="1" xfId="0" applyNumberFormat="1" applyFont="1" applyBorder="1" applyAlignment="1">
      <alignment horizontal="center" wrapText="1"/>
    </xf>
    <xf numFmtId="9" fontId="7" fillId="0" borderId="1" xfId="2" applyFont="1" applyBorder="1" applyAlignment="1">
      <alignment horizontal="center" wrapText="1"/>
    </xf>
    <xf numFmtId="168" fontId="7" fillId="0" borderId="1" xfId="0" applyNumberFormat="1" applyFont="1" applyBorder="1" applyAlignment="1">
      <alignment horizontal="center" wrapText="1"/>
    </xf>
    <xf numFmtId="0" fontId="12" fillId="0" borderId="3" xfId="3" applyFont="1" applyFill="1" applyBorder="1" applyAlignment="1"/>
    <xf numFmtId="0" fontId="12" fillId="0" borderId="4" xfId="3" applyFont="1" applyFill="1" applyBorder="1" applyAlignment="1"/>
    <xf numFmtId="0" fontId="13" fillId="0" borderId="1" xfId="3" applyFont="1" applyFill="1" applyBorder="1" applyAlignment="1">
      <alignment horizontal="center" wrapText="1"/>
    </xf>
    <xf numFmtId="0" fontId="11" fillId="0" borderId="1" xfId="3" applyFont="1" applyFill="1" applyBorder="1" applyAlignment="1">
      <alignment horizontal="center" wrapText="1"/>
    </xf>
    <xf numFmtId="0" fontId="7" fillId="0" borderId="1" xfId="0" applyFont="1" applyBorder="1" applyAlignment="1">
      <alignment horizontal="center" wrapText="1"/>
    </xf>
    <xf numFmtId="1" fontId="11" fillId="0" borderId="1" xfId="3" applyNumberFormat="1" applyFont="1" applyFill="1" applyBorder="1" applyAlignment="1">
      <alignment horizontal="center" wrapText="1"/>
    </xf>
    <xf numFmtId="166" fontId="11" fillId="0" borderId="1" xfId="3" applyNumberFormat="1" applyFont="1" applyFill="1" applyBorder="1" applyAlignment="1">
      <alignment horizontal="center" wrapText="1"/>
    </xf>
    <xf numFmtId="0" fontId="14" fillId="2" borderId="1" xfId="0" applyFont="1" applyFill="1" applyBorder="1" applyAlignment="1">
      <alignment horizontal="center" wrapText="1"/>
    </xf>
    <xf numFmtId="1" fontId="14" fillId="2" borderId="1" xfId="0" applyNumberFormat="1" applyFont="1" applyFill="1" applyBorder="1" applyAlignment="1">
      <alignment horizontal="center" wrapText="1"/>
    </xf>
    <xf numFmtId="4" fontId="15" fillId="2" borderId="1" xfId="0" applyNumberFormat="1" applyFont="1" applyFill="1" applyBorder="1" applyAlignment="1">
      <alignment horizontal="center" wrapText="1"/>
    </xf>
    <xf numFmtId="9" fontId="6" fillId="2" borderId="1" xfId="2" applyFont="1" applyFill="1" applyBorder="1" applyAlignment="1">
      <alignment horizontal="center" wrapText="1"/>
    </xf>
    <xf numFmtId="168" fontId="6" fillId="2" borderId="1" xfId="0" applyNumberFormat="1" applyFont="1" applyFill="1" applyBorder="1" applyAlignment="1">
      <alignment horizontal="center" wrapText="1"/>
    </xf>
    <xf numFmtId="166" fontId="14" fillId="2" borderId="1" xfId="0" applyNumberFormat="1" applyFont="1" applyFill="1" applyBorder="1" applyAlignment="1">
      <alignment horizontal="center" wrapText="1"/>
    </xf>
    <xf numFmtId="2" fontId="14" fillId="2" borderId="1" xfId="0" applyNumberFormat="1" applyFont="1" applyFill="1" applyBorder="1" applyAlignment="1">
      <alignment horizontal="center" wrapText="1"/>
    </xf>
    <xf numFmtId="3" fontId="16" fillId="0" borderId="1" xfId="0" applyNumberFormat="1" applyFont="1" applyBorder="1" applyAlignment="1">
      <alignment horizontal="center" wrapText="1"/>
    </xf>
    <xf numFmtId="3" fontId="15" fillId="2" borderId="1" xfId="0" applyNumberFormat="1" applyFont="1" applyFill="1" applyBorder="1" applyAlignment="1">
      <alignment horizontal="center" wrapText="1"/>
    </xf>
    <xf numFmtId="0" fontId="6" fillId="0" borderId="0" xfId="0" applyFont="1" applyAlignment="1">
      <alignment horizontal="right"/>
    </xf>
    <xf numFmtId="0" fontId="5" fillId="0" borderId="0" xfId="0" applyFont="1" applyAlignment="1">
      <alignment horizontal="center"/>
    </xf>
    <xf numFmtId="0" fontId="7" fillId="0" borderId="0" xfId="0" applyFont="1"/>
    <xf numFmtId="0" fontId="7" fillId="0" borderId="0" xfId="0" applyFont="1" applyAlignment="1">
      <alignment horizontal="center"/>
    </xf>
    <xf numFmtId="0" fontId="7" fillId="0" borderId="0" xfId="0" applyFont="1" applyAlignment="1">
      <alignment horizontal="center" wrapText="1"/>
    </xf>
    <xf numFmtId="0" fontId="16" fillId="0" borderId="0" xfId="4" applyFont="1" applyFill="1"/>
    <xf numFmtId="0" fontId="19" fillId="0" borderId="0" xfId="4" applyFont="1" applyFill="1"/>
    <xf numFmtId="0" fontId="16" fillId="0" borderId="0" xfId="4" applyFont="1" applyFill="1" applyAlignment="1">
      <alignment horizontal="left"/>
    </xf>
    <xf numFmtId="0" fontId="18" fillId="0" borderId="0" xfId="0" applyFont="1" applyAlignment="1">
      <alignment horizontal="right"/>
    </xf>
    <xf numFmtId="0" fontId="18" fillId="0" borderId="6" xfId="0" applyFont="1" applyBorder="1" applyAlignment="1">
      <alignment horizontal="right"/>
    </xf>
    <xf numFmtId="0" fontId="18" fillId="0" borderId="6" xfId="0" applyFont="1" applyBorder="1"/>
    <xf numFmtId="0" fontId="18" fillId="0" borderId="0" xfId="0" applyFont="1"/>
    <xf numFmtId="0" fontId="3" fillId="0" borderId="0" xfId="0" applyFont="1" applyAlignment="1">
      <alignment horizontal="right"/>
    </xf>
    <xf numFmtId="0" fontId="2" fillId="0" borderId="0" xfId="0" applyFont="1" applyAlignment="1">
      <alignment horizontal="right"/>
    </xf>
    <xf numFmtId="0" fontId="2" fillId="0" borderId="0" xfId="0" applyFont="1"/>
    <xf numFmtId="0" fontId="2" fillId="0" borderId="6" xfId="0" applyFont="1" applyBorder="1" applyAlignment="1">
      <alignment horizontal="center"/>
    </xf>
    <xf numFmtId="0" fontId="3" fillId="0" borderId="1" xfId="0" applyFont="1" applyBorder="1" applyAlignment="1">
      <alignment horizontal="center" wrapText="1"/>
    </xf>
    <xf numFmtId="43" fontId="5" fillId="0" borderId="1" xfId="1" applyFont="1" applyBorder="1" applyAlignment="1">
      <alignment horizontal="center" wrapText="1"/>
    </xf>
    <xf numFmtId="0" fontId="7" fillId="0" borderId="1" xfId="0" applyFont="1" applyBorder="1" applyAlignment="1">
      <alignment horizontal="center" vertical="top" wrapText="1"/>
    </xf>
    <xf numFmtId="43" fontId="3" fillId="0" borderId="1" xfId="1" applyFont="1" applyBorder="1" applyAlignment="1">
      <alignment horizontal="center" wrapText="1"/>
    </xf>
    <xf numFmtId="0" fontId="3" fillId="0" borderId="1" xfId="0" applyFont="1" applyBorder="1" applyAlignment="1">
      <alignment horizontal="center"/>
    </xf>
    <xf numFmtId="0" fontId="2" fillId="0" borderId="0" xfId="0" applyFont="1" applyAlignment="1">
      <alignment horizontal="center"/>
    </xf>
    <xf numFmtId="3" fontId="3" fillId="0" borderId="1" xfId="0" applyNumberFormat="1" applyFont="1" applyBorder="1" applyAlignment="1">
      <alignment horizontal="center" wrapText="1"/>
    </xf>
    <xf numFmtId="2" fontId="3" fillId="0" borderId="1" xfId="0" applyNumberFormat="1" applyFont="1" applyBorder="1" applyAlignment="1">
      <alignment horizontal="center" wrapText="1"/>
    </xf>
    <xf numFmtId="0" fontId="3" fillId="2" borderId="1" xfId="0" applyFont="1" applyFill="1" applyBorder="1" applyAlignment="1">
      <alignment horizontal="center" wrapText="1"/>
    </xf>
    <xf numFmtId="0" fontId="7" fillId="0" borderId="3" xfId="0" applyFont="1" applyBorder="1" applyAlignment="1">
      <alignment horizontal="center" vertical="top" wrapText="1"/>
    </xf>
    <xf numFmtId="43" fontId="3" fillId="0" borderId="1" xfId="1" applyFont="1" applyBorder="1" applyAlignment="1"/>
    <xf numFmtId="4" fontId="3" fillId="0" borderId="1" xfId="0" applyNumberFormat="1" applyFont="1" applyBorder="1" applyAlignment="1">
      <alignment horizontal="center" wrapText="1"/>
    </xf>
    <xf numFmtId="0" fontId="3" fillId="0" borderId="1" xfId="0" applyFont="1" applyBorder="1" applyAlignment="1">
      <alignment wrapText="1"/>
    </xf>
    <xf numFmtId="3" fontId="3" fillId="2" borderId="1" xfId="0" applyNumberFormat="1" applyFont="1" applyFill="1" applyBorder="1" applyAlignment="1">
      <alignment horizontal="center" wrapText="1"/>
    </xf>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170" fontId="3" fillId="0" borderId="1" xfId="1" applyNumberFormat="1" applyFont="1" applyBorder="1" applyAlignment="1">
      <alignment horizontal="center"/>
    </xf>
    <xf numFmtId="0" fontId="3" fillId="2" borderId="1" xfId="0" applyFont="1" applyFill="1" applyBorder="1" applyAlignment="1">
      <alignment horizontal="center"/>
    </xf>
    <xf numFmtId="171" fontId="3" fillId="0" borderId="0" xfId="0" applyNumberFormat="1" applyFont="1"/>
    <xf numFmtId="168" fontId="3" fillId="0" borderId="1" xfId="0" applyNumberFormat="1" applyFont="1" applyBorder="1" applyAlignment="1">
      <alignment horizontal="center" wrapText="1"/>
    </xf>
    <xf numFmtId="170" fontId="3" fillId="0" borderId="1" xfId="1" applyNumberFormat="1" applyFont="1" applyBorder="1" applyAlignment="1"/>
    <xf numFmtId="0" fontId="3" fillId="0" borderId="1" xfId="0" applyFont="1" applyBorder="1"/>
    <xf numFmtId="170" fontId="3" fillId="0" borderId="0" xfId="0" applyNumberFormat="1" applyFont="1"/>
    <xf numFmtId="0" fontId="25" fillId="3" borderId="1" xfId="0" applyFont="1" applyFill="1" applyBorder="1" applyAlignment="1">
      <alignment horizontal="center" vertical="center" wrapText="1"/>
    </xf>
    <xf numFmtId="173" fontId="25" fillId="3" borderId="1" xfId="0" applyNumberFormat="1" applyFont="1" applyFill="1" applyBorder="1" applyAlignment="1">
      <alignment horizontal="center" vertical="top" wrapText="1"/>
    </xf>
    <xf numFmtId="0" fontId="23" fillId="0" borderId="0" xfId="0" applyFont="1" applyAlignment="1">
      <alignment horizontal="left"/>
    </xf>
    <xf numFmtId="0" fontId="22" fillId="0" borderId="0" xfId="0" applyFont="1"/>
    <xf numFmtId="0" fontId="24" fillId="0" borderId="0" xfId="0" applyFont="1" applyAlignment="1">
      <alignment horizontal="right"/>
    </xf>
    <xf numFmtId="0" fontId="24" fillId="0" borderId="0" xfId="0" applyFont="1"/>
    <xf numFmtId="0" fontId="25" fillId="0" borderId="6" xfId="0" applyFont="1" applyBorder="1" applyAlignment="1">
      <alignment horizontal="center"/>
    </xf>
    <xf numFmtId="0" fontId="22" fillId="0" borderId="6" xfId="0" applyFont="1" applyBorder="1"/>
    <xf numFmtId="0" fontId="25" fillId="0" borderId="4" xfId="0" applyFont="1" applyBorder="1"/>
    <xf numFmtId="0" fontId="22" fillId="0" borderId="4" xfId="0" applyFont="1" applyBorder="1"/>
    <xf numFmtId="0" fontId="23" fillId="0" borderId="0" xfId="0" applyFont="1" applyAlignment="1">
      <alignment horizontal="justify"/>
    </xf>
    <xf numFmtId="0" fontId="22" fillId="0" borderId="7" xfId="0" applyFont="1" applyBorder="1" applyAlignment="1">
      <alignment wrapText="1"/>
    </xf>
    <xf numFmtId="3" fontId="22" fillId="2" borderId="1" xfId="0" applyNumberFormat="1" applyFont="1" applyFill="1" applyBorder="1" applyAlignment="1">
      <alignment horizontal="center" wrapText="1"/>
    </xf>
    <xf numFmtId="167" fontId="22" fillId="2" borderId="1" xfId="2" applyNumberFormat="1" applyFont="1" applyFill="1" applyBorder="1" applyAlignment="1">
      <alignment horizontal="center" wrapText="1"/>
    </xf>
    <xf numFmtId="170" fontId="22" fillId="0" borderId="1" xfId="1" applyNumberFormat="1" applyFont="1" applyBorder="1" applyAlignment="1"/>
    <xf numFmtId="0" fontId="22" fillId="2" borderId="1" xfId="0" applyFont="1" applyFill="1" applyBorder="1" applyAlignment="1">
      <alignment horizontal="center"/>
    </xf>
    <xf numFmtId="0" fontId="22" fillId="0" borderId="1" xfId="0" applyFont="1" applyBorder="1" applyAlignment="1">
      <alignment horizontal="center"/>
    </xf>
    <xf numFmtId="16" fontId="22" fillId="0" borderId="1" xfId="0" applyNumberFormat="1" applyFont="1" applyBorder="1" applyAlignment="1">
      <alignment horizontal="center" wrapText="1"/>
    </xf>
    <xf numFmtId="0" fontId="25" fillId="0" borderId="0" xfId="0" applyFont="1" applyAlignment="1">
      <alignment horizontal="center"/>
    </xf>
    <xf numFmtId="0" fontId="27" fillId="0" borderId="0" xfId="0" applyFont="1" applyAlignment="1">
      <alignment horizontal="right"/>
    </xf>
    <xf numFmtId="0" fontId="22" fillId="0" borderId="7" xfId="0" applyFont="1" applyBorder="1" applyAlignment="1">
      <alignment horizontal="center" wrapText="1"/>
    </xf>
    <xf numFmtId="0" fontId="6" fillId="0" borderId="0" xfId="0" applyFont="1" applyFill="1"/>
    <xf numFmtId="0" fontId="22" fillId="4" borderId="1" xfId="0" applyFont="1" applyFill="1" applyBorder="1" applyAlignment="1">
      <alignment horizontal="center" wrapText="1"/>
    </xf>
    <xf numFmtId="43" fontId="22" fillId="0" borderId="1" xfId="1" applyFont="1" applyFill="1" applyBorder="1" applyAlignment="1"/>
    <xf numFmtId="0" fontId="22" fillId="0" borderId="1" xfId="0" applyFont="1" applyBorder="1" applyAlignment="1">
      <alignment horizontal="left" vertical="top" wrapText="1"/>
    </xf>
    <xf numFmtId="173" fontId="22" fillId="0" borderId="1" xfId="0" applyNumberFormat="1" applyFont="1" applyBorder="1" applyAlignment="1">
      <alignment horizontal="center" vertical="top" wrapText="1"/>
    </xf>
    <xf numFmtId="1" fontId="22" fillId="0" borderId="1" xfId="0" applyNumberFormat="1" applyFont="1" applyBorder="1" applyAlignment="1">
      <alignment horizontal="center" vertical="top" wrapText="1"/>
    </xf>
    <xf numFmtId="170" fontId="22" fillId="0" borderId="1" xfId="0" applyNumberFormat="1" applyFont="1" applyBorder="1" applyAlignment="1">
      <alignment horizontal="center" vertical="top" wrapText="1"/>
    </xf>
    <xf numFmtId="0" fontId="22" fillId="0" borderId="1" xfId="0" applyFont="1" applyFill="1" applyBorder="1" applyAlignment="1">
      <alignment horizontal="center" vertical="top" wrapText="1"/>
    </xf>
    <xf numFmtId="0" fontId="25" fillId="0" borderId="1" xfId="0" applyFont="1" applyFill="1" applyBorder="1" applyAlignment="1">
      <alignment horizontal="right" vertical="top" wrapText="1"/>
    </xf>
    <xf numFmtId="0" fontId="25" fillId="0" borderId="1" xfId="0" applyFont="1" applyFill="1" applyBorder="1" applyAlignment="1">
      <alignment horizontal="center" vertical="center" wrapText="1"/>
    </xf>
    <xf numFmtId="173" fontId="25" fillId="0" borderId="1" xfId="0" applyNumberFormat="1" applyFont="1" applyFill="1" applyBorder="1" applyAlignment="1">
      <alignment horizontal="center" vertical="center" wrapText="1"/>
    </xf>
    <xf numFmtId="173" fontId="25" fillId="0" borderId="1" xfId="0" applyNumberFormat="1" applyFont="1" applyFill="1" applyBorder="1" applyAlignment="1">
      <alignment horizontal="center" vertical="top" wrapText="1"/>
    </xf>
    <xf numFmtId="170" fontId="25" fillId="0" borderId="1" xfId="0" applyNumberFormat="1" applyFont="1" applyFill="1" applyBorder="1" applyAlignment="1">
      <alignment horizontal="center" vertical="top" wrapText="1"/>
    </xf>
    <xf numFmtId="0" fontId="24" fillId="0" borderId="1" xfId="0" applyFont="1" applyBorder="1" applyAlignment="1">
      <alignment horizontal="right" vertical="top" wrapText="1"/>
    </xf>
    <xf numFmtId="173" fontId="24" fillId="0" borderId="1" xfId="0" applyNumberFormat="1" applyFont="1" applyBorder="1" applyAlignment="1">
      <alignment horizontal="center" vertical="top" wrapText="1"/>
    </xf>
    <xf numFmtId="170" fontId="24" fillId="0" borderId="1" xfId="0" applyNumberFormat="1" applyFont="1" applyBorder="1" applyAlignment="1">
      <alignment horizontal="center" vertical="center" wrapText="1"/>
    </xf>
    <xf numFmtId="172" fontId="22" fillId="0" borderId="1" xfId="0" applyNumberFormat="1" applyFont="1" applyBorder="1" applyAlignment="1">
      <alignment horizontal="center" vertical="top" wrapText="1"/>
    </xf>
    <xf numFmtId="39" fontId="22" fillId="0" borderId="1" xfId="0" applyNumberFormat="1" applyFont="1" applyBorder="1" applyAlignment="1">
      <alignment horizontal="right" vertical="top" wrapText="1"/>
    </xf>
    <xf numFmtId="0" fontId="25" fillId="0" borderId="1" xfId="0" applyFont="1" applyFill="1" applyBorder="1" applyAlignment="1">
      <alignment horizontal="left" vertical="top" wrapText="1"/>
    </xf>
    <xf numFmtId="0" fontId="25" fillId="0" borderId="1" xfId="0" applyFont="1" applyFill="1" applyBorder="1" applyAlignment="1">
      <alignment horizontal="center" vertical="top" wrapText="1"/>
    </xf>
    <xf numFmtId="172" fontId="25" fillId="0" borderId="1" xfId="0" applyNumberFormat="1" applyFont="1" applyFill="1" applyBorder="1" applyAlignment="1">
      <alignment horizontal="center" vertical="top" wrapText="1"/>
    </xf>
    <xf numFmtId="39" fontId="25" fillId="0" borderId="1" xfId="0" applyNumberFormat="1" applyFont="1" applyFill="1" applyBorder="1" applyAlignment="1">
      <alignment horizontal="right" vertical="top" wrapText="1"/>
    </xf>
    <xf numFmtId="0" fontId="25" fillId="3" borderId="1" xfId="0" applyFont="1" applyFill="1" applyBorder="1" applyAlignment="1">
      <alignment horizontal="center" vertical="top" wrapText="1"/>
    </xf>
    <xf numFmtId="172" fontId="25" fillId="3" borderId="1" xfId="0" applyNumberFormat="1" applyFont="1" applyFill="1" applyBorder="1" applyAlignment="1">
      <alignment horizontal="center" vertical="top" wrapText="1"/>
    </xf>
    <xf numFmtId="0" fontId="22" fillId="3" borderId="1" xfId="0" applyFont="1" applyFill="1" applyBorder="1" applyAlignment="1">
      <alignment horizontal="center" vertical="top" wrapText="1"/>
    </xf>
    <xf numFmtId="43" fontId="6" fillId="0" borderId="0" xfId="0" applyNumberFormat="1" applyFont="1"/>
    <xf numFmtId="0" fontId="3" fillId="0" borderId="0" xfId="0" applyFont="1" applyFill="1"/>
    <xf numFmtId="164" fontId="3" fillId="0" borderId="0" xfId="0" applyNumberFormat="1" applyFont="1"/>
    <xf numFmtId="173" fontId="22" fillId="0" borderId="1" xfId="0" applyNumberFormat="1" applyFont="1" applyFill="1" applyBorder="1" applyAlignment="1">
      <alignment horizontal="center" vertical="top" wrapText="1"/>
    </xf>
    <xf numFmtId="0" fontId="3" fillId="0" borderId="0" xfId="0" applyFont="1" applyFill="1" applyAlignment="1">
      <alignment horizontal="left"/>
    </xf>
    <xf numFmtId="4" fontId="3" fillId="0" borderId="0" xfId="0" applyNumberFormat="1" applyFont="1"/>
    <xf numFmtId="172" fontId="22" fillId="0" borderId="1" xfId="0" applyNumberFormat="1" applyFont="1" applyFill="1" applyBorder="1" applyAlignment="1">
      <alignment horizontal="center" vertical="top" wrapText="1"/>
    </xf>
    <xf numFmtId="1" fontId="22" fillId="0" borderId="1" xfId="0" applyNumberFormat="1" applyFont="1" applyFill="1" applyBorder="1" applyAlignment="1">
      <alignment horizontal="center" wrapText="1"/>
    </xf>
    <xf numFmtId="170" fontId="22" fillId="0" borderId="1" xfId="0" applyNumberFormat="1" applyFont="1" applyFill="1" applyBorder="1" applyAlignment="1">
      <alignment horizontal="center" vertical="top" wrapText="1"/>
    </xf>
    <xf numFmtId="0" fontId="3" fillId="0" borderId="0" xfId="0" applyFont="1" applyBorder="1"/>
    <xf numFmtId="39" fontId="25" fillId="0" borderId="1" xfId="0" applyNumberFormat="1" applyFont="1" applyBorder="1" applyAlignment="1">
      <alignment horizontal="right" vertical="top" wrapText="1"/>
    </xf>
    <xf numFmtId="0" fontId="26" fillId="0" borderId="0" xfId="0" applyFont="1" applyBorder="1" applyAlignment="1">
      <alignment horizontal="center" vertical="top" wrapText="1"/>
    </xf>
    <xf numFmtId="43" fontId="6" fillId="0" borderId="0" xfId="1" applyNumberFormat="1" applyFont="1" applyAlignment="1">
      <alignment horizontal="center" vertical="center"/>
    </xf>
    <xf numFmtId="0" fontId="29" fillId="0" borderId="0" xfId="0" applyFont="1"/>
    <xf numFmtId="3" fontId="26" fillId="0" borderId="1" xfId="0" applyNumberFormat="1" applyFont="1" applyBorder="1" applyAlignment="1">
      <alignment horizontal="center" wrapText="1"/>
    </xf>
    <xf numFmtId="173" fontId="6" fillId="0" borderId="0" xfId="0" applyNumberFormat="1" applyFont="1"/>
    <xf numFmtId="164" fontId="6" fillId="0" borderId="0" xfId="0" applyNumberFormat="1" applyFont="1"/>
    <xf numFmtId="0" fontId="19" fillId="0" borderId="6" xfId="4" applyFont="1" applyFill="1" applyBorder="1" applyAlignment="1">
      <alignment horizontal="center"/>
    </xf>
    <xf numFmtId="0" fontId="19" fillId="0" borderId="6" xfId="4" applyFont="1" applyFill="1" applyBorder="1" applyAlignment="1">
      <alignment horizontal="left"/>
    </xf>
    <xf numFmtId="170" fontId="25" fillId="0" borderId="1" xfId="0" applyNumberFormat="1" applyFont="1" applyBorder="1" applyAlignment="1">
      <alignment horizontal="center" vertical="top" wrapText="1"/>
    </xf>
    <xf numFmtId="170" fontId="25" fillId="3" borderId="1" xfId="0" applyNumberFormat="1" applyFont="1" applyFill="1" applyBorder="1" applyAlignment="1">
      <alignment horizontal="center" vertical="center" wrapText="1"/>
    </xf>
    <xf numFmtId="43" fontId="22" fillId="2" borderId="1" xfId="1" applyFont="1" applyFill="1" applyBorder="1" applyAlignment="1"/>
    <xf numFmtId="0" fontId="22" fillId="2" borderId="1" xfId="0" applyFont="1" applyFill="1" applyBorder="1" applyAlignment="1">
      <alignment horizontal="center" vertical="center" wrapText="1"/>
    </xf>
    <xf numFmtId="170" fontId="22" fillId="2" borderId="1" xfId="1" applyNumberFormat="1" applyFont="1" applyFill="1" applyBorder="1" applyAlignment="1">
      <alignment horizontal="center" vertical="center"/>
    </xf>
    <xf numFmtId="3" fontId="22" fillId="0" borderId="1" xfId="0" applyNumberFormat="1" applyFont="1" applyBorder="1" applyAlignment="1">
      <alignment horizontal="center" vertical="center" wrapText="1"/>
    </xf>
    <xf numFmtId="0" fontId="22" fillId="2" borderId="1" xfId="0" applyFont="1" applyFill="1" applyBorder="1" applyAlignment="1">
      <alignment horizontal="center" vertical="center"/>
    </xf>
    <xf numFmtId="0" fontId="21" fillId="0" borderId="7" xfId="0" applyFont="1" applyBorder="1" applyAlignment="1">
      <alignment horizontal="center" wrapText="1"/>
    </xf>
    <xf numFmtId="0" fontId="21" fillId="0" borderId="8" xfId="0" applyFont="1" applyFill="1" applyBorder="1" applyAlignment="1">
      <alignment horizontal="center" wrapText="1"/>
    </xf>
    <xf numFmtId="0" fontId="21" fillId="0" borderId="1" xfId="0" applyFont="1" applyFill="1" applyBorder="1" applyAlignment="1">
      <alignment horizontal="center" wrapText="1"/>
    </xf>
    <xf numFmtId="0" fontId="21" fillId="0" borderId="1" xfId="0" applyFont="1" applyBorder="1" applyAlignment="1">
      <alignment horizontal="center" vertical="top" wrapText="1"/>
    </xf>
    <xf numFmtId="0" fontId="25" fillId="0" borderId="1" xfId="0" applyFont="1" applyBorder="1" applyAlignment="1">
      <alignment horizontal="center" vertical="center" wrapText="1"/>
    </xf>
    <xf numFmtId="43" fontId="22" fillId="5" borderId="1" xfId="1" applyFont="1" applyFill="1" applyBorder="1" applyAlignment="1"/>
    <xf numFmtId="43" fontId="22" fillId="7" borderId="1" xfId="1" applyFont="1" applyFill="1" applyBorder="1" applyAlignment="1"/>
    <xf numFmtId="0" fontId="22" fillId="0" borderId="2" xfId="0" applyFont="1" applyFill="1" applyBorder="1" applyAlignment="1">
      <alignment horizontal="center" wrapText="1"/>
    </xf>
    <xf numFmtId="0" fontId="22" fillId="7" borderId="1" xfId="0" applyFont="1" applyFill="1" applyBorder="1" applyAlignment="1">
      <alignment horizontal="center"/>
    </xf>
    <xf numFmtId="3" fontId="22" fillId="7" borderId="1" xfId="0" applyNumberFormat="1" applyFont="1" applyFill="1" applyBorder="1" applyAlignment="1">
      <alignment horizontal="center" wrapText="1"/>
    </xf>
    <xf numFmtId="0" fontId="22" fillId="7" borderId="1" xfId="0" applyFont="1" applyFill="1" applyBorder="1" applyAlignment="1">
      <alignment horizontal="center" wrapText="1"/>
    </xf>
    <xf numFmtId="170" fontId="22" fillId="7" borderId="1" xfId="1" applyNumberFormat="1" applyFont="1" applyFill="1" applyBorder="1" applyAlignment="1"/>
    <xf numFmtId="170" fontId="22" fillId="5" borderId="1" xfId="1" applyNumberFormat="1" applyFont="1" applyFill="1" applyBorder="1" applyAlignment="1">
      <alignment horizontal="center"/>
    </xf>
    <xf numFmtId="170" fontId="22" fillId="7" borderId="1" xfId="1" applyNumberFormat="1" applyFont="1" applyFill="1" applyBorder="1" applyAlignment="1">
      <alignment horizontal="center"/>
    </xf>
    <xf numFmtId="0" fontId="3" fillId="7" borderId="0" xfId="0" applyFont="1" applyFill="1"/>
    <xf numFmtId="0" fontId="22" fillId="0" borderId="14" xfId="0" applyFont="1" applyFill="1" applyBorder="1" applyAlignment="1">
      <alignment horizontal="center" wrapText="1"/>
    </xf>
    <xf numFmtId="43" fontId="3" fillId="0" borderId="0" xfId="0" applyNumberFormat="1" applyFont="1"/>
    <xf numFmtId="0" fontId="16" fillId="0" borderId="0" xfId="4" applyFont="1" applyFill="1" applyAlignment="1">
      <alignment horizontal="center"/>
    </xf>
    <xf numFmtId="0" fontId="23" fillId="0" borderId="1" xfId="0" applyFont="1" applyBorder="1" applyAlignment="1">
      <alignment horizontal="center" wrapText="1"/>
    </xf>
    <xf numFmtId="0" fontId="23" fillId="0" borderId="1" xfId="0" applyFont="1" applyBorder="1" applyAlignment="1">
      <alignment horizontal="center" vertical="top" wrapText="1"/>
    </xf>
    <xf numFmtId="0" fontId="24"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5" fillId="2" borderId="3" xfId="0" applyFont="1" applyFill="1" applyBorder="1" applyAlignment="1">
      <alignment horizontal="center" wrapText="1"/>
    </xf>
    <xf numFmtId="0" fontId="21" fillId="0" borderId="1" xfId="0" applyFont="1" applyBorder="1" applyAlignment="1">
      <alignment horizontal="center" wrapText="1"/>
    </xf>
    <xf numFmtId="0" fontId="22" fillId="0" borderId="1" xfId="0" applyFont="1" applyBorder="1" applyAlignment="1">
      <alignment horizontal="center" vertical="top" wrapText="1"/>
    </xf>
    <xf numFmtId="0" fontId="28" fillId="0" borderId="1" xfId="0" applyFont="1" applyBorder="1" applyAlignment="1">
      <alignment horizontal="center" vertical="center" wrapText="1"/>
    </xf>
    <xf numFmtId="0" fontId="28" fillId="0" borderId="1" xfId="0" applyFont="1" applyBorder="1" applyAlignment="1">
      <alignment horizontal="center" vertical="top" wrapText="1"/>
    </xf>
    <xf numFmtId="0" fontId="25" fillId="0" borderId="3" xfId="0" applyFont="1" applyBorder="1" applyAlignment="1">
      <alignment horizontal="left" vertical="top" wrapText="1"/>
    </xf>
    <xf numFmtId="0" fontId="25" fillId="0" borderId="4" xfId="0" applyFont="1" applyBorder="1" applyAlignment="1">
      <alignment vertical="top" wrapText="1"/>
    </xf>
    <xf numFmtId="0" fontId="25" fillId="0" borderId="5" xfId="0" applyFont="1" applyBorder="1" applyAlignment="1">
      <alignment vertical="top" wrapText="1"/>
    </xf>
    <xf numFmtId="0" fontId="22" fillId="0" borderId="1" xfId="0" applyFont="1" applyBorder="1" applyAlignment="1">
      <alignment vertical="top"/>
    </xf>
    <xf numFmtId="0" fontId="25" fillId="0" borderId="3" xfId="0" applyFont="1" applyBorder="1" applyAlignment="1">
      <alignment horizontal="center" wrapText="1"/>
    </xf>
    <xf numFmtId="0" fontId="25" fillId="0" borderId="5" xfId="0" applyFont="1" applyBorder="1" applyAlignment="1">
      <alignment horizontal="center" wrapText="1"/>
    </xf>
    <xf numFmtId="0" fontId="26" fillId="0" borderId="3" xfId="0" applyFont="1" applyBorder="1" applyAlignment="1">
      <alignment horizontal="center" vertical="top" wrapText="1"/>
    </xf>
    <xf numFmtId="0" fontId="22" fillId="0" borderId="3" xfId="0" applyFont="1" applyBorder="1" applyAlignment="1">
      <alignment horizontal="center" wrapText="1"/>
    </xf>
    <xf numFmtId="0" fontId="22" fillId="0" borderId="5" xfId="0" applyFont="1" applyBorder="1" applyAlignment="1">
      <alignment horizontal="center" wrapText="1"/>
    </xf>
    <xf numFmtId="0" fontId="22" fillId="2" borderId="1" xfId="0" applyFont="1" applyFill="1" applyBorder="1" applyAlignment="1">
      <alignment horizontal="center" wrapText="1"/>
    </xf>
    <xf numFmtId="0" fontId="26" fillId="0" borderId="1" xfId="0" applyFont="1" applyBorder="1" applyAlignment="1">
      <alignment horizontal="center" vertical="top" wrapText="1"/>
    </xf>
    <xf numFmtId="0" fontId="25" fillId="0" borderId="1" xfId="0" applyFont="1" applyBorder="1" applyAlignment="1">
      <alignment horizontal="center" wrapText="1"/>
    </xf>
    <xf numFmtId="3" fontId="22" fillId="0" borderId="1" xfId="0" applyNumberFormat="1" applyFont="1" applyBorder="1" applyAlignment="1">
      <alignment horizontal="center" wrapText="1"/>
    </xf>
    <xf numFmtId="0" fontId="22" fillId="0" borderId="1" xfId="0" applyFont="1" applyBorder="1" applyAlignment="1">
      <alignment horizontal="center" wrapText="1"/>
    </xf>
    <xf numFmtId="0" fontId="22" fillId="7" borderId="3" xfId="0" applyFont="1" applyFill="1" applyBorder="1" applyAlignment="1">
      <alignment horizontal="left" wrapText="1"/>
    </xf>
    <xf numFmtId="0" fontId="22" fillId="7" borderId="3" xfId="0" applyFont="1" applyFill="1" applyBorder="1" applyAlignment="1">
      <alignment horizontal="center" wrapText="1"/>
    </xf>
    <xf numFmtId="0" fontId="22" fillId="0" borderId="1" xfId="0" applyFont="1" applyBorder="1" applyAlignment="1">
      <alignment horizontal="left" vertical="center" wrapText="1"/>
    </xf>
    <xf numFmtId="0" fontId="0" fillId="0" borderId="1" xfId="0" applyBorder="1" applyAlignment="1">
      <alignment horizontal="left" vertical="center" wrapText="1"/>
    </xf>
    <xf numFmtId="4" fontId="22" fillId="0" borderId="1" xfId="0" applyNumberFormat="1" applyFont="1" applyBorder="1" applyAlignment="1">
      <alignment horizontal="center" wrapText="1"/>
    </xf>
    <xf numFmtId="43" fontId="22" fillId="7" borderId="4" xfId="1" applyFont="1" applyFill="1" applyBorder="1" applyAlignment="1"/>
    <xf numFmtId="43" fontId="22" fillId="7" borderId="5" xfId="1" applyFont="1" applyFill="1" applyBorder="1" applyAlignment="1"/>
    <xf numFmtId="43" fontId="22" fillId="0" borderId="0" xfId="0" applyNumberFormat="1" applyFont="1" applyAlignment="1">
      <alignment horizontal="center"/>
    </xf>
    <xf numFmtId="0" fontId="22" fillId="0" borderId="1" xfId="0" applyFont="1" applyFill="1" applyBorder="1" applyAlignment="1">
      <alignment horizontal="center" wrapText="1"/>
    </xf>
    <xf numFmtId="43" fontId="6" fillId="0" borderId="0" xfId="1" applyNumberFormat="1" applyFont="1" applyBorder="1" applyAlignment="1">
      <alignment horizontal="center" vertical="top"/>
    </xf>
    <xf numFmtId="43" fontId="6" fillId="0" borderId="0" xfId="1" applyNumberFormat="1" applyFont="1" applyAlignment="1">
      <alignment horizontal="center" vertical="top"/>
    </xf>
    <xf numFmtId="0" fontId="32" fillId="0" borderId="1" xfId="0" applyFont="1" applyBorder="1" applyAlignment="1">
      <alignment horizontal="center" vertical="top" wrapText="1"/>
    </xf>
    <xf numFmtId="0" fontId="32" fillId="0" borderId="1" xfId="0" applyFont="1" applyBorder="1" applyAlignment="1">
      <alignment horizontal="left" vertical="top" wrapText="1"/>
    </xf>
    <xf numFmtId="170" fontId="33" fillId="0" borderId="0" xfId="0" applyNumberFormat="1" applyFont="1"/>
    <xf numFmtId="0" fontId="33" fillId="0" borderId="0" xfId="0" applyFont="1"/>
    <xf numFmtId="0" fontId="22" fillId="0" borderId="3" xfId="0" applyFont="1" applyBorder="1" applyAlignment="1">
      <alignment vertical="top"/>
    </xf>
    <xf numFmtId="0" fontId="0" fillId="0" borderId="4" xfId="0" applyBorder="1" applyAlignment="1">
      <alignment vertical="top"/>
    </xf>
    <xf numFmtId="0" fontId="0" fillId="0" borderId="1" xfId="0" applyBorder="1" applyAlignment="1">
      <alignment vertical="top"/>
    </xf>
    <xf numFmtId="170" fontId="25" fillId="3" borderId="1" xfId="0" applyNumberFormat="1" applyFont="1" applyFill="1" applyBorder="1" applyAlignment="1">
      <alignment horizontal="center" vertical="top" wrapText="1"/>
    </xf>
    <xf numFmtId="0" fontId="25" fillId="7" borderId="3" xfId="0" applyFont="1" applyFill="1" applyBorder="1" applyAlignment="1">
      <alignment horizontal="right" vertical="top" wrapText="1"/>
    </xf>
    <xf numFmtId="0" fontId="25" fillId="7" borderId="4" xfId="0" applyFont="1" applyFill="1" applyBorder="1" applyAlignment="1">
      <alignment horizontal="right" vertical="top" wrapText="1"/>
    </xf>
    <xf numFmtId="0" fontId="25" fillId="7" borderId="4" xfId="0" applyFont="1" applyFill="1" applyBorder="1" applyAlignment="1">
      <alignment horizontal="center" vertical="top" wrapText="1"/>
    </xf>
    <xf numFmtId="172" fontId="25" fillId="7" borderId="4" xfId="0" applyNumberFormat="1" applyFont="1" applyFill="1" applyBorder="1" applyAlignment="1">
      <alignment horizontal="center" vertical="top" wrapText="1"/>
    </xf>
    <xf numFmtId="0" fontId="22" fillId="7" borderId="4" xfId="0" applyFont="1" applyFill="1" applyBorder="1" applyAlignment="1">
      <alignment horizontal="center" vertical="top" wrapText="1"/>
    </xf>
    <xf numFmtId="39" fontId="25" fillId="7" borderId="5" xfId="0" applyNumberFormat="1" applyFont="1" applyFill="1" applyBorder="1" applyAlignment="1">
      <alignment horizontal="right" vertical="top" wrapText="1"/>
    </xf>
    <xf numFmtId="39" fontId="25" fillId="3" borderId="1" xfId="0" applyNumberFormat="1" applyFont="1" applyFill="1" applyBorder="1" applyAlignment="1">
      <alignment horizontal="center" vertical="top" wrapText="1"/>
    </xf>
    <xf numFmtId="39" fontId="25" fillId="3" borderId="5" xfId="0" applyNumberFormat="1" applyFont="1" applyFill="1" applyBorder="1" applyAlignment="1">
      <alignment horizontal="center" vertical="top" wrapText="1"/>
    </xf>
    <xf numFmtId="0" fontId="0" fillId="0" borderId="1" xfId="0" applyBorder="1" applyAlignment="1">
      <alignment horizontal="center" wrapText="1"/>
    </xf>
    <xf numFmtId="0" fontId="22" fillId="7" borderId="4" xfId="0" applyFont="1" applyFill="1" applyBorder="1" applyAlignment="1">
      <alignment horizontal="left" wrapText="1"/>
    </xf>
    <xf numFmtId="0" fontId="22" fillId="7" borderId="5" xfId="0" applyFont="1" applyFill="1" applyBorder="1" applyAlignment="1">
      <alignment horizontal="left" wrapText="1"/>
    </xf>
    <xf numFmtId="0" fontId="22" fillId="7" borderId="1" xfId="0" applyFont="1" applyFill="1" applyBorder="1" applyAlignment="1">
      <alignment horizontal="center" vertical="center" wrapText="1"/>
    </xf>
    <xf numFmtId="170" fontId="22" fillId="7" borderId="1" xfId="1" applyNumberFormat="1" applyFont="1" applyFill="1" applyBorder="1" applyAlignment="1">
      <alignment horizontal="center" vertical="center"/>
    </xf>
    <xf numFmtId="0" fontId="22" fillId="7" borderId="5" xfId="0" applyFont="1" applyFill="1" applyBorder="1" applyAlignment="1">
      <alignment horizontal="center" vertical="center" wrapText="1"/>
    </xf>
    <xf numFmtId="0" fontId="22" fillId="7" borderId="3" xfId="0" applyFont="1" applyFill="1" applyBorder="1" applyAlignment="1">
      <alignment horizontal="center" vertical="center" wrapText="1"/>
    </xf>
    <xf numFmtId="43" fontId="22" fillId="7" borderId="1" xfId="1" applyFont="1" applyFill="1" applyBorder="1" applyAlignment="1">
      <alignment vertical="center"/>
    </xf>
    <xf numFmtId="43" fontId="22" fillId="2" borderId="1" xfId="1" applyFont="1" applyFill="1" applyBorder="1" applyAlignment="1">
      <alignment vertical="center"/>
    </xf>
    <xf numFmtId="0" fontId="23" fillId="7" borderId="3" xfId="0" applyFont="1" applyFill="1" applyBorder="1" applyAlignment="1">
      <alignment horizontal="center" wrapText="1"/>
    </xf>
    <xf numFmtId="16" fontId="22" fillId="2" borderId="1" xfId="0" applyNumberFormat="1" applyFont="1" applyFill="1" applyBorder="1" applyAlignment="1">
      <alignment horizontal="center" wrapText="1"/>
    </xf>
    <xf numFmtId="4" fontId="22" fillId="2" borderId="1" xfId="0" applyNumberFormat="1" applyFont="1" applyFill="1" applyBorder="1" applyAlignment="1">
      <alignment horizontal="center" wrapText="1"/>
    </xf>
    <xf numFmtId="4" fontId="22" fillId="7" borderId="3" xfId="0" applyNumberFormat="1" applyFont="1" applyFill="1" applyBorder="1" applyAlignment="1">
      <alignment horizontal="center" wrapText="1"/>
    </xf>
    <xf numFmtId="4" fontId="22" fillId="7" borderId="5" xfId="0" applyNumberFormat="1" applyFont="1" applyFill="1" applyBorder="1" applyAlignment="1">
      <alignment horizontal="center" wrapText="1"/>
    </xf>
    <xf numFmtId="0" fontId="16" fillId="0" borderId="0" xfId="4" applyFont="1" applyFill="1" applyBorder="1" applyAlignment="1">
      <alignment horizontal="right"/>
    </xf>
    <xf numFmtId="0" fontId="25" fillId="6" borderId="1" xfId="0" applyFont="1" applyFill="1" applyBorder="1" applyAlignment="1">
      <alignment vertical="top" wrapText="1"/>
    </xf>
    <xf numFmtId="0" fontId="22" fillId="6" borderId="3" xfId="0" applyFont="1" applyFill="1" applyBorder="1" applyAlignment="1">
      <alignment horizontal="center" vertical="top" wrapText="1"/>
    </xf>
    <xf numFmtId="39" fontId="25" fillId="6" borderId="5" xfId="0" applyNumberFormat="1" applyFont="1" applyFill="1" applyBorder="1" applyAlignment="1">
      <alignment horizontal="right" vertical="top" wrapText="1"/>
    </xf>
    <xf numFmtId="0" fontId="22" fillId="8" borderId="1" xfId="0" applyFont="1" applyFill="1" applyBorder="1" applyAlignment="1">
      <alignment horizontal="center" wrapText="1"/>
    </xf>
    <xf numFmtId="0" fontId="25" fillId="7" borderId="1" xfId="0" applyFont="1" applyFill="1" applyBorder="1" applyAlignment="1">
      <alignment horizontal="center" wrapText="1"/>
    </xf>
    <xf numFmtId="0" fontId="25" fillId="7" borderId="3" xfId="0" applyFont="1" applyFill="1" applyBorder="1" applyAlignment="1">
      <alignment horizontal="center" wrapText="1"/>
    </xf>
    <xf numFmtId="0" fontId="22" fillId="0" borderId="1" xfId="0" applyFont="1" applyBorder="1" applyAlignment="1">
      <alignment horizontal="center" wrapText="1"/>
    </xf>
    <xf numFmtId="0" fontId="22" fillId="0" borderId="1" xfId="0" applyFont="1" applyBorder="1" applyAlignment="1">
      <alignment horizontal="center" wrapText="1"/>
    </xf>
    <xf numFmtId="16" fontId="22" fillId="0" borderId="4" xfId="0" applyNumberFormat="1" applyFont="1" applyBorder="1" applyAlignment="1">
      <alignment horizontal="center" wrapText="1"/>
    </xf>
    <xf numFmtId="0" fontId="22" fillId="0" borderId="1" xfId="0" applyFont="1" applyBorder="1" applyAlignment="1">
      <alignment horizontal="center" wrapText="1"/>
    </xf>
    <xf numFmtId="3" fontId="22" fillId="0" borderId="5" xfId="0" applyNumberFormat="1" applyFont="1" applyBorder="1" applyAlignment="1">
      <alignment horizontal="center" wrapText="1"/>
    </xf>
    <xf numFmtId="0" fontId="20" fillId="0" borderId="0" xfId="4" applyFont="1" applyFill="1" applyBorder="1" applyAlignment="1">
      <alignment horizontal="center" vertical="top"/>
    </xf>
    <xf numFmtId="0" fontId="20" fillId="0" borderId="0" xfId="4" applyFont="1" applyFill="1" applyBorder="1" applyAlignment="1">
      <alignment horizontal="left" vertical="top"/>
    </xf>
    <xf numFmtId="0" fontId="20" fillId="0" borderId="0" xfId="4" applyFont="1" applyFill="1" applyBorder="1" applyAlignment="1">
      <alignment horizontal="center" vertical="top"/>
    </xf>
    <xf numFmtId="0" fontId="22" fillId="7" borderId="3"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22" fillId="0" borderId="3" xfId="0" applyFont="1" applyBorder="1" applyAlignment="1">
      <alignment horizontal="center" wrapText="1"/>
    </xf>
    <xf numFmtId="0" fontId="22" fillId="0" borderId="0" xfId="0" applyFont="1" applyFill="1" applyBorder="1" applyAlignment="1">
      <alignment horizontal="center" wrapText="1"/>
    </xf>
    <xf numFmtId="0" fontId="22" fillId="0" borderId="1" xfId="0" applyFont="1" applyBorder="1" applyAlignment="1">
      <alignment vertical="top" wrapText="1"/>
    </xf>
    <xf numFmtId="0" fontId="22" fillId="0" borderId="1" xfId="0" applyFont="1" applyBorder="1" applyAlignment="1">
      <alignment horizontal="center" wrapText="1"/>
    </xf>
    <xf numFmtId="0" fontId="20" fillId="0" borderId="0" xfId="4" applyFont="1" applyFill="1" applyBorder="1" applyAlignment="1">
      <alignment horizontal="center" vertical="top"/>
    </xf>
    <xf numFmtId="170" fontId="23" fillId="7" borderId="5" xfId="1" applyNumberFormat="1" applyFont="1" applyFill="1" applyBorder="1" applyAlignment="1"/>
    <xf numFmtId="0" fontId="22" fillId="0" borderId="1" xfId="0" applyFont="1" applyBorder="1" applyAlignment="1">
      <alignment horizontal="center" wrapText="1"/>
    </xf>
    <xf numFmtId="0" fontId="26" fillId="0" borderId="1" xfId="0" applyFont="1" applyBorder="1" applyAlignment="1">
      <alignment horizontal="center" vertical="top" wrapText="1"/>
    </xf>
    <xf numFmtId="3" fontId="22" fillId="0" borderId="1" xfId="0" applyNumberFormat="1" applyFont="1" applyBorder="1" applyAlignment="1">
      <alignment horizontal="center" wrapText="1"/>
    </xf>
    <xf numFmtId="0" fontId="22" fillId="2" borderId="1" xfId="0" applyFont="1" applyFill="1" applyBorder="1" applyAlignment="1">
      <alignment horizontal="center" wrapText="1"/>
    </xf>
    <xf numFmtId="170" fontId="23" fillId="7" borderId="1" xfId="1" applyNumberFormat="1" applyFont="1" applyFill="1" applyBorder="1" applyAlignment="1"/>
    <xf numFmtId="0" fontId="22" fillId="0" borderId="4" xfId="0" applyFont="1" applyBorder="1" applyAlignment="1">
      <alignment horizontal="center"/>
    </xf>
    <xf numFmtId="0" fontId="22" fillId="0" borderId="1" xfId="0" applyFont="1" applyBorder="1" applyAlignment="1">
      <alignment horizontal="center" wrapText="1"/>
    </xf>
    <xf numFmtId="0" fontId="20" fillId="0" borderId="0" xfId="4" applyFont="1" applyFill="1" applyBorder="1" applyAlignment="1">
      <alignment horizontal="center" vertical="top"/>
    </xf>
    <xf numFmtId="0" fontId="25" fillId="0" borderId="1" xfId="0" applyFont="1" applyBorder="1" applyAlignment="1">
      <alignment horizontal="center"/>
    </xf>
    <xf numFmtId="0" fontId="36" fillId="0" borderId="0" xfId="4" applyFont="1" applyFill="1" applyBorder="1" applyAlignment="1">
      <alignment horizontal="center" vertical="top"/>
    </xf>
    <xf numFmtId="0" fontId="23" fillId="0" borderId="3" xfId="0" applyFont="1" applyBorder="1" applyAlignment="1">
      <alignment horizontal="center" wrapText="1"/>
    </xf>
    <xf numFmtId="0" fontId="4" fillId="0" borderId="0" xfId="0" applyFont="1"/>
    <xf numFmtId="0" fontId="26" fillId="0" borderId="1" xfId="0" applyFont="1" applyBorder="1" applyAlignment="1">
      <alignment horizontal="center" vertical="top" wrapText="1"/>
    </xf>
    <xf numFmtId="43" fontId="22" fillId="0" borderId="4" xfId="1" applyFont="1" applyFill="1" applyBorder="1" applyAlignment="1"/>
    <xf numFmtId="0" fontId="22" fillId="0" borderId="4" xfId="0" applyFont="1" applyBorder="1" applyAlignment="1">
      <alignment horizontal="right" wrapText="1"/>
    </xf>
    <xf numFmtId="0" fontId="22" fillId="0" borderId="1" xfId="0" applyFont="1" applyBorder="1" applyAlignment="1">
      <alignment horizontal="center" wrapText="1"/>
    </xf>
    <xf numFmtId="0" fontId="22" fillId="2" borderId="1" xfId="0" applyFont="1" applyFill="1" applyBorder="1" applyAlignment="1">
      <alignment horizontal="center" wrapText="1"/>
    </xf>
    <xf numFmtId="4" fontId="22" fillId="0" borderId="4" xfId="0" applyNumberFormat="1" applyFont="1" applyBorder="1" applyAlignment="1">
      <alignment horizontal="center" wrapText="1"/>
    </xf>
    <xf numFmtId="3" fontId="26" fillId="0" borderId="4" xfId="0" applyNumberFormat="1" applyFont="1" applyBorder="1" applyAlignment="1">
      <alignment horizontal="center" wrapText="1"/>
    </xf>
    <xf numFmtId="0" fontId="22" fillId="0" borderId="1" xfId="0" applyFont="1" applyBorder="1" applyAlignment="1">
      <alignment horizontal="center" wrapText="1"/>
    </xf>
    <xf numFmtId="0" fontId="7" fillId="7" borderId="0" xfId="0" applyFont="1" applyFill="1"/>
    <xf numFmtId="170" fontId="3" fillId="7" borderId="0" xfId="0" applyNumberFormat="1" applyFont="1" applyFill="1"/>
    <xf numFmtId="0" fontId="38" fillId="7" borderId="0" xfId="0" applyFont="1" applyFill="1"/>
    <xf numFmtId="43" fontId="6" fillId="7" borderId="0" xfId="1" applyNumberFormat="1" applyFont="1" applyFill="1" applyAlignment="1">
      <alignment vertical="top"/>
    </xf>
    <xf numFmtId="43" fontId="6" fillId="7" borderId="0" xfId="1" applyNumberFormat="1" applyFont="1" applyFill="1" applyAlignment="1">
      <alignment vertical="center"/>
    </xf>
    <xf numFmtId="0" fontId="6" fillId="7" borderId="0" xfId="0" applyFont="1" applyFill="1"/>
    <xf numFmtId="43" fontId="3" fillId="7" borderId="0" xfId="0" applyNumberFormat="1" applyFont="1" applyFill="1"/>
    <xf numFmtId="175" fontId="3" fillId="7" borderId="0" xfId="0" applyNumberFormat="1" applyFont="1" applyFill="1"/>
    <xf numFmtId="43" fontId="7" fillId="7" borderId="0" xfId="0" applyNumberFormat="1" applyFont="1" applyFill="1"/>
    <xf numFmtId="0" fontId="7" fillId="7" borderId="0" xfId="0" applyFont="1" applyFill="1" applyAlignment="1">
      <alignment horizontal="center" wrapText="1"/>
    </xf>
    <xf numFmtId="43" fontId="6" fillId="7" borderId="0" xfId="1" applyNumberFormat="1" applyFont="1" applyFill="1" applyAlignment="1">
      <alignment horizontal="center" vertical="top"/>
    </xf>
    <xf numFmtId="43" fontId="6" fillId="7" borderId="0" xfId="1" applyNumberFormat="1" applyFont="1" applyFill="1" applyAlignment="1">
      <alignment horizontal="center" vertical="center"/>
    </xf>
    <xf numFmtId="171" fontId="3" fillId="7" borderId="0" xfId="0" applyNumberFormat="1" applyFont="1" applyFill="1"/>
    <xf numFmtId="0" fontId="3" fillId="7" borderId="0" xfId="0" applyFont="1" applyFill="1" applyBorder="1"/>
    <xf numFmtId="164" fontId="6" fillId="7" borderId="0" xfId="0" applyNumberFormat="1" applyFont="1" applyFill="1"/>
    <xf numFmtId="165" fontId="3" fillId="7" borderId="0" xfId="0" applyNumberFormat="1" applyFont="1" applyFill="1"/>
    <xf numFmtId="0" fontId="4" fillId="7" borderId="0" xfId="0" applyFont="1" applyFill="1" applyAlignment="1">
      <alignment wrapText="1"/>
    </xf>
    <xf numFmtId="0" fontId="23" fillId="7" borderId="1" xfId="0" applyFont="1" applyFill="1" applyBorder="1" applyAlignment="1">
      <alignment horizontal="center" wrapText="1"/>
    </xf>
    <xf numFmtId="0" fontId="4" fillId="7" borderId="0" xfId="0" applyFont="1" applyFill="1" applyAlignment="1">
      <alignment horizontal="center" wrapText="1"/>
    </xf>
    <xf numFmtId="0" fontId="4" fillId="7" borderId="0" xfId="0" applyFont="1" applyFill="1" applyAlignment="1">
      <alignment horizontal="left" wrapText="1"/>
    </xf>
    <xf numFmtId="4" fontId="4" fillId="7" borderId="0" xfId="0" applyNumberFormat="1" applyFont="1" applyFill="1" applyAlignment="1">
      <alignment wrapText="1"/>
    </xf>
    <xf numFmtId="170" fontId="4" fillId="7" borderId="0" xfId="0" applyNumberFormat="1" applyFont="1" applyFill="1" applyAlignment="1">
      <alignment wrapText="1"/>
    </xf>
    <xf numFmtId="170" fontId="39" fillId="7" borderId="0" xfId="0" applyNumberFormat="1" applyFont="1" applyFill="1" applyAlignment="1">
      <alignment wrapText="1"/>
    </xf>
    <xf numFmtId="0" fontId="39" fillId="7" borderId="0" xfId="0" applyFont="1" applyFill="1" applyAlignment="1">
      <alignment wrapText="1"/>
    </xf>
    <xf numFmtId="43" fontId="4" fillId="7" borderId="0" xfId="1" applyNumberFormat="1" applyFont="1" applyFill="1" applyAlignment="1">
      <alignment vertical="top" wrapText="1"/>
    </xf>
    <xf numFmtId="43" fontId="4" fillId="7" borderId="0" xfId="1" applyNumberFormat="1" applyFont="1" applyFill="1" applyBorder="1" applyAlignment="1">
      <alignment horizontal="center" vertical="top" wrapText="1"/>
    </xf>
    <xf numFmtId="43" fontId="4" fillId="7" borderId="0" xfId="1" applyNumberFormat="1" applyFont="1" applyFill="1" applyAlignment="1">
      <alignment vertical="center" wrapText="1"/>
    </xf>
    <xf numFmtId="43" fontId="4" fillId="7" borderId="0" xfId="0" applyNumberFormat="1" applyFont="1" applyFill="1" applyAlignment="1">
      <alignment wrapText="1"/>
    </xf>
    <xf numFmtId="0" fontId="4" fillId="7" borderId="1" xfId="0" applyFont="1" applyFill="1" applyBorder="1" applyAlignment="1">
      <alignment wrapText="1"/>
    </xf>
    <xf numFmtId="43" fontId="4" fillId="7" borderId="1" xfId="1" applyNumberFormat="1" applyFont="1" applyFill="1" applyBorder="1" applyAlignment="1">
      <alignment vertical="top" wrapText="1"/>
    </xf>
    <xf numFmtId="173" fontId="4" fillId="7" borderId="0" xfId="0" applyNumberFormat="1" applyFont="1" applyFill="1" applyAlignment="1">
      <alignment wrapText="1"/>
    </xf>
    <xf numFmtId="0" fontId="25" fillId="0" borderId="6" xfId="0" applyFont="1" applyBorder="1" applyAlignment="1">
      <alignment horizontal="center"/>
    </xf>
    <xf numFmtId="0" fontId="3" fillId="7" borderId="0" xfId="0" applyFont="1" applyFill="1" applyAlignment="1">
      <alignment horizontal="left"/>
    </xf>
    <xf numFmtId="0" fontId="40" fillId="7" borderId="0" xfId="0" applyFont="1" applyFill="1"/>
    <xf numFmtId="0" fontId="22" fillId="0" borderId="7" xfId="0" applyFont="1" applyBorder="1" applyAlignment="1">
      <alignment horizontal="center" wrapText="1"/>
    </xf>
    <xf numFmtId="0" fontId="22" fillId="7" borderId="7" xfId="0" applyFont="1" applyFill="1" applyBorder="1" applyAlignment="1">
      <alignment horizontal="center" wrapText="1"/>
    </xf>
    <xf numFmtId="0" fontId="22" fillId="7" borderId="8" xfId="0" applyFont="1" applyFill="1" applyBorder="1" applyAlignment="1">
      <alignment horizontal="center" wrapText="1"/>
    </xf>
    <xf numFmtId="0" fontId="22" fillId="0" borderId="1" xfId="0" applyFont="1" applyBorder="1" applyAlignment="1">
      <alignment horizontal="center"/>
    </xf>
    <xf numFmtId="0" fontId="22" fillId="7" borderId="3" xfId="0" applyFont="1" applyFill="1" applyBorder="1" applyAlignment="1">
      <alignment horizontal="center" wrapText="1"/>
    </xf>
    <xf numFmtId="0" fontId="22" fillId="7" borderId="5" xfId="0" applyFont="1" applyFill="1" applyBorder="1" applyAlignment="1">
      <alignment horizontal="center" wrapText="1"/>
    </xf>
    <xf numFmtId="170" fontId="22" fillId="2" borderId="1" xfId="1" applyNumberFormat="1" applyFont="1" applyFill="1" applyBorder="1" applyAlignment="1">
      <alignment horizontal="center" vertical="center"/>
    </xf>
    <xf numFmtId="0" fontId="22" fillId="7" borderId="1" xfId="0" applyFont="1" applyFill="1" applyBorder="1" applyAlignment="1">
      <alignment horizontal="center" wrapText="1"/>
    </xf>
    <xf numFmtId="43" fontId="22" fillId="7" borderId="1" xfId="1" applyFont="1" applyFill="1" applyBorder="1" applyAlignment="1"/>
    <xf numFmtId="43" fontId="22" fillId="2" borderId="1" xfId="1" applyFont="1" applyFill="1" applyBorder="1" applyAlignment="1"/>
    <xf numFmtId="0" fontId="26" fillId="7" borderId="1" xfId="0" applyFont="1" applyFill="1" applyBorder="1" applyAlignment="1">
      <alignment horizontal="center" vertical="top" wrapText="1"/>
    </xf>
    <xf numFmtId="0" fontId="23" fillId="7" borderId="1" xfId="0" applyFont="1" applyFill="1" applyBorder="1" applyAlignment="1">
      <alignment horizontal="left" wrapText="1"/>
    </xf>
    <xf numFmtId="0" fontId="25" fillId="7" borderId="1" xfId="0" applyFont="1" applyFill="1" applyBorder="1" applyAlignment="1">
      <alignment horizontal="center" wrapText="1"/>
    </xf>
    <xf numFmtId="16" fontId="3" fillId="7" borderId="0" xfId="0" applyNumberFormat="1" applyFont="1" applyFill="1"/>
    <xf numFmtId="0" fontId="23" fillId="7" borderId="0" xfId="0" applyFont="1" applyFill="1" applyAlignment="1">
      <alignment horizontal="left"/>
    </xf>
    <xf numFmtId="0" fontId="22" fillId="7" borderId="0" xfId="0" applyFont="1" applyFill="1"/>
    <xf numFmtId="0" fontId="24" fillId="7" borderId="0" xfId="0" applyFont="1" applyFill="1" applyAlignment="1">
      <alignment horizontal="right"/>
    </xf>
    <xf numFmtId="0" fontId="24" fillId="7" borderId="0" xfId="0" applyFont="1" applyFill="1"/>
    <xf numFmtId="0" fontId="25" fillId="7" borderId="6" xfId="0" applyFont="1" applyFill="1" applyBorder="1" applyAlignment="1">
      <alignment horizontal="center"/>
    </xf>
    <xf numFmtId="0" fontId="22" fillId="7" borderId="6" xfId="0" applyFont="1" applyFill="1" applyBorder="1"/>
    <xf numFmtId="0" fontId="25" fillId="7" borderId="4" xfId="0" applyFont="1" applyFill="1" applyBorder="1"/>
    <xf numFmtId="0" fontId="22" fillId="7" borderId="4" xfId="0" applyFont="1" applyFill="1" applyBorder="1"/>
    <xf numFmtId="0" fontId="23" fillId="7" borderId="1" xfId="0" applyFont="1" applyFill="1" applyBorder="1" applyAlignment="1">
      <alignment horizontal="center" vertical="top" wrapText="1"/>
    </xf>
    <xf numFmtId="0" fontId="22" fillId="7" borderId="1" xfId="0" applyFont="1" applyFill="1" applyBorder="1" applyAlignment="1">
      <alignment horizontal="center" vertical="top" wrapText="1"/>
    </xf>
    <xf numFmtId="0" fontId="22" fillId="7" borderId="1" xfId="0" applyFont="1" applyFill="1" applyBorder="1" applyAlignment="1">
      <alignment horizontal="left" vertical="top" wrapText="1"/>
    </xf>
    <xf numFmtId="173" fontId="22" fillId="7" borderId="1" xfId="0" applyNumberFormat="1" applyFont="1" applyFill="1" applyBorder="1" applyAlignment="1">
      <alignment horizontal="center" vertical="top" wrapText="1"/>
    </xf>
    <xf numFmtId="0" fontId="25" fillId="7" borderId="1" xfId="0" applyFont="1" applyFill="1" applyBorder="1" applyAlignment="1">
      <alignment horizontal="center" vertical="center" wrapText="1"/>
    </xf>
    <xf numFmtId="173" fontId="25" fillId="7" borderId="1" xfId="0" applyNumberFormat="1" applyFont="1" applyFill="1" applyBorder="1" applyAlignment="1">
      <alignment horizontal="center" vertical="center" wrapText="1"/>
    </xf>
    <xf numFmtId="0" fontId="37" fillId="7" borderId="1" xfId="0" applyFont="1" applyFill="1" applyBorder="1" applyAlignment="1">
      <alignment horizontal="center" vertical="top" wrapText="1"/>
    </xf>
    <xf numFmtId="0" fontId="37" fillId="7" borderId="1" xfId="0" applyFont="1" applyFill="1" applyBorder="1" applyAlignment="1">
      <alignment horizontal="left" vertical="top" wrapText="1"/>
    </xf>
    <xf numFmtId="173" fontId="25" fillId="7" borderId="1" xfId="0" applyNumberFormat="1" applyFont="1" applyFill="1" applyBorder="1" applyAlignment="1">
      <alignment horizontal="center" vertical="top" wrapText="1"/>
    </xf>
    <xf numFmtId="177" fontId="3" fillId="7" borderId="0" xfId="0" applyNumberFormat="1" applyFont="1" applyFill="1"/>
    <xf numFmtId="0" fontId="24" fillId="7" borderId="1" xfId="0" applyFont="1" applyFill="1" applyBorder="1" applyAlignment="1">
      <alignment horizontal="right" vertical="top" wrapText="1"/>
    </xf>
    <xf numFmtId="173" fontId="24" fillId="7" borderId="1" xfId="0" applyNumberFormat="1" applyFont="1" applyFill="1" applyBorder="1" applyAlignment="1">
      <alignment horizontal="center" vertical="top" wrapText="1"/>
    </xf>
    <xf numFmtId="172" fontId="22" fillId="7" borderId="1" xfId="0" applyNumberFormat="1" applyFont="1" applyFill="1" applyBorder="1" applyAlignment="1">
      <alignment horizontal="center" vertical="top" wrapText="1"/>
    </xf>
    <xf numFmtId="0" fontId="25" fillId="7" borderId="1" xfId="0" applyFont="1" applyFill="1" applyBorder="1" applyAlignment="1">
      <alignment horizontal="center" vertical="top" wrapText="1"/>
    </xf>
    <xf numFmtId="172" fontId="25" fillId="7" borderId="1" xfId="0" applyNumberFormat="1" applyFont="1" applyFill="1" applyBorder="1" applyAlignment="1">
      <alignment horizontal="center" vertical="top" wrapText="1"/>
    </xf>
    <xf numFmtId="1" fontId="22" fillId="7" borderId="1" xfId="0" applyNumberFormat="1" applyFont="1" applyFill="1" applyBorder="1" applyAlignment="1">
      <alignment horizontal="center" wrapText="1"/>
    </xf>
    <xf numFmtId="0" fontId="26" fillId="7" borderId="1" xfId="0" applyFont="1" applyFill="1" applyBorder="1" applyAlignment="1">
      <alignment horizontal="center" vertical="center" wrapText="1"/>
    </xf>
    <xf numFmtId="0" fontId="22" fillId="7" borderId="7" xfId="0" applyFont="1" applyFill="1" applyBorder="1" applyAlignment="1">
      <alignment wrapText="1"/>
    </xf>
    <xf numFmtId="0" fontId="25" fillId="7" borderId="5" xfId="0" applyFont="1" applyFill="1" applyBorder="1" applyAlignment="1">
      <alignment horizontal="center" wrapText="1"/>
    </xf>
    <xf numFmtId="164" fontId="3" fillId="7" borderId="0" xfId="0" applyNumberFormat="1" applyFont="1" applyFill="1"/>
    <xf numFmtId="0" fontId="23" fillId="7" borderId="0" xfId="0" applyFont="1" applyFill="1" applyAlignment="1">
      <alignment horizontal="justify"/>
    </xf>
    <xf numFmtId="0" fontId="9" fillId="7" borderId="0" xfId="0" applyFont="1" applyFill="1" applyAlignment="1">
      <alignment horizontal="left"/>
    </xf>
    <xf numFmtId="0" fontId="41" fillId="7" borderId="0" xfId="0" applyFont="1" applyFill="1" applyAlignment="1">
      <alignment horizontal="left"/>
    </xf>
    <xf numFmtId="3" fontId="22" fillId="7" borderId="1" xfId="0" applyNumberFormat="1" applyFont="1" applyFill="1" applyBorder="1" applyAlignment="1">
      <alignment horizontal="center" vertical="center" wrapText="1"/>
    </xf>
    <xf numFmtId="16" fontId="22" fillId="7" borderId="1" xfId="0" applyNumberFormat="1" applyFont="1" applyFill="1" applyBorder="1" applyAlignment="1">
      <alignment horizontal="center" wrapText="1"/>
    </xf>
    <xf numFmtId="3" fontId="26" fillId="7" borderId="1" xfId="0" applyNumberFormat="1" applyFont="1" applyFill="1" applyBorder="1" applyAlignment="1">
      <alignment horizontal="center" wrapText="1"/>
    </xf>
    <xf numFmtId="0" fontId="25" fillId="7" borderId="0" xfId="0" applyFont="1" applyFill="1" applyAlignment="1">
      <alignment horizontal="center"/>
    </xf>
    <xf numFmtId="0" fontId="27" fillId="7" borderId="0" xfId="0" applyFont="1" applyFill="1" applyAlignment="1">
      <alignment horizontal="right"/>
    </xf>
    <xf numFmtId="43" fontId="22" fillId="7" borderId="0" xfId="0" applyNumberFormat="1" applyFont="1" applyFill="1" applyBorder="1" applyAlignment="1">
      <alignment horizontal="center"/>
    </xf>
    <xf numFmtId="0" fontId="0" fillId="7" borderId="1" xfId="0" applyFont="1" applyFill="1" applyBorder="1" applyAlignment="1">
      <alignment horizontal="center" wrapText="1"/>
    </xf>
    <xf numFmtId="0" fontId="4" fillId="7" borderId="0" xfId="4" applyFont="1" applyFill="1" applyAlignment="1">
      <alignment wrapText="1"/>
    </xf>
    <xf numFmtId="0" fontId="7" fillId="7" borderId="0" xfId="4" applyFont="1" applyFill="1"/>
    <xf numFmtId="0" fontId="3" fillId="7" borderId="0" xfId="4" applyFont="1" applyFill="1"/>
    <xf numFmtId="0" fontId="7" fillId="7" borderId="0" xfId="4" applyFont="1" applyFill="1" applyBorder="1" applyAlignment="1">
      <alignment horizontal="right"/>
    </xf>
    <xf numFmtId="0" fontId="7" fillId="7" borderId="0" xfId="4" applyFont="1" applyFill="1" applyAlignment="1">
      <alignment horizontal="center"/>
    </xf>
    <xf numFmtId="0" fontId="3" fillId="7" borderId="6" xfId="4" applyFont="1" applyFill="1" applyBorder="1" applyAlignment="1">
      <alignment horizontal="center"/>
    </xf>
    <xf numFmtId="0" fontId="3" fillId="7" borderId="6" xfId="4" applyFont="1" applyFill="1" applyBorder="1" applyAlignment="1">
      <alignment horizontal="left"/>
    </xf>
    <xf numFmtId="0" fontId="3" fillId="7" borderId="0" xfId="4" applyFont="1" applyFill="1" applyAlignment="1">
      <alignment horizontal="center"/>
    </xf>
    <xf numFmtId="0" fontId="25" fillId="7" borderId="1" xfId="0" applyFont="1" applyFill="1" applyBorder="1" applyAlignment="1">
      <alignment horizontal="center" wrapText="1"/>
    </xf>
    <xf numFmtId="0" fontId="26" fillId="7" borderId="1" xfId="0" applyFont="1" applyFill="1" applyBorder="1" applyAlignment="1">
      <alignment horizontal="center" vertical="top" wrapText="1"/>
    </xf>
    <xf numFmtId="0" fontId="22" fillId="7" borderId="1" xfId="0" applyFont="1" applyFill="1" applyBorder="1" applyAlignment="1">
      <alignment horizontal="center" wrapText="1"/>
    </xf>
    <xf numFmtId="4" fontId="22" fillId="7" borderId="1" xfId="0" applyNumberFormat="1" applyFont="1" applyFill="1" applyBorder="1" applyAlignment="1">
      <alignment horizontal="center" wrapText="1"/>
    </xf>
    <xf numFmtId="0" fontId="4" fillId="7" borderId="1" xfId="0" applyFont="1" applyFill="1" applyBorder="1" applyAlignment="1">
      <alignment horizontal="center" wrapText="1"/>
    </xf>
    <xf numFmtId="0" fontId="25" fillId="7" borderId="0" xfId="0" applyFont="1" applyFill="1" applyBorder="1" applyAlignment="1">
      <alignment horizontal="right" wrapText="1"/>
    </xf>
    <xf numFmtId="0" fontId="25" fillId="7" borderId="0" xfId="0" applyFont="1" applyFill="1" applyBorder="1" applyAlignment="1">
      <alignment horizontal="center" wrapText="1"/>
    </xf>
    <xf numFmtId="3" fontId="25" fillId="7" borderId="1" xfId="0" applyNumberFormat="1" applyFont="1" applyFill="1" applyBorder="1" applyAlignment="1">
      <alignment horizontal="center" wrapText="1"/>
    </xf>
    <xf numFmtId="0" fontId="5" fillId="7" borderId="0" xfId="0" applyFont="1" applyFill="1"/>
    <xf numFmtId="4" fontId="25" fillId="7" borderId="1" xfId="0" applyNumberFormat="1" applyFont="1" applyFill="1" applyBorder="1" applyAlignment="1">
      <alignment horizontal="center" wrapText="1"/>
    </xf>
    <xf numFmtId="43" fontId="5" fillId="7" borderId="0" xfId="0" applyNumberFormat="1" applyFont="1" applyFill="1"/>
    <xf numFmtId="0" fontId="23" fillId="0" borderId="1" xfId="0" applyFont="1" applyBorder="1" applyAlignment="1">
      <alignment horizontal="center" wrapText="1"/>
    </xf>
    <xf numFmtId="0" fontId="22" fillId="7" borderId="1" xfId="0" applyFont="1" applyFill="1" applyBorder="1" applyAlignment="1">
      <alignment horizontal="center" wrapText="1"/>
    </xf>
    <xf numFmtId="0" fontId="25" fillId="7" borderId="1" xfId="0" applyFont="1" applyFill="1" applyBorder="1" applyAlignment="1">
      <alignment horizontal="center" wrapText="1"/>
    </xf>
    <xf numFmtId="0" fontId="22" fillId="7" borderId="1" xfId="0" applyFont="1" applyFill="1" applyBorder="1" applyAlignment="1">
      <alignment horizontal="center" wrapText="1"/>
    </xf>
    <xf numFmtId="170" fontId="25" fillId="7" borderId="1" xfId="1" applyNumberFormat="1" applyFont="1" applyFill="1" applyBorder="1" applyAlignment="1">
      <alignment horizontal="center" vertical="center"/>
    </xf>
    <xf numFmtId="170" fontId="22" fillId="7" borderId="1" xfId="1" applyNumberFormat="1" applyFont="1" applyFill="1" applyBorder="1" applyAlignment="1">
      <alignment horizontal="center" wrapText="1"/>
    </xf>
    <xf numFmtId="0" fontId="25" fillId="7" borderId="1" xfId="0" applyFont="1" applyFill="1" applyBorder="1" applyAlignment="1">
      <alignment horizontal="center" vertical="center"/>
    </xf>
    <xf numFmtId="16" fontId="25" fillId="7" borderId="1" xfId="0" applyNumberFormat="1" applyFont="1" applyFill="1" applyBorder="1" applyAlignment="1">
      <alignment horizontal="center" wrapText="1"/>
    </xf>
    <xf numFmtId="0" fontId="25" fillId="7" borderId="1" xfId="0" applyFont="1" applyFill="1" applyBorder="1" applyAlignment="1">
      <alignment horizontal="center"/>
    </xf>
    <xf numFmtId="167" fontId="43" fillId="7" borderId="1" xfId="2" applyNumberFormat="1" applyFont="1" applyFill="1" applyBorder="1" applyAlignment="1">
      <alignment horizontal="center" wrapText="1"/>
    </xf>
    <xf numFmtId="0" fontId="42" fillId="7" borderId="1" xfId="0" applyFont="1" applyFill="1" applyBorder="1" applyAlignment="1">
      <alignment horizontal="center" wrapText="1"/>
    </xf>
    <xf numFmtId="0" fontId="4" fillId="7" borderId="14" xfId="0" applyFont="1" applyFill="1" applyBorder="1" applyAlignment="1">
      <alignment wrapText="1"/>
    </xf>
    <xf numFmtId="0" fontId="4" fillId="7" borderId="8" xfId="0" applyFont="1" applyFill="1" applyBorder="1" applyAlignment="1">
      <alignment wrapText="1"/>
    </xf>
    <xf numFmtId="0" fontId="2" fillId="7" borderId="0" xfId="0" applyFont="1" applyFill="1" applyAlignment="1">
      <alignment wrapText="1"/>
    </xf>
    <xf numFmtId="0" fontId="22" fillId="7" borderId="1" xfId="0" applyFont="1" applyFill="1" applyBorder="1" applyAlignment="1">
      <alignment horizontal="center" wrapText="1"/>
    </xf>
    <xf numFmtId="0" fontId="23" fillId="7" borderId="1" xfId="0" applyFont="1" applyFill="1" applyBorder="1" applyAlignment="1">
      <alignment horizontal="left" wrapText="1"/>
    </xf>
    <xf numFmtId="0" fontId="22" fillId="7" borderId="1" xfId="0" applyFont="1" applyFill="1" applyBorder="1" applyAlignment="1">
      <alignment horizontal="center" wrapText="1"/>
    </xf>
    <xf numFmtId="0" fontId="22" fillId="7" borderId="1" xfId="0" applyFont="1" applyFill="1" applyBorder="1" applyAlignment="1">
      <alignment horizontal="center" wrapText="1"/>
    </xf>
    <xf numFmtId="0" fontId="23" fillId="7" borderId="1" xfId="0" applyFont="1" applyFill="1" applyBorder="1" applyAlignment="1">
      <alignment horizontal="left" wrapText="1"/>
    </xf>
    <xf numFmtId="43" fontId="22" fillId="7" borderId="1" xfId="1" applyFont="1" applyFill="1" applyBorder="1" applyAlignment="1"/>
    <xf numFmtId="0" fontId="0" fillId="7" borderId="1" xfId="0" applyFont="1" applyFill="1" applyBorder="1" applyAlignment="1">
      <alignment horizontal="center" wrapText="1"/>
    </xf>
    <xf numFmtId="0" fontId="6" fillId="7" borderId="0" xfId="0" applyFont="1" applyFill="1" applyAlignment="1"/>
    <xf numFmtId="4" fontId="22" fillId="7" borderId="3" xfId="0" applyNumberFormat="1" applyFont="1" applyFill="1" applyBorder="1" applyAlignment="1">
      <alignment horizontal="center" wrapText="1"/>
    </xf>
    <xf numFmtId="4" fontId="22" fillId="7" borderId="5" xfId="0" applyNumberFormat="1" applyFont="1" applyFill="1" applyBorder="1" applyAlignment="1">
      <alignment horizontal="center" wrapText="1"/>
    </xf>
    <xf numFmtId="0" fontId="22" fillId="7" borderId="1" xfId="0" applyFont="1" applyFill="1" applyBorder="1" applyAlignment="1">
      <alignment horizontal="center"/>
    </xf>
    <xf numFmtId="0" fontId="22" fillId="7" borderId="3" xfId="0" applyFont="1" applyFill="1" applyBorder="1" applyAlignment="1">
      <alignment horizontal="center"/>
    </xf>
    <xf numFmtId="3" fontId="22" fillId="7" borderId="1" xfId="0" applyNumberFormat="1" applyFont="1" applyFill="1" applyBorder="1" applyAlignment="1">
      <alignment horizontal="center" wrapText="1"/>
    </xf>
    <xf numFmtId="3" fontId="22" fillId="7" borderId="5" xfId="0" applyNumberFormat="1" applyFont="1" applyFill="1" applyBorder="1" applyAlignment="1">
      <alignment horizontal="center" wrapText="1"/>
    </xf>
    <xf numFmtId="0" fontId="26" fillId="0" borderId="1" xfId="0" applyFont="1" applyBorder="1" applyAlignment="1">
      <alignment horizontal="center" vertical="top" wrapText="1"/>
    </xf>
    <xf numFmtId="0" fontId="22" fillId="7" borderId="1" xfId="0" applyFont="1" applyFill="1" applyBorder="1" applyAlignment="1">
      <alignment horizontal="center" wrapText="1"/>
    </xf>
    <xf numFmtId="43" fontId="22" fillId="7" borderId="1" xfId="1" applyFont="1" applyFill="1" applyBorder="1" applyAlignment="1">
      <alignment horizontal="center"/>
    </xf>
    <xf numFmtId="0" fontId="22" fillId="0" borderId="1" xfId="0" applyFont="1" applyBorder="1" applyAlignment="1">
      <alignment horizontal="center" vertical="top" wrapText="1"/>
    </xf>
    <xf numFmtId="0" fontId="25" fillId="7" borderId="1" xfId="0" applyFont="1" applyFill="1" applyBorder="1" applyAlignment="1">
      <alignment horizontal="center" wrapText="1"/>
    </xf>
    <xf numFmtId="0" fontId="16" fillId="0" borderId="0" xfId="4" applyFont="1" applyFill="1" applyAlignment="1">
      <alignment horizontal="left"/>
    </xf>
    <xf numFmtId="166" fontId="22" fillId="0" borderId="1" xfId="0" applyNumberFormat="1" applyFont="1" applyBorder="1" applyAlignment="1">
      <alignment horizontal="center" vertical="top" wrapText="1"/>
    </xf>
    <xf numFmtId="170" fontId="25" fillId="7" borderId="1" xfId="1" applyNumberFormat="1" applyFont="1" applyFill="1" applyBorder="1" applyAlignment="1">
      <alignment horizontal="center" vertical="center" wrapText="1"/>
    </xf>
    <xf numFmtId="0" fontId="5" fillId="5" borderId="0" xfId="0" applyFont="1" applyFill="1"/>
    <xf numFmtId="43" fontId="5" fillId="5" borderId="0" xfId="0" applyNumberFormat="1" applyFont="1" applyFill="1" applyAlignment="1">
      <alignment horizontal="left"/>
    </xf>
    <xf numFmtId="43" fontId="5" fillId="5" borderId="0" xfId="0" applyNumberFormat="1" applyFont="1" applyFill="1" applyAlignment="1">
      <alignment vertical="center"/>
    </xf>
    <xf numFmtId="172" fontId="4" fillId="7" borderId="0" xfId="0" applyNumberFormat="1" applyFont="1" applyFill="1" applyAlignment="1">
      <alignment horizontal="left" wrapText="1"/>
    </xf>
    <xf numFmtId="0" fontId="22" fillId="7" borderId="8" xfId="0" applyFont="1" applyFill="1" applyBorder="1" applyAlignment="1">
      <alignment horizontal="center" wrapText="1"/>
    </xf>
    <xf numFmtId="0" fontId="22" fillId="7" borderId="1" xfId="0" applyFont="1" applyFill="1" applyBorder="1" applyAlignment="1">
      <alignment horizontal="center" wrapText="1"/>
    </xf>
    <xf numFmtId="43" fontId="45" fillId="5" borderId="1" xfId="1" applyFont="1" applyFill="1" applyBorder="1" applyAlignment="1"/>
    <xf numFmtId="43" fontId="22" fillId="5" borderId="1" xfId="1" applyFont="1" applyFill="1" applyBorder="1" applyAlignment="1"/>
    <xf numFmtId="4" fontId="22" fillId="7" borderId="1" xfId="0" applyNumberFormat="1" applyFont="1" applyFill="1" applyBorder="1" applyAlignment="1">
      <alignment horizontal="center" wrapText="1"/>
    </xf>
    <xf numFmtId="0" fontId="22" fillId="7" borderId="3" xfId="0" applyFont="1" applyFill="1" applyBorder="1" applyAlignment="1">
      <alignment horizontal="center"/>
    </xf>
    <xf numFmtId="0" fontId="26" fillId="7" borderId="1" xfId="0" applyFont="1" applyFill="1" applyBorder="1" applyAlignment="1">
      <alignment horizontal="center" vertical="top" wrapText="1"/>
    </xf>
    <xf numFmtId="4" fontId="25" fillId="7" borderId="1" xfId="0" applyNumberFormat="1" applyFont="1" applyFill="1" applyBorder="1" applyAlignment="1">
      <alignment horizontal="center" wrapText="1"/>
    </xf>
    <xf numFmtId="0" fontId="22" fillId="7" borderId="1" xfId="0" applyFont="1" applyFill="1" applyBorder="1" applyAlignment="1">
      <alignment horizontal="center" wrapText="1"/>
    </xf>
    <xf numFmtId="3" fontId="22" fillId="7" borderId="1" xfId="0" applyNumberFormat="1" applyFont="1" applyFill="1" applyBorder="1" applyAlignment="1">
      <alignment horizontal="center" wrapText="1"/>
    </xf>
    <xf numFmtId="0" fontId="25" fillId="7" borderId="1" xfId="0" applyFont="1" applyFill="1" applyBorder="1" applyAlignment="1">
      <alignment horizontal="center" wrapText="1"/>
    </xf>
    <xf numFmtId="0" fontId="22" fillId="7" borderId="1" xfId="0" applyFont="1" applyFill="1" applyBorder="1" applyAlignment="1">
      <alignment horizontal="center" vertical="center" wrapText="1"/>
    </xf>
    <xf numFmtId="3" fontId="22" fillId="7" borderId="5" xfId="0" applyNumberFormat="1" applyFont="1" applyFill="1" applyBorder="1" applyAlignment="1">
      <alignment horizontal="center" wrapText="1"/>
    </xf>
    <xf numFmtId="0" fontId="22" fillId="7" borderId="1" xfId="0" applyFont="1" applyFill="1" applyBorder="1" applyAlignment="1">
      <alignment horizontal="center"/>
    </xf>
    <xf numFmtId="4" fontId="22" fillId="0" borderId="4" xfId="0" applyNumberFormat="1" applyFont="1" applyBorder="1" applyAlignment="1">
      <alignment horizontal="center" wrapText="1"/>
    </xf>
    <xf numFmtId="170" fontId="22" fillId="7" borderId="1" xfId="1" applyNumberFormat="1" applyFont="1" applyFill="1" applyBorder="1" applyAlignment="1">
      <alignment horizontal="center" vertical="center" wrapText="1"/>
    </xf>
    <xf numFmtId="170" fontId="22" fillId="7" borderId="1" xfId="1" applyNumberFormat="1" applyFont="1" applyFill="1" applyBorder="1" applyAlignment="1">
      <alignment wrapText="1"/>
    </xf>
    <xf numFmtId="0" fontId="5" fillId="10" borderId="0" xfId="0" applyFont="1" applyFill="1" applyBorder="1" applyAlignment="1">
      <alignment horizontal="center"/>
    </xf>
    <xf numFmtId="0" fontId="22" fillId="7" borderId="1" xfId="0" applyFont="1" applyFill="1" applyBorder="1" applyAlignment="1">
      <alignment horizontal="center" wrapText="1"/>
    </xf>
    <xf numFmtId="43" fontId="22" fillId="7" borderId="1" xfId="1" applyFont="1" applyFill="1" applyBorder="1" applyAlignment="1"/>
    <xf numFmtId="172" fontId="22" fillId="7" borderId="0" xfId="0" applyNumberFormat="1" applyFont="1" applyFill="1" applyAlignment="1">
      <alignment horizontal="center"/>
    </xf>
    <xf numFmtId="172" fontId="22" fillId="7" borderId="6" xfId="0" applyNumberFormat="1" applyFont="1" applyFill="1" applyBorder="1" applyAlignment="1">
      <alignment horizontal="center"/>
    </xf>
    <xf numFmtId="172" fontId="22" fillId="7" borderId="4" xfId="0" applyNumberFormat="1" applyFont="1" applyFill="1" applyBorder="1" applyAlignment="1">
      <alignment horizontal="center"/>
    </xf>
    <xf numFmtId="172" fontId="22" fillId="7" borderId="0" xfId="0" applyNumberFormat="1" applyFont="1" applyFill="1" applyBorder="1" applyAlignment="1">
      <alignment horizontal="center" wrapText="1"/>
    </xf>
    <xf numFmtId="172" fontId="26" fillId="7" borderId="1" xfId="0" applyNumberFormat="1" applyFont="1" applyFill="1" applyBorder="1" applyAlignment="1">
      <alignment horizontal="center" vertical="top" wrapText="1"/>
    </xf>
    <xf numFmtId="172" fontId="22" fillId="7" borderId="1" xfId="1" applyNumberFormat="1" applyFont="1" applyFill="1" applyBorder="1" applyAlignment="1">
      <alignment horizontal="center"/>
    </xf>
    <xf numFmtId="172" fontId="24" fillId="7" borderId="1" xfId="1" applyNumberFormat="1" applyFont="1" applyFill="1" applyBorder="1" applyAlignment="1">
      <alignment horizontal="center"/>
    </xf>
    <xf numFmtId="172" fontId="25" fillId="7" borderId="1" xfId="1" applyNumberFormat="1" applyFont="1" applyFill="1" applyBorder="1" applyAlignment="1">
      <alignment horizontal="center"/>
    </xf>
    <xf numFmtId="172" fontId="22" fillId="7" borderId="1" xfId="1" applyNumberFormat="1" applyFont="1" applyFill="1" applyBorder="1" applyAlignment="1">
      <alignment horizontal="center" vertical="center"/>
    </xf>
    <xf numFmtId="172" fontId="25" fillId="7" borderId="1" xfId="1" applyNumberFormat="1" applyFont="1" applyFill="1" applyBorder="1" applyAlignment="1">
      <alignment horizontal="center" vertical="center"/>
    </xf>
    <xf numFmtId="172" fontId="22" fillId="7" borderId="4" xfId="1" applyNumberFormat="1" applyFont="1" applyFill="1" applyBorder="1" applyAlignment="1">
      <alignment horizontal="center"/>
    </xf>
    <xf numFmtId="172" fontId="22" fillId="7" borderId="0" xfId="0" applyNumberFormat="1" applyFont="1" applyFill="1" applyBorder="1" applyAlignment="1">
      <alignment horizontal="center"/>
    </xf>
    <xf numFmtId="172" fontId="26" fillId="7" borderId="0" xfId="4" applyNumberFormat="1" applyFont="1" applyFill="1" applyAlignment="1">
      <alignment horizontal="center"/>
    </xf>
    <xf numFmtId="172" fontId="7" fillId="7" borderId="0" xfId="4" applyNumberFormat="1" applyFont="1" applyFill="1" applyAlignment="1">
      <alignment horizontal="center"/>
    </xf>
    <xf numFmtId="172" fontId="3" fillId="7" borderId="0" xfId="4" applyNumberFormat="1" applyFont="1" applyFill="1" applyAlignment="1">
      <alignment horizontal="center"/>
    </xf>
    <xf numFmtId="172" fontId="3" fillId="7" borderId="0" xfId="0" applyNumberFormat="1" applyFont="1" applyFill="1" applyAlignment="1">
      <alignment horizontal="center"/>
    </xf>
    <xf numFmtId="49" fontId="24" fillId="7" borderId="6" xfId="0" applyNumberFormat="1" applyFont="1" applyFill="1" applyBorder="1" applyAlignment="1">
      <alignment horizontal="center"/>
    </xf>
    <xf numFmtId="172" fontId="22" fillId="7" borderId="1" xfId="0" applyNumberFormat="1" applyFont="1" applyFill="1" applyBorder="1" applyAlignment="1">
      <alignment horizontal="center" vertical="center" wrapText="1"/>
    </xf>
    <xf numFmtId="0" fontId="22" fillId="7" borderId="1" xfId="0" applyFont="1" applyFill="1" applyBorder="1" applyAlignment="1">
      <alignment horizontal="center" vertical="center" wrapText="1"/>
    </xf>
    <xf numFmtId="0" fontId="22" fillId="0" borderId="1" xfId="0" applyFont="1" applyBorder="1" applyAlignment="1">
      <alignment horizontal="center" wrapText="1"/>
    </xf>
    <xf numFmtId="172" fontId="22" fillId="0" borderId="1" xfId="0" applyNumberFormat="1" applyFont="1" applyBorder="1" applyAlignment="1">
      <alignment horizontal="center" wrapText="1"/>
    </xf>
    <xf numFmtId="0" fontId="36" fillId="0" borderId="0" xfId="4" applyFont="1" applyFill="1" applyBorder="1" applyAlignment="1">
      <alignment horizontal="center" vertical="top"/>
    </xf>
    <xf numFmtId="0" fontId="20" fillId="0" borderId="0" xfId="4" applyFont="1" applyFill="1" applyBorder="1" applyAlignment="1">
      <alignment horizontal="center" vertical="top"/>
    </xf>
    <xf numFmtId="0" fontId="22" fillId="7" borderId="1" xfId="0" applyFont="1" applyFill="1" applyBorder="1" applyAlignment="1">
      <alignment horizontal="center" wrapText="1"/>
    </xf>
    <xf numFmtId="0" fontId="23" fillId="7" borderId="1" xfId="0" applyFont="1" applyFill="1" applyBorder="1" applyAlignment="1">
      <alignment horizontal="left" wrapText="1"/>
    </xf>
    <xf numFmtId="0" fontId="22" fillId="7" borderId="1" xfId="0" applyFont="1" applyFill="1" applyBorder="1" applyAlignment="1">
      <alignment horizontal="center"/>
    </xf>
    <xf numFmtId="0" fontId="26" fillId="0" borderId="1" xfId="0" applyFont="1" applyBorder="1" applyAlignment="1">
      <alignment horizontal="center" vertical="top" wrapText="1"/>
    </xf>
    <xf numFmtId="0" fontId="22" fillId="0" borderId="3" xfId="0" applyFont="1" applyBorder="1" applyAlignment="1">
      <alignment horizontal="center" wrapText="1"/>
    </xf>
    <xf numFmtId="0" fontId="36" fillId="0" borderId="0" xfId="4" applyFont="1" applyFill="1" applyBorder="1" applyAlignment="1">
      <alignment horizontal="center" vertical="top"/>
    </xf>
    <xf numFmtId="0" fontId="22" fillId="0" borderId="1" xfId="0" applyFont="1" applyBorder="1" applyAlignment="1">
      <alignment horizontal="center" wrapText="1"/>
    </xf>
    <xf numFmtId="3" fontId="22" fillId="0" borderId="1" xfId="0" applyNumberFormat="1" applyFont="1" applyBorder="1" applyAlignment="1">
      <alignment horizontal="center" wrapText="1"/>
    </xf>
    <xf numFmtId="0" fontId="22" fillId="2" borderId="1" xfId="0" applyFont="1" applyFill="1" applyBorder="1" applyAlignment="1">
      <alignment horizontal="center" wrapText="1"/>
    </xf>
    <xf numFmtId="0" fontId="20" fillId="0" borderId="0" xfId="4" applyFont="1" applyFill="1" applyBorder="1" applyAlignment="1">
      <alignment horizontal="center" vertical="top"/>
    </xf>
    <xf numFmtId="4" fontId="22" fillId="7" borderId="3" xfId="0" applyNumberFormat="1" applyFont="1" applyFill="1" applyBorder="1" applyAlignment="1">
      <alignment horizontal="center" wrapText="1"/>
    </xf>
    <xf numFmtId="4" fontId="22" fillId="7" borderId="5" xfId="0" applyNumberFormat="1" applyFont="1" applyFill="1" applyBorder="1" applyAlignment="1">
      <alignment horizontal="center" wrapText="1"/>
    </xf>
    <xf numFmtId="3" fontId="22" fillId="7" borderId="1" xfId="0" applyNumberFormat="1" applyFont="1" applyFill="1" applyBorder="1" applyAlignment="1">
      <alignment horizontal="center" wrapText="1"/>
    </xf>
    <xf numFmtId="0" fontId="22" fillId="7" borderId="1" xfId="0" applyFont="1" applyFill="1" applyBorder="1" applyAlignment="1">
      <alignment horizontal="center"/>
    </xf>
    <xf numFmtId="0" fontId="26" fillId="0" borderId="1" xfId="0" applyFont="1" applyBorder="1" applyAlignment="1">
      <alignment horizontal="center" vertical="top" wrapText="1"/>
    </xf>
    <xf numFmtId="0" fontId="14" fillId="7" borderId="0" xfId="4" applyFont="1" applyFill="1"/>
    <xf numFmtId="0" fontId="14" fillId="7" borderId="0" xfId="0" applyFont="1" applyFill="1"/>
    <xf numFmtId="0" fontId="48" fillId="0" borderId="0" xfId="0" applyNumberFormat="1" applyFont="1" applyFill="1" applyBorder="1" applyAlignment="1">
      <alignment horizontal="left"/>
    </xf>
    <xf numFmtId="0" fontId="49" fillId="0" borderId="0" xfId="0" applyNumberFormat="1" applyFont="1" applyFill="1" applyBorder="1" applyAlignment="1">
      <alignment horizontal="left"/>
    </xf>
    <xf numFmtId="0" fontId="52" fillId="0" borderId="0" xfId="0" applyNumberFormat="1" applyFont="1" applyFill="1" applyBorder="1" applyAlignment="1">
      <alignment horizontal="left"/>
    </xf>
    <xf numFmtId="0" fontId="51" fillId="0" borderId="0" xfId="0" applyNumberFormat="1" applyFont="1" applyFill="1" applyBorder="1" applyAlignment="1">
      <alignment horizontal="left"/>
    </xf>
    <xf numFmtId="0" fontId="51" fillId="0" borderId="0" xfId="0" applyNumberFormat="1" applyFont="1" applyFill="1" applyBorder="1" applyAlignment="1">
      <alignment horizontal="left" vertical="top"/>
    </xf>
    <xf numFmtId="0" fontId="51" fillId="0" borderId="0" xfId="0" applyNumberFormat="1" applyFont="1" applyFill="1" applyBorder="1" applyAlignment="1">
      <alignment horizontal="left"/>
    </xf>
    <xf numFmtId="0" fontId="54" fillId="0" borderId="0" xfId="0" applyNumberFormat="1" applyFont="1" applyFill="1" applyBorder="1" applyAlignment="1">
      <alignment horizontal="left"/>
    </xf>
    <xf numFmtId="0" fontId="49" fillId="0" borderId="0" xfId="0" applyNumberFormat="1" applyFont="1" applyFill="1" applyBorder="1" applyAlignment="1">
      <alignment horizontal="left"/>
    </xf>
    <xf numFmtId="0" fontId="49" fillId="0" borderId="0" xfId="0" applyNumberFormat="1" applyFont="1" applyFill="1" applyBorder="1" applyAlignment="1">
      <alignment horizontal="right"/>
    </xf>
    <xf numFmtId="0" fontId="57" fillId="0" borderId="0" xfId="0" applyNumberFormat="1" applyFont="1" applyFill="1" applyBorder="1" applyAlignment="1">
      <alignment horizontal="left"/>
    </xf>
    <xf numFmtId="0" fontId="49" fillId="0" borderId="0" xfId="0" applyNumberFormat="1" applyFont="1" applyFill="1" applyBorder="1" applyAlignment="1">
      <alignment horizontal="left" vertical="center"/>
    </xf>
    <xf numFmtId="0" fontId="59" fillId="0" borderId="0" xfId="0" applyNumberFormat="1" applyFont="1" applyFill="1" applyBorder="1" applyAlignment="1">
      <alignment horizontal="left"/>
    </xf>
    <xf numFmtId="49" fontId="49" fillId="0" borderId="10" xfId="0" applyNumberFormat="1" applyFont="1" applyFill="1" applyBorder="1" applyAlignment="1">
      <alignment horizontal="center"/>
    </xf>
    <xf numFmtId="0" fontId="49" fillId="0" borderId="10" xfId="0" applyNumberFormat="1" applyFont="1" applyFill="1" applyBorder="1" applyAlignment="1">
      <alignment horizontal="left" vertical="top" wrapText="1" indent="3"/>
    </xf>
    <xf numFmtId="49" fontId="49" fillId="0" borderId="0" xfId="0" applyNumberFormat="1" applyFont="1" applyFill="1" applyBorder="1" applyAlignment="1">
      <alignment horizontal="center"/>
    </xf>
    <xf numFmtId="0" fontId="49" fillId="0" borderId="0" xfId="0" applyNumberFormat="1" applyFont="1" applyFill="1" applyBorder="1" applyAlignment="1">
      <alignment horizontal="center"/>
    </xf>
    <xf numFmtId="4" fontId="22" fillId="7" borderId="3" xfId="0" applyNumberFormat="1" applyFont="1" applyFill="1" applyBorder="1" applyAlignment="1">
      <alignment horizontal="center" wrapText="1"/>
    </xf>
    <xf numFmtId="4" fontId="22" fillId="7" borderId="5" xfId="0" applyNumberFormat="1" applyFont="1" applyFill="1" applyBorder="1" applyAlignment="1">
      <alignment horizontal="center" wrapText="1"/>
    </xf>
    <xf numFmtId="3" fontId="22" fillId="7" borderId="1" xfId="0" applyNumberFormat="1" applyFont="1" applyFill="1" applyBorder="1" applyAlignment="1">
      <alignment horizontal="center" wrapText="1"/>
    </xf>
    <xf numFmtId="0" fontId="22" fillId="7" borderId="1" xfId="0" applyFont="1" applyFill="1" applyBorder="1" applyAlignment="1">
      <alignment horizontal="center"/>
    </xf>
    <xf numFmtId="0" fontId="26" fillId="0" borderId="1" xfId="0" applyFont="1" applyBorder="1" applyAlignment="1">
      <alignment horizontal="center" vertical="top" wrapText="1"/>
    </xf>
    <xf numFmtId="0" fontId="61" fillId="0" borderId="0" xfId="0" applyNumberFormat="1" applyFont="1" applyFill="1" applyBorder="1" applyAlignment="1">
      <alignment horizontal="left"/>
    </xf>
    <xf numFmtId="0" fontId="49" fillId="7" borderId="37" xfId="0" applyNumberFormat="1" applyFont="1" applyFill="1" applyBorder="1" applyAlignment="1">
      <alignment horizontal="left"/>
    </xf>
    <xf numFmtId="0" fontId="49" fillId="7" borderId="38" xfId="0" applyNumberFormat="1" applyFont="1" applyFill="1" applyBorder="1" applyAlignment="1">
      <alignment horizontal="left"/>
    </xf>
    <xf numFmtId="0" fontId="51" fillId="7" borderId="39" xfId="0" applyNumberFormat="1" applyFont="1" applyFill="1" applyBorder="1" applyAlignment="1">
      <alignment horizontal="left"/>
    </xf>
    <xf numFmtId="0" fontId="51" fillId="7" borderId="0" xfId="0" applyNumberFormat="1" applyFont="1" applyFill="1" applyBorder="1" applyAlignment="1">
      <alignment horizontal="left"/>
    </xf>
    <xf numFmtId="0" fontId="51" fillId="7" borderId="40" xfId="0" applyNumberFormat="1" applyFont="1" applyFill="1" applyBorder="1" applyAlignment="1">
      <alignment horizontal="left"/>
    </xf>
    <xf numFmtId="0" fontId="49" fillId="7" borderId="48" xfId="0" applyNumberFormat="1" applyFont="1" applyFill="1" applyBorder="1" applyAlignment="1">
      <alignment horizontal="left"/>
    </xf>
    <xf numFmtId="0" fontId="49" fillId="7" borderId="0" xfId="0" applyNumberFormat="1" applyFont="1" applyFill="1" applyBorder="1" applyAlignment="1">
      <alignment horizontal="left"/>
    </xf>
    <xf numFmtId="4" fontId="49" fillId="0" borderId="0" xfId="0" applyNumberFormat="1" applyFont="1" applyFill="1" applyBorder="1" applyAlignment="1">
      <alignment horizontal="left"/>
    </xf>
    <xf numFmtId="43" fontId="22" fillId="7" borderId="0" xfId="1" applyFont="1" applyFill="1" applyBorder="1" applyAlignment="1">
      <alignment horizontal="center"/>
    </xf>
    <xf numFmtId="0" fontId="21" fillId="7" borderId="39" xfId="0" applyNumberFormat="1" applyFont="1" applyFill="1" applyBorder="1" applyAlignment="1">
      <alignment horizontal="center" vertical="top"/>
    </xf>
    <xf numFmtId="0" fontId="21" fillId="7" borderId="0" xfId="0" applyNumberFormat="1" applyFont="1" applyFill="1" applyBorder="1" applyAlignment="1">
      <alignment horizontal="center" vertical="top"/>
    </xf>
    <xf numFmtId="0" fontId="21" fillId="7" borderId="40" xfId="0" applyNumberFormat="1" applyFont="1" applyFill="1" applyBorder="1" applyAlignment="1">
      <alignment horizontal="center" vertical="top"/>
    </xf>
    <xf numFmtId="0" fontId="21" fillId="7" borderId="0" xfId="0" applyNumberFormat="1" applyFont="1" applyFill="1" applyBorder="1" applyAlignment="1">
      <alignment horizontal="left"/>
    </xf>
    <xf numFmtId="0" fontId="21" fillId="7" borderId="39" xfId="0" applyNumberFormat="1" applyFont="1" applyFill="1" applyBorder="1" applyAlignment="1">
      <alignment horizontal="left"/>
    </xf>
    <xf numFmtId="0" fontId="21" fillId="7" borderId="40" xfId="0" applyNumberFormat="1" applyFont="1" applyFill="1" applyBorder="1" applyAlignment="1">
      <alignment horizontal="left"/>
    </xf>
    <xf numFmtId="0" fontId="21" fillId="7" borderId="45" xfId="0" applyNumberFormat="1" applyFont="1" applyFill="1" applyBorder="1" applyAlignment="1">
      <alignment horizontal="left"/>
    </xf>
    <xf numFmtId="0" fontId="21" fillId="7" borderId="46" xfId="0" applyNumberFormat="1" applyFont="1" applyFill="1" applyBorder="1" applyAlignment="1">
      <alignment horizontal="left"/>
    </xf>
    <xf numFmtId="0" fontId="21" fillId="7" borderId="47" xfId="0" applyNumberFormat="1" applyFont="1" applyFill="1" applyBorder="1" applyAlignment="1">
      <alignment horizontal="left"/>
    </xf>
    <xf numFmtId="0" fontId="30" fillId="0" borderId="0" xfId="0" applyNumberFormat="1" applyFont="1" applyFill="1" applyBorder="1" applyAlignment="1">
      <alignment horizontal="left"/>
    </xf>
    <xf numFmtId="0" fontId="31" fillId="5" borderId="0" xfId="0" applyNumberFormat="1" applyFont="1" applyFill="1" applyBorder="1" applyAlignment="1">
      <alignment horizontal="left"/>
    </xf>
    <xf numFmtId="0" fontId="54" fillId="0" borderId="0" xfId="0" applyNumberFormat="1" applyFont="1" applyFill="1" applyBorder="1" applyAlignment="1">
      <alignment horizontal="left"/>
    </xf>
    <xf numFmtId="3" fontId="22" fillId="0" borderId="1" xfId="0" applyNumberFormat="1" applyFont="1" applyBorder="1" applyAlignment="1">
      <alignment horizontal="center" wrapText="1"/>
    </xf>
    <xf numFmtId="4" fontId="25" fillId="7" borderId="1" xfId="0" applyNumberFormat="1" applyFont="1" applyFill="1" applyBorder="1" applyAlignment="1">
      <alignment horizontal="center" wrapText="1"/>
    </xf>
    <xf numFmtId="173" fontId="32" fillId="0" borderId="1" xfId="0" applyNumberFormat="1" applyFont="1" applyBorder="1" applyAlignment="1">
      <alignment horizontal="center" vertical="top" wrapText="1"/>
    </xf>
    <xf numFmtId="0" fontId="22" fillId="7" borderId="15" xfId="0" applyFont="1" applyFill="1" applyBorder="1" applyAlignment="1">
      <alignment horizontal="center" vertical="center" wrapText="1"/>
    </xf>
    <xf numFmtId="0" fontId="22" fillId="7" borderId="1" xfId="0" applyFont="1" applyFill="1" applyBorder="1" applyAlignment="1">
      <alignment horizontal="center" wrapText="1"/>
    </xf>
    <xf numFmtId="0" fontId="22" fillId="7" borderId="1" xfId="0" applyFont="1" applyFill="1" applyBorder="1" applyAlignment="1">
      <alignment horizontal="center" wrapText="1"/>
    </xf>
    <xf numFmtId="4" fontId="25" fillId="7" borderId="1" xfId="0" applyNumberFormat="1" applyFont="1" applyFill="1" applyBorder="1" applyAlignment="1">
      <alignment horizontal="center" wrapText="1"/>
    </xf>
    <xf numFmtId="0" fontId="23" fillId="7" borderId="1" xfId="0" applyFont="1" applyFill="1" applyBorder="1" applyAlignment="1">
      <alignment horizontal="left" wrapText="1"/>
    </xf>
    <xf numFmtId="0" fontId="22" fillId="7" borderId="6" xfId="4" applyFont="1" applyFill="1" applyBorder="1" applyAlignment="1">
      <alignment horizontal="center"/>
    </xf>
    <xf numFmtId="0" fontId="22" fillId="7" borderId="6" xfId="4" applyFont="1" applyFill="1" applyBorder="1"/>
    <xf numFmtId="0" fontId="22" fillId="6" borderId="1" xfId="0" applyFont="1" applyFill="1" applyBorder="1" applyAlignment="1">
      <alignment horizontal="center" wrapText="1"/>
    </xf>
    <xf numFmtId="0" fontId="26" fillId="7" borderId="1" xfId="0" applyFont="1" applyFill="1" applyBorder="1" applyAlignment="1">
      <alignment horizontal="center" vertical="top" wrapText="1"/>
    </xf>
    <xf numFmtId="0" fontId="26" fillId="7" borderId="3" xfId="0" applyFont="1" applyFill="1" applyBorder="1" applyAlignment="1">
      <alignment horizontal="center" vertical="top" wrapText="1"/>
    </xf>
    <xf numFmtId="43" fontId="22" fillId="7" borderId="4" xfId="1" applyFont="1" applyFill="1" applyBorder="1" applyAlignment="1"/>
    <xf numFmtId="172" fontId="22" fillId="7" borderId="3" xfId="0" applyNumberFormat="1" applyFont="1" applyFill="1" applyBorder="1" applyAlignment="1">
      <alignment horizontal="center" wrapText="1"/>
    </xf>
    <xf numFmtId="172" fontId="22" fillId="7" borderId="5" xfId="0" applyNumberFormat="1" applyFont="1" applyFill="1" applyBorder="1" applyAlignment="1">
      <alignment horizontal="center" wrapText="1"/>
    </xf>
    <xf numFmtId="0" fontId="7" fillId="7" borderId="0" xfId="4" applyFont="1" applyFill="1" applyAlignment="1">
      <alignment horizontal="center"/>
    </xf>
    <xf numFmtId="0" fontId="25" fillId="7" borderId="1" xfId="0" applyFont="1" applyFill="1" applyBorder="1" applyAlignment="1">
      <alignment horizontal="left" vertical="top" wrapText="1"/>
    </xf>
    <xf numFmtId="0" fontId="25" fillId="7" borderId="1" xfId="0" applyFont="1" applyFill="1" applyBorder="1" applyAlignment="1">
      <alignment horizontal="right" vertical="top" wrapText="1"/>
    </xf>
    <xf numFmtId="0" fontId="25" fillId="7" borderId="4" xfId="0" applyFont="1" applyFill="1" applyBorder="1" applyAlignment="1">
      <alignment horizontal="center" vertical="top" wrapText="1"/>
    </xf>
    <xf numFmtId="0" fontId="22" fillId="7" borderId="1" xfId="0" applyFont="1" applyFill="1" applyBorder="1" applyAlignment="1">
      <alignment horizontal="center" vertical="top" wrapText="1"/>
    </xf>
    <xf numFmtId="0" fontId="24" fillId="7" borderId="1" xfId="0" applyFont="1" applyFill="1" applyBorder="1" applyAlignment="1">
      <alignment horizontal="center" vertical="center" wrapText="1"/>
    </xf>
    <xf numFmtId="0" fontId="22" fillId="7" borderId="1" xfId="0" applyFont="1" applyFill="1" applyBorder="1" applyAlignment="1">
      <alignment horizontal="left" vertical="center" wrapText="1"/>
    </xf>
    <xf numFmtId="0" fontId="0" fillId="7" borderId="1" xfId="0" applyFont="1" applyFill="1" applyBorder="1" applyAlignment="1">
      <alignment horizontal="left" vertical="center" wrapText="1"/>
    </xf>
    <xf numFmtId="0" fontId="22" fillId="6" borderId="4" xfId="0" applyFont="1" applyFill="1" applyBorder="1" applyAlignment="1">
      <alignment horizontal="center" vertical="top" wrapText="1"/>
    </xf>
    <xf numFmtId="0" fontId="22" fillId="6" borderId="1" xfId="0" applyFont="1" applyFill="1" applyBorder="1" applyAlignment="1">
      <alignment horizontal="center" vertical="center" wrapText="1"/>
    </xf>
    <xf numFmtId="0" fontId="23" fillId="6" borderId="1" xfId="0" applyFont="1" applyFill="1" applyBorder="1" applyAlignment="1">
      <alignment horizontal="center" vertical="top" wrapText="1"/>
    </xf>
    <xf numFmtId="0" fontId="22" fillId="6" borderId="1" xfId="0" applyFont="1" applyFill="1" applyBorder="1" applyAlignment="1">
      <alignment horizontal="center" vertical="top" wrapText="1"/>
    </xf>
    <xf numFmtId="173" fontId="22" fillId="6" borderId="1" xfId="0" applyNumberFormat="1" applyFont="1" applyFill="1" applyBorder="1" applyAlignment="1">
      <alignment horizontal="center" vertical="top" wrapText="1"/>
    </xf>
    <xf numFmtId="1" fontId="22" fillId="6" borderId="1" xfId="0" applyNumberFormat="1" applyFont="1" applyFill="1" applyBorder="1" applyAlignment="1">
      <alignment horizontal="center" vertical="top" wrapText="1"/>
    </xf>
    <xf numFmtId="172" fontId="22" fillId="6" borderId="1" xfId="0" applyNumberFormat="1" applyFont="1" applyFill="1" applyBorder="1" applyAlignment="1">
      <alignment horizontal="center" vertical="top" wrapText="1"/>
    </xf>
    <xf numFmtId="0" fontId="25" fillId="6" borderId="1" xfId="0" applyFont="1" applyFill="1" applyBorder="1" applyAlignment="1">
      <alignment horizontal="center" vertical="center" wrapText="1"/>
    </xf>
    <xf numFmtId="172" fontId="25" fillId="6" borderId="1" xfId="0" applyNumberFormat="1" applyFont="1" applyFill="1" applyBorder="1" applyAlignment="1">
      <alignment horizontal="center" vertical="center" wrapText="1"/>
    </xf>
    <xf numFmtId="0" fontId="37" fillId="6" borderId="1" xfId="0" applyFont="1" applyFill="1" applyBorder="1" applyAlignment="1">
      <alignment horizontal="center" vertical="top" wrapText="1"/>
    </xf>
    <xf numFmtId="172" fontId="37" fillId="6" borderId="1" xfId="0" applyNumberFormat="1" applyFont="1" applyFill="1" applyBorder="1" applyAlignment="1">
      <alignment horizontal="center" vertical="top" wrapText="1"/>
    </xf>
    <xf numFmtId="172" fontId="25" fillId="6" borderId="1" xfId="0" applyNumberFormat="1" applyFont="1" applyFill="1" applyBorder="1" applyAlignment="1">
      <alignment horizontal="center" vertical="top" wrapText="1"/>
    </xf>
    <xf numFmtId="0" fontId="25" fillId="6" borderId="1" xfId="0" applyFont="1" applyFill="1" applyBorder="1" applyAlignment="1">
      <alignment horizontal="left" vertical="top" wrapText="1"/>
    </xf>
    <xf numFmtId="0" fontId="24" fillId="6" borderId="1" xfId="0" applyFont="1" applyFill="1" applyBorder="1" applyAlignment="1">
      <alignment horizontal="right" vertical="top" wrapText="1"/>
    </xf>
    <xf numFmtId="0" fontId="24" fillId="6" borderId="1" xfId="0" applyFont="1" applyFill="1" applyBorder="1" applyAlignment="1">
      <alignment horizontal="center" vertical="center" wrapText="1"/>
    </xf>
    <xf numFmtId="172" fontId="23" fillId="6" borderId="1" xfId="0" applyNumberFormat="1" applyFont="1" applyFill="1" applyBorder="1" applyAlignment="1">
      <alignment horizontal="center" vertical="center" wrapText="1"/>
    </xf>
    <xf numFmtId="0" fontId="25" fillId="6" borderId="1" xfId="0" applyFont="1" applyFill="1" applyBorder="1" applyAlignment="1">
      <alignment horizontal="center" vertical="top" wrapText="1"/>
    </xf>
    <xf numFmtId="172" fontId="25" fillId="6" borderId="5" xfId="0" applyNumberFormat="1" applyFont="1" applyFill="1" applyBorder="1" applyAlignment="1">
      <alignment horizontal="center" vertical="top" wrapText="1"/>
    </xf>
    <xf numFmtId="0" fontId="25" fillId="6" borderId="3" xfId="0" applyFont="1" applyFill="1" applyBorder="1" applyAlignment="1">
      <alignment horizontal="right" vertical="top" wrapText="1"/>
    </xf>
    <xf numFmtId="172" fontId="22" fillId="6" borderId="5" xfId="0" applyNumberFormat="1" applyFont="1" applyFill="1" applyBorder="1" applyAlignment="1">
      <alignment horizontal="center" vertical="top" wrapText="1"/>
    </xf>
    <xf numFmtId="0" fontId="26" fillId="6" borderId="1" xfId="0" applyFont="1" applyFill="1" applyBorder="1" applyAlignment="1">
      <alignment horizontal="center" vertical="center" wrapText="1"/>
    </xf>
    <xf numFmtId="0" fontId="26" fillId="6" borderId="1" xfId="0" applyFont="1" applyFill="1" applyBorder="1" applyAlignment="1">
      <alignment horizontal="center" vertical="top" wrapText="1"/>
    </xf>
    <xf numFmtId="0" fontId="22" fillId="6" borderId="7" xfId="0" applyFont="1" applyFill="1" applyBorder="1" applyAlignment="1">
      <alignment horizontal="center" wrapText="1"/>
    </xf>
    <xf numFmtId="0" fontId="16" fillId="7" borderId="0" xfId="4" applyFont="1" applyFill="1" applyAlignment="1">
      <alignment horizontal="left"/>
    </xf>
    <xf numFmtId="0" fontId="43" fillId="7" borderId="4" xfId="0" applyFont="1" applyFill="1" applyBorder="1"/>
    <xf numFmtId="0" fontId="42" fillId="7" borderId="4" xfId="0" applyFont="1" applyFill="1" applyBorder="1"/>
    <xf numFmtId="172" fontId="42" fillId="7" borderId="4" xfId="0" applyNumberFormat="1" applyFont="1" applyFill="1" applyBorder="1" applyAlignment="1">
      <alignment horizontal="center"/>
    </xf>
    <xf numFmtId="4" fontId="22" fillId="7" borderId="3" xfId="0" applyNumberFormat="1" applyFont="1" applyFill="1" applyBorder="1" applyAlignment="1">
      <alignment horizontal="center" wrapText="1"/>
    </xf>
    <xf numFmtId="4" fontId="22" fillId="7" borderId="5" xfId="0" applyNumberFormat="1" applyFont="1" applyFill="1" applyBorder="1" applyAlignment="1">
      <alignment horizontal="center" wrapText="1"/>
    </xf>
    <xf numFmtId="0" fontId="23" fillId="7" borderId="1" xfId="0" applyFont="1" applyFill="1" applyBorder="1" applyAlignment="1">
      <alignment horizontal="left" wrapText="1"/>
    </xf>
    <xf numFmtId="3" fontId="22" fillId="7" borderId="1" xfId="0" applyNumberFormat="1" applyFont="1" applyFill="1" applyBorder="1" applyAlignment="1">
      <alignment horizontal="center" wrapText="1"/>
    </xf>
    <xf numFmtId="0" fontId="7" fillId="7" borderId="0" xfId="4" applyFont="1" applyFill="1" applyAlignment="1">
      <alignment horizontal="center"/>
    </xf>
    <xf numFmtId="0" fontId="22" fillId="7" borderId="1" xfId="0" applyFont="1" applyFill="1" applyBorder="1" applyAlignment="1">
      <alignment horizontal="center"/>
    </xf>
    <xf numFmtId="0" fontId="16" fillId="0" borderId="0" xfId="4" applyFont="1" applyFill="1" applyAlignment="1">
      <alignment horizontal="left"/>
    </xf>
    <xf numFmtId="43" fontId="4" fillId="7" borderId="1" xfId="0" applyNumberFormat="1" applyFont="1" applyFill="1" applyBorder="1" applyAlignment="1">
      <alignment vertical="top" wrapText="1"/>
    </xf>
    <xf numFmtId="0" fontId="4" fillId="7" borderId="1" xfId="4" applyFont="1" applyFill="1" applyBorder="1" applyAlignment="1">
      <alignment wrapText="1"/>
    </xf>
    <xf numFmtId="178" fontId="23" fillId="6" borderId="1" xfId="0" applyNumberFormat="1" applyFont="1" applyFill="1" applyBorder="1" applyAlignment="1">
      <alignment horizontal="center" vertical="top" wrapText="1"/>
    </xf>
    <xf numFmtId="0" fontId="25" fillId="7" borderId="1" xfId="0" applyFont="1" applyFill="1" applyBorder="1" applyAlignment="1">
      <alignment horizontal="center" wrapText="1"/>
    </xf>
    <xf numFmtId="0" fontId="22" fillId="7" borderId="1" xfId="0" applyFont="1" applyFill="1" applyBorder="1" applyAlignment="1">
      <alignment horizontal="left" wrapText="1"/>
    </xf>
    <xf numFmtId="0" fontId="22" fillId="7" borderId="1" xfId="0" applyFont="1" applyFill="1" applyBorder="1" applyAlignment="1">
      <alignment horizontal="center"/>
    </xf>
    <xf numFmtId="3" fontId="22" fillId="7" borderId="1" xfId="0" applyNumberFormat="1" applyFont="1" applyFill="1" applyBorder="1" applyAlignment="1">
      <alignment horizontal="center" wrapText="1"/>
    </xf>
    <xf numFmtId="0" fontId="22" fillId="6" borderId="1" xfId="0" applyFont="1" applyFill="1" applyBorder="1" applyAlignment="1">
      <alignment horizontal="center" vertical="top" wrapText="1"/>
    </xf>
    <xf numFmtId="0" fontId="22" fillId="7" borderId="1" xfId="0" applyFont="1" applyFill="1" applyBorder="1" applyAlignment="1">
      <alignment horizontal="center" vertical="top" wrapText="1"/>
    </xf>
    <xf numFmtId="166" fontId="22" fillId="6" borderId="1" xfId="0" applyNumberFormat="1" applyFont="1" applyFill="1" applyBorder="1" applyAlignment="1">
      <alignment horizontal="center" vertical="top" wrapText="1"/>
    </xf>
    <xf numFmtId="0" fontId="22" fillId="6" borderId="1" xfId="0" applyFont="1" applyFill="1" applyBorder="1" applyAlignment="1">
      <alignment horizontal="center" vertical="top" wrapText="1"/>
    </xf>
    <xf numFmtId="170" fontId="4" fillId="7" borderId="0" xfId="0" applyNumberFormat="1" applyFont="1" applyFill="1" applyAlignment="1">
      <alignment horizontal="left" wrapText="1"/>
    </xf>
    <xf numFmtId="0" fontId="26" fillId="0" borderId="1" xfId="0" applyFont="1" applyBorder="1" applyAlignment="1">
      <alignment horizontal="center" vertical="top" wrapText="1"/>
    </xf>
    <xf numFmtId="0" fontId="25" fillId="7" borderId="3" xfId="0" applyFont="1" applyFill="1" applyBorder="1" applyAlignment="1">
      <alignment horizontal="center" wrapText="1"/>
    </xf>
    <xf numFmtId="0" fontId="22" fillId="7" borderId="3" xfId="0" applyFont="1" applyFill="1" applyBorder="1" applyAlignment="1">
      <alignment horizontal="left" wrapText="1"/>
    </xf>
    <xf numFmtId="0" fontId="22" fillId="7" borderId="4" xfId="0" applyFont="1" applyFill="1" applyBorder="1" applyAlignment="1">
      <alignment horizontal="left" wrapText="1"/>
    </xf>
    <xf numFmtId="0" fontId="22" fillId="7" borderId="5" xfId="0" applyFont="1" applyFill="1" applyBorder="1" applyAlignment="1">
      <alignment horizontal="left" wrapText="1"/>
    </xf>
    <xf numFmtId="0" fontId="22" fillId="7" borderId="3" xfId="0" applyFont="1" applyFill="1" applyBorder="1" applyAlignment="1">
      <alignment horizontal="center" wrapText="1"/>
    </xf>
    <xf numFmtId="4" fontId="22" fillId="7" borderId="3" xfId="0" applyNumberFormat="1" applyFont="1" applyFill="1" applyBorder="1" applyAlignment="1">
      <alignment horizontal="center" wrapText="1"/>
    </xf>
    <xf numFmtId="4" fontId="22" fillId="7" borderId="5" xfId="0" applyNumberFormat="1" applyFont="1" applyFill="1" applyBorder="1" applyAlignment="1">
      <alignment horizontal="center" wrapText="1"/>
    </xf>
    <xf numFmtId="43" fontId="22" fillId="7" borderId="4" xfId="1" applyFont="1" applyFill="1" applyBorder="1" applyAlignment="1"/>
    <xf numFmtId="43" fontId="22" fillId="7" borderId="5" xfId="1" applyFont="1" applyFill="1" applyBorder="1" applyAlignment="1"/>
    <xf numFmtId="43" fontId="22" fillId="7" borderId="1" xfId="1" applyFont="1" applyFill="1" applyBorder="1" applyAlignment="1"/>
    <xf numFmtId="43" fontId="22" fillId="7" borderId="1" xfId="1" applyFont="1" applyFill="1" applyBorder="1" applyAlignment="1">
      <alignment horizontal="center"/>
    </xf>
    <xf numFmtId="0" fontId="25" fillId="7" borderId="1" xfId="0" applyFont="1" applyFill="1" applyBorder="1" applyAlignment="1">
      <alignment horizontal="center" wrapText="1"/>
    </xf>
    <xf numFmtId="0" fontId="22" fillId="7" borderId="1" xfId="0" applyFont="1" applyFill="1" applyBorder="1" applyAlignment="1">
      <alignment horizontal="center" wrapText="1"/>
    </xf>
    <xf numFmtId="0" fontId="22" fillId="7" borderId="3"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22" fillId="7" borderId="1" xfId="0" applyFont="1" applyFill="1" applyBorder="1" applyAlignment="1">
      <alignment horizontal="center"/>
    </xf>
    <xf numFmtId="0" fontId="22" fillId="7" borderId="3" xfId="0" applyFont="1" applyFill="1" applyBorder="1" applyAlignment="1">
      <alignment horizontal="center"/>
    </xf>
    <xf numFmtId="3" fontId="22" fillId="7" borderId="1" xfId="0" applyNumberFormat="1" applyFont="1" applyFill="1" applyBorder="1" applyAlignment="1">
      <alignment horizontal="center" wrapText="1"/>
    </xf>
    <xf numFmtId="0" fontId="7" fillId="7" borderId="0" xfId="4" applyFont="1" applyFill="1" applyAlignment="1">
      <alignment horizontal="center"/>
    </xf>
    <xf numFmtId="0" fontId="22" fillId="6" borderId="1" xfId="0" applyFont="1" applyFill="1" applyBorder="1" applyAlignment="1">
      <alignment horizontal="center" wrapText="1"/>
    </xf>
    <xf numFmtId="3" fontId="22" fillId="7" borderId="5" xfId="0" applyNumberFormat="1" applyFont="1" applyFill="1" applyBorder="1" applyAlignment="1">
      <alignment horizontal="center" wrapText="1"/>
    </xf>
    <xf numFmtId="0" fontId="22" fillId="7" borderId="1" xfId="0" applyFont="1" applyFill="1" applyBorder="1" applyAlignment="1">
      <alignment horizontal="center" vertical="center" wrapText="1"/>
    </xf>
    <xf numFmtId="0" fontId="22" fillId="6" borderId="3" xfId="0" applyFont="1" applyFill="1" applyBorder="1" applyAlignment="1">
      <alignment horizontal="center" vertical="top" wrapText="1"/>
    </xf>
    <xf numFmtId="0" fontId="25" fillId="6" borderId="1" xfId="0" applyFont="1" applyFill="1" applyBorder="1" applyAlignment="1">
      <alignment vertical="top" wrapText="1"/>
    </xf>
    <xf numFmtId="39" fontId="25" fillId="6" borderId="5" xfId="0" applyNumberFormat="1" applyFont="1" applyFill="1" applyBorder="1" applyAlignment="1">
      <alignment horizontal="right" vertical="top" wrapText="1"/>
    </xf>
    <xf numFmtId="0" fontId="25" fillId="7" borderId="4" xfId="0" applyFont="1" applyFill="1" applyBorder="1" applyAlignment="1">
      <alignment horizontal="center" vertical="top" wrapText="1"/>
    </xf>
    <xf numFmtId="0" fontId="22" fillId="0" borderId="3" xfId="0" applyFont="1" applyBorder="1" applyAlignment="1">
      <alignment horizontal="center" wrapText="1"/>
    </xf>
    <xf numFmtId="0" fontId="22" fillId="0" borderId="5" xfId="0" applyFont="1" applyBorder="1" applyAlignment="1">
      <alignment horizontal="center" wrapText="1"/>
    </xf>
    <xf numFmtId="0" fontId="28" fillId="0" borderId="1" xfId="0" applyFont="1" applyBorder="1" applyAlignment="1">
      <alignment horizontal="center" vertical="top" wrapText="1"/>
    </xf>
    <xf numFmtId="0" fontId="22" fillId="0" borderId="1" xfId="0" applyFont="1" applyBorder="1" applyAlignment="1">
      <alignment horizontal="center" vertical="top" wrapText="1"/>
    </xf>
    <xf numFmtId="0" fontId="25" fillId="2" borderId="3" xfId="0" applyFont="1" applyFill="1" applyBorder="1" applyAlignment="1">
      <alignment horizontal="center" wrapText="1"/>
    </xf>
    <xf numFmtId="0" fontId="28" fillId="0" borderId="1" xfId="0" applyFont="1" applyBorder="1" applyAlignment="1">
      <alignment horizontal="center" vertical="center" wrapText="1"/>
    </xf>
    <xf numFmtId="0" fontId="22" fillId="0" borderId="1" xfId="0" applyFont="1" applyBorder="1" applyAlignment="1">
      <alignment vertical="top" wrapText="1"/>
    </xf>
    <xf numFmtId="0" fontId="22" fillId="0" borderId="1" xfId="0" applyFont="1" applyBorder="1" applyAlignment="1">
      <alignment horizontal="center" vertical="center" wrapText="1"/>
    </xf>
    <xf numFmtId="0" fontId="25" fillId="0" borderId="3" xfId="0" applyFont="1" applyBorder="1" applyAlignment="1">
      <alignment horizontal="left" vertical="top" wrapText="1"/>
    </xf>
    <xf numFmtId="0" fontId="24" fillId="0" borderId="1" xfId="0" applyFont="1" applyBorder="1" applyAlignment="1">
      <alignment horizontal="center" vertical="center" wrapText="1"/>
    </xf>
    <xf numFmtId="0" fontId="21" fillId="0" borderId="1" xfId="0" applyFont="1" applyBorder="1" applyAlignment="1">
      <alignment horizontal="center" wrapText="1"/>
    </xf>
    <xf numFmtId="0" fontId="0" fillId="0" borderId="1" xfId="0" applyBorder="1" applyAlignment="1">
      <alignment horizontal="center" wrapText="1"/>
    </xf>
    <xf numFmtId="0" fontId="22" fillId="2" borderId="1" xfId="0" applyFont="1" applyFill="1" applyBorder="1" applyAlignment="1">
      <alignment horizontal="center" wrapText="1"/>
    </xf>
    <xf numFmtId="0" fontId="26" fillId="0" borderId="3" xfId="0" applyFont="1" applyBorder="1" applyAlignment="1">
      <alignment horizontal="center" vertical="top" wrapText="1"/>
    </xf>
    <xf numFmtId="0" fontId="25" fillId="0" borderId="1" xfId="0" applyFont="1" applyBorder="1" applyAlignment="1">
      <alignment horizontal="center" wrapText="1"/>
    </xf>
    <xf numFmtId="0" fontId="25" fillId="0" borderId="3" xfId="0" applyFont="1" applyBorder="1" applyAlignment="1">
      <alignment horizontal="center" wrapText="1"/>
    </xf>
    <xf numFmtId="0" fontId="25" fillId="0" borderId="5" xfId="0" applyFont="1" applyBorder="1" applyAlignment="1">
      <alignment horizontal="center" wrapText="1"/>
    </xf>
    <xf numFmtId="0" fontId="26" fillId="0" borderId="1" xfId="0" applyFont="1" applyBorder="1" applyAlignment="1">
      <alignment horizontal="center" vertical="top" wrapText="1"/>
    </xf>
    <xf numFmtId="0" fontId="22" fillId="0" borderId="1" xfId="0" applyFont="1" applyBorder="1" applyAlignment="1">
      <alignment horizontal="center" wrapText="1"/>
    </xf>
    <xf numFmtId="0" fontId="22" fillId="0" borderId="1" xfId="0" applyFont="1" applyBorder="1" applyAlignment="1">
      <alignment horizontal="left" vertical="center" wrapText="1"/>
    </xf>
    <xf numFmtId="0" fontId="0" fillId="0" borderId="1" xfId="0" applyBorder="1" applyAlignment="1">
      <alignment horizontal="left" vertical="center" wrapText="1"/>
    </xf>
    <xf numFmtId="0" fontId="26" fillId="0" borderId="1" xfId="0" applyFont="1" applyBorder="1" applyAlignment="1">
      <alignment horizontal="center" vertical="center" wrapText="1"/>
    </xf>
    <xf numFmtId="3" fontId="22" fillId="0" borderId="1" xfId="0" applyNumberFormat="1" applyFont="1" applyBorder="1" applyAlignment="1">
      <alignment horizontal="center" wrapText="1"/>
    </xf>
    <xf numFmtId="172" fontId="22" fillId="0" borderId="1" xfId="0" applyNumberFormat="1" applyFont="1" applyBorder="1" applyAlignment="1">
      <alignment horizontal="center" wrapText="1"/>
    </xf>
    <xf numFmtId="0" fontId="23" fillId="7" borderId="3" xfId="0" applyFont="1" applyFill="1" applyBorder="1" applyAlignment="1">
      <alignment horizontal="center" wrapText="1"/>
    </xf>
    <xf numFmtId="0" fontId="22" fillId="0" borderId="4" xfId="0" applyFont="1" applyBorder="1" applyAlignment="1">
      <alignment horizontal="right" wrapText="1"/>
    </xf>
    <xf numFmtId="4" fontId="22" fillId="0" borderId="1" xfId="0" applyNumberFormat="1" applyFont="1" applyBorder="1" applyAlignment="1">
      <alignment horizontal="center" wrapText="1"/>
    </xf>
    <xf numFmtId="43" fontId="22" fillId="0" borderId="4" xfId="1" applyFont="1" applyFill="1" applyBorder="1" applyAlignment="1"/>
    <xf numFmtId="0" fontId="16" fillId="0" borderId="0" xfId="4" applyFont="1" applyFill="1" applyAlignment="1">
      <alignment horizontal="center"/>
    </xf>
    <xf numFmtId="0" fontId="16" fillId="0" borderId="0" xfId="4" applyFont="1" applyFill="1" applyAlignment="1">
      <alignment horizontal="left"/>
    </xf>
    <xf numFmtId="0" fontId="36" fillId="0" borderId="0" xfId="4" applyFont="1" applyFill="1" applyBorder="1" applyAlignment="1">
      <alignment horizontal="center" vertical="top"/>
    </xf>
    <xf numFmtId="0" fontId="25" fillId="0" borderId="1" xfId="0" applyFont="1" applyBorder="1" applyAlignment="1">
      <alignment horizontal="center"/>
    </xf>
    <xf numFmtId="0" fontId="23" fillId="0" borderId="3" xfId="0" applyFont="1" applyBorder="1" applyAlignment="1">
      <alignment horizontal="center" wrapText="1"/>
    </xf>
    <xf numFmtId="0" fontId="25" fillId="0" borderId="4" xfId="0" applyFont="1" applyBorder="1" applyAlignment="1">
      <alignment vertical="top" wrapText="1"/>
    </xf>
    <xf numFmtId="0" fontId="25" fillId="0" borderId="5" xfId="0" applyFont="1" applyBorder="1" applyAlignment="1">
      <alignment vertical="top" wrapText="1"/>
    </xf>
    <xf numFmtId="3" fontId="22" fillId="0" borderId="5" xfId="0" applyNumberFormat="1" applyFont="1" applyBorder="1" applyAlignment="1">
      <alignment horizontal="center" wrapText="1"/>
    </xf>
    <xf numFmtId="4" fontId="22" fillId="2" borderId="1" xfId="0" applyNumberFormat="1" applyFont="1" applyFill="1" applyBorder="1" applyAlignment="1">
      <alignment horizontal="center" wrapText="1"/>
    </xf>
    <xf numFmtId="0" fontId="25" fillId="7" borderId="3" xfId="0" applyFont="1" applyFill="1" applyBorder="1" applyAlignment="1">
      <alignment horizontal="right" vertical="top" wrapText="1"/>
    </xf>
    <xf numFmtId="0" fontId="22" fillId="7" borderId="4" xfId="0" applyFont="1" applyFill="1" applyBorder="1" applyAlignment="1">
      <alignment horizontal="center" vertical="top" wrapText="1"/>
    </xf>
    <xf numFmtId="39" fontId="25" fillId="7" borderId="5" xfId="0" applyNumberFormat="1" applyFont="1" applyFill="1" applyBorder="1" applyAlignment="1">
      <alignment horizontal="right" vertical="top" wrapText="1"/>
    </xf>
    <xf numFmtId="0" fontId="20" fillId="0" borderId="0" xfId="4" applyFont="1" applyFill="1" applyBorder="1" applyAlignment="1">
      <alignment horizontal="center" vertical="top"/>
    </xf>
    <xf numFmtId="0" fontId="20" fillId="0" borderId="0" xfId="4" applyFont="1" applyFill="1" applyBorder="1" applyAlignment="1">
      <alignment horizontal="left" vertical="top"/>
    </xf>
    <xf numFmtId="43" fontId="6" fillId="0" borderId="0" xfId="1" applyNumberFormat="1" applyFont="1" applyBorder="1" applyAlignment="1">
      <alignment horizontal="center" vertical="top"/>
    </xf>
    <xf numFmtId="43" fontId="6" fillId="0" borderId="0" xfId="1" applyNumberFormat="1" applyFont="1" applyAlignment="1">
      <alignment horizontal="center" vertical="top"/>
    </xf>
    <xf numFmtId="0" fontId="23" fillId="0" borderId="1" xfId="0" applyFont="1" applyBorder="1" applyAlignment="1">
      <alignment horizontal="center" vertical="top" wrapText="1"/>
    </xf>
    <xf numFmtId="0" fontId="22" fillId="7" borderId="3" xfId="0" applyFont="1" applyFill="1" applyBorder="1" applyAlignment="1">
      <alignment horizontal="left" wrapText="1"/>
    </xf>
    <xf numFmtId="0" fontId="22" fillId="7" borderId="4" xfId="0" applyFont="1" applyFill="1" applyBorder="1" applyAlignment="1">
      <alignment horizontal="left" wrapText="1"/>
    </xf>
    <xf numFmtId="0" fontId="22" fillId="7" borderId="5" xfId="0" applyFont="1" applyFill="1" applyBorder="1" applyAlignment="1">
      <alignment horizontal="left" wrapText="1"/>
    </xf>
    <xf numFmtId="0" fontId="22" fillId="7" borderId="3" xfId="0" applyFont="1" applyFill="1" applyBorder="1" applyAlignment="1">
      <alignment horizontal="center" wrapText="1"/>
    </xf>
    <xf numFmtId="0" fontId="22" fillId="7" borderId="5" xfId="0" applyFont="1" applyFill="1" applyBorder="1" applyAlignment="1">
      <alignment horizontal="center" wrapText="1"/>
    </xf>
    <xf numFmtId="0" fontId="25" fillId="7" borderId="3" xfId="0" applyFont="1" applyFill="1" applyBorder="1" applyAlignment="1">
      <alignment horizontal="center" wrapText="1"/>
    </xf>
    <xf numFmtId="0" fontId="25" fillId="7" borderId="5" xfId="0" applyFont="1" applyFill="1" applyBorder="1" applyAlignment="1">
      <alignment horizontal="center" wrapText="1"/>
    </xf>
    <xf numFmtId="0" fontId="22" fillId="7" borderId="3"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22" fillId="7" borderId="1" xfId="0" applyFont="1" applyFill="1" applyBorder="1" applyAlignment="1">
      <alignment horizontal="left" wrapText="1"/>
    </xf>
    <xf numFmtId="0" fontId="22" fillId="7" borderId="1" xfId="0" applyFont="1" applyFill="1" applyBorder="1" applyAlignment="1">
      <alignment horizontal="center" wrapText="1"/>
    </xf>
    <xf numFmtId="4" fontId="22" fillId="7" borderId="3" xfId="0" applyNumberFormat="1" applyFont="1" applyFill="1" applyBorder="1" applyAlignment="1">
      <alignment horizontal="center" wrapText="1"/>
    </xf>
    <xf numFmtId="4" fontId="22" fillId="7" borderId="5" xfId="0" applyNumberFormat="1" applyFont="1" applyFill="1" applyBorder="1" applyAlignment="1">
      <alignment horizontal="center" wrapText="1"/>
    </xf>
    <xf numFmtId="0" fontId="25" fillId="7" borderId="1" xfId="0" applyFont="1" applyFill="1" applyBorder="1" applyAlignment="1">
      <alignment horizontal="center" wrapText="1"/>
    </xf>
    <xf numFmtId="0" fontId="26" fillId="7" borderId="3" xfId="0" applyFont="1" applyFill="1" applyBorder="1" applyAlignment="1">
      <alignment horizontal="center" vertical="top" wrapText="1"/>
    </xf>
    <xf numFmtId="0" fontId="26" fillId="7" borderId="1" xfId="0" applyFont="1" applyFill="1" applyBorder="1" applyAlignment="1">
      <alignment horizontal="center" vertical="top" wrapText="1"/>
    </xf>
    <xf numFmtId="0" fontId="22" fillId="7" borderId="3" xfId="0" applyFont="1" applyFill="1" applyBorder="1" applyAlignment="1">
      <alignment horizontal="center"/>
    </xf>
    <xf numFmtId="0" fontId="22" fillId="7" borderId="7" xfId="0" applyFont="1" applyFill="1" applyBorder="1" applyAlignment="1">
      <alignment horizontal="center" wrapText="1"/>
    </xf>
    <xf numFmtId="0" fontId="22" fillId="7" borderId="8" xfId="0" applyFont="1" applyFill="1" applyBorder="1" applyAlignment="1">
      <alignment horizontal="center" wrapText="1"/>
    </xf>
    <xf numFmtId="43" fontId="22" fillId="7" borderId="5" xfId="1" applyFont="1" applyFill="1" applyBorder="1" applyAlignment="1"/>
    <xf numFmtId="172" fontId="22" fillId="7" borderId="3" xfId="0" applyNumberFormat="1" applyFont="1" applyFill="1" applyBorder="1" applyAlignment="1">
      <alignment horizontal="center" wrapText="1"/>
    </xf>
    <xf numFmtId="172" fontId="22" fillId="7" borderId="5" xfId="0" applyNumberFormat="1" applyFont="1" applyFill="1" applyBorder="1" applyAlignment="1">
      <alignment horizontal="center" wrapText="1"/>
    </xf>
    <xf numFmtId="0" fontId="26" fillId="6" borderId="1" xfId="0" applyFont="1" applyFill="1" applyBorder="1" applyAlignment="1">
      <alignment horizontal="center" vertical="center" wrapText="1"/>
    </xf>
    <xf numFmtId="0" fontId="22" fillId="6" borderId="1" xfId="0" applyFont="1" applyFill="1" applyBorder="1" applyAlignment="1">
      <alignment horizontal="center" wrapText="1"/>
    </xf>
    <xf numFmtId="39" fontId="25" fillId="6" borderId="5" xfId="0" applyNumberFormat="1" applyFont="1" applyFill="1" applyBorder="1" applyAlignment="1">
      <alignment horizontal="right" vertical="top" wrapText="1"/>
    </xf>
    <xf numFmtId="0" fontId="25" fillId="7" borderId="4" xfId="0" applyFont="1" applyFill="1" applyBorder="1" applyAlignment="1">
      <alignment horizontal="center" vertical="top" wrapText="1"/>
    </xf>
    <xf numFmtId="0" fontId="22" fillId="6" borderId="3" xfId="0" applyFont="1" applyFill="1" applyBorder="1" applyAlignment="1">
      <alignment horizontal="center" vertical="top" wrapText="1"/>
    </xf>
    <xf numFmtId="3" fontId="22" fillId="7" borderId="5" xfId="0" applyNumberFormat="1" applyFont="1" applyFill="1" applyBorder="1" applyAlignment="1">
      <alignment horizontal="center" wrapText="1"/>
    </xf>
    <xf numFmtId="0" fontId="26" fillId="7" borderId="1" xfId="0" applyFont="1" applyFill="1" applyBorder="1" applyAlignment="1">
      <alignment horizontal="center" vertical="center" wrapText="1"/>
    </xf>
    <xf numFmtId="0" fontId="22" fillId="6" borderId="1" xfId="0" applyFont="1" applyFill="1" applyBorder="1" applyAlignment="1">
      <alignment horizontal="center" vertical="top" wrapText="1"/>
    </xf>
    <xf numFmtId="0" fontId="22" fillId="7" borderId="1"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25" fillId="6" borderId="1" xfId="0" applyFont="1" applyFill="1" applyBorder="1" applyAlignment="1">
      <alignment horizontal="left" vertical="top" wrapText="1"/>
    </xf>
    <xf numFmtId="0" fontId="25" fillId="6" borderId="1" xfId="0" applyFont="1" applyFill="1" applyBorder="1" applyAlignment="1">
      <alignment vertical="top" wrapText="1"/>
    </xf>
    <xf numFmtId="0" fontId="22" fillId="6" borderId="4" xfId="0" applyFont="1" applyFill="1" applyBorder="1" applyAlignment="1">
      <alignment horizontal="center" vertical="top" wrapText="1"/>
    </xf>
    <xf numFmtId="0" fontId="26" fillId="6" borderId="1" xfId="0" applyFont="1" applyFill="1" applyBorder="1" applyAlignment="1">
      <alignment horizontal="center" vertical="top" wrapText="1"/>
    </xf>
    <xf numFmtId="4" fontId="22" fillId="7" borderId="1" xfId="0" applyNumberFormat="1" applyFont="1" applyFill="1" applyBorder="1" applyAlignment="1">
      <alignment horizontal="center" wrapText="1"/>
    </xf>
    <xf numFmtId="43" fontId="22" fillId="7" borderId="1" xfId="1" applyFont="1" applyFill="1" applyBorder="1" applyAlignment="1"/>
    <xf numFmtId="3" fontId="22" fillId="7" borderId="1" xfId="0" applyNumberFormat="1" applyFont="1" applyFill="1" applyBorder="1" applyAlignment="1">
      <alignment horizontal="center" wrapText="1"/>
    </xf>
    <xf numFmtId="0" fontId="7" fillId="7" borderId="0" xfId="4" applyFont="1" applyFill="1" applyAlignment="1">
      <alignment horizontal="center"/>
    </xf>
    <xf numFmtId="43" fontId="22" fillId="7" borderId="4" xfId="1" applyFont="1" applyFill="1" applyBorder="1" applyAlignment="1"/>
    <xf numFmtId="0" fontId="23" fillId="7" borderId="1" xfId="0" applyFont="1" applyFill="1" applyBorder="1" applyAlignment="1">
      <alignment horizontal="left" wrapText="1"/>
    </xf>
    <xf numFmtId="0" fontId="22" fillId="7" borderId="1" xfId="0" applyFont="1" applyFill="1" applyBorder="1" applyAlignment="1">
      <alignment horizontal="left" vertical="center" wrapText="1"/>
    </xf>
    <xf numFmtId="0" fontId="0" fillId="7" borderId="1" xfId="0" applyFont="1" applyFill="1" applyBorder="1" applyAlignment="1">
      <alignment horizontal="left" vertical="center" wrapText="1"/>
    </xf>
    <xf numFmtId="43" fontId="22" fillId="7" borderId="1" xfId="1" applyFont="1" applyFill="1" applyBorder="1" applyAlignment="1">
      <alignment horizontal="center"/>
    </xf>
    <xf numFmtId="4" fontId="25" fillId="7" borderId="1" xfId="0" applyNumberFormat="1" applyFont="1" applyFill="1" applyBorder="1" applyAlignment="1">
      <alignment horizontal="center" wrapText="1"/>
    </xf>
    <xf numFmtId="0" fontId="22" fillId="7" borderId="1" xfId="0" applyFont="1" applyFill="1" applyBorder="1" applyAlignment="1">
      <alignment horizontal="center"/>
    </xf>
    <xf numFmtId="0" fontId="23" fillId="0" borderId="1" xfId="0" applyFont="1" applyBorder="1" applyAlignment="1">
      <alignment horizontal="center" vertical="top" wrapText="1"/>
    </xf>
    <xf numFmtId="0" fontId="25" fillId="0" borderId="1" xfId="0" applyFont="1" applyBorder="1" applyAlignment="1">
      <alignment horizontal="center" wrapText="1"/>
    </xf>
    <xf numFmtId="0" fontId="26" fillId="0" borderId="3" xfId="0" applyFont="1" applyBorder="1" applyAlignment="1">
      <alignment horizontal="center" vertical="top" wrapText="1"/>
    </xf>
    <xf numFmtId="0" fontId="26" fillId="0" borderId="1" xfId="0" applyFont="1" applyBorder="1" applyAlignment="1">
      <alignment horizontal="center" vertical="top" wrapText="1"/>
    </xf>
    <xf numFmtId="4" fontId="22" fillId="0" borderId="1" xfId="0" applyNumberFormat="1" applyFont="1" applyBorder="1" applyAlignment="1">
      <alignment horizontal="center" wrapText="1"/>
    </xf>
    <xf numFmtId="0" fontId="22" fillId="0" borderId="4" xfId="0" applyFont="1" applyBorder="1" applyAlignment="1">
      <alignment horizontal="right" wrapText="1"/>
    </xf>
    <xf numFmtId="43" fontId="22" fillId="0" borderId="4" xfId="1" applyFont="1" applyFill="1" applyBorder="1" applyAlignment="1"/>
    <xf numFmtId="0" fontId="22" fillId="0" borderId="3" xfId="0" applyFont="1" applyBorder="1" applyAlignment="1">
      <alignment horizontal="center" wrapText="1"/>
    </xf>
    <xf numFmtId="0" fontId="22" fillId="0" borderId="5" xfId="0" applyFont="1" applyBorder="1" applyAlignment="1">
      <alignment horizontal="center" wrapText="1"/>
    </xf>
    <xf numFmtId="0" fontId="25" fillId="0" borderId="3" xfId="0" applyFont="1" applyBorder="1" applyAlignment="1">
      <alignment horizontal="center" wrapText="1"/>
    </xf>
    <xf numFmtId="0" fontId="25" fillId="0" borderId="5" xfId="0" applyFont="1" applyBorder="1" applyAlignment="1">
      <alignment horizontal="center" wrapText="1"/>
    </xf>
    <xf numFmtId="0" fontId="16" fillId="0" borderId="0" xfId="4" applyFont="1" applyFill="1" applyAlignment="1">
      <alignment horizontal="center"/>
    </xf>
    <xf numFmtId="43" fontId="22" fillId="0" borderId="0" xfId="0" applyNumberFormat="1" applyFont="1" applyAlignment="1">
      <alignment horizontal="center"/>
    </xf>
    <xf numFmtId="0" fontId="16" fillId="0" borderId="0" xfId="4" applyFont="1" applyFill="1" applyAlignment="1">
      <alignment horizontal="left"/>
    </xf>
    <xf numFmtId="0" fontId="22" fillId="0" borderId="1" xfId="0" applyFont="1" applyBorder="1" applyAlignment="1">
      <alignment horizontal="center" wrapText="1"/>
    </xf>
    <xf numFmtId="3" fontId="22" fillId="0" borderId="1" xfId="0" applyNumberFormat="1" applyFont="1" applyBorder="1" applyAlignment="1">
      <alignment horizontal="center" wrapText="1"/>
    </xf>
    <xf numFmtId="0" fontId="26" fillId="0" borderId="1" xfId="0" applyFont="1" applyBorder="1" applyAlignment="1">
      <alignment horizontal="center" vertical="center" wrapText="1"/>
    </xf>
    <xf numFmtId="0" fontId="22" fillId="0" borderId="1" xfId="0" applyFont="1" applyBorder="1" applyAlignment="1">
      <alignment horizontal="left" vertical="center" wrapText="1"/>
    </xf>
    <xf numFmtId="0" fontId="0" fillId="0" borderId="1" xfId="0" applyBorder="1" applyAlignment="1">
      <alignment horizontal="left" vertical="center" wrapText="1"/>
    </xf>
    <xf numFmtId="0" fontId="22" fillId="2" borderId="1" xfId="0" applyFont="1" applyFill="1" applyBorder="1" applyAlignment="1">
      <alignment horizontal="center" wrapText="1"/>
    </xf>
    <xf numFmtId="0" fontId="0" fillId="0" borderId="1" xfId="0" applyBorder="1" applyAlignment="1">
      <alignment horizontal="center" wrapText="1"/>
    </xf>
    <xf numFmtId="0" fontId="28" fillId="0" borderId="1" xfId="0" applyFont="1" applyBorder="1" applyAlignment="1">
      <alignment horizontal="center" vertical="top" wrapText="1"/>
    </xf>
    <xf numFmtId="0" fontId="21" fillId="0" borderId="1" xfId="0" applyFont="1" applyBorder="1" applyAlignment="1">
      <alignment horizontal="center" wrapText="1"/>
    </xf>
    <xf numFmtId="0" fontId="22" fillId="0" borderId="1" xfId="0" applyFont="1" applyBorder="1" applyAlignment="1">
      <alignment horizontal="center" vertical="top" wrapText="1"/>
    </xf>
    <xf numFmtId="0" fontId="25" fillId="0" borderId="3" xfId="0" applyFont="1" applyBorder="1" applyAlignment="1">
      <alignment horizontal="left" vertical="top" wrapText="1"/>
    </xf>
    <xf numFmtId="0" fontId="22"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8" fillId="0" borderId="1" xfId="0" applyFont="1" applyBorder="1" applyAlignment="1">
      <alignment horizontal="center" vertical="center" wrapText="1"/>
    </xf>
    <xf numFmtId="4" fontId="22" fillId="2" borderId="1" xfId="0" applyNumberFormat="1" applyFont="1" applyFill="1" applyBorder="1" applyAlignment="1">
      <alignment horizontal="center" wrapText="1"/>
    </xf>
    <xf numFmtId="0" fontId="25" fillId="0" borderId="4" xfId="0" applyFont="1" applyBorder="1" applyAlignment="1">
      <alignment vertical="top" wrapText="1"/>
    </xf>
    <xf numFmtId="0" fontId="25" fillId="0" borderId="5" xfId="0" applyFont="1" applyBorder="1" applyAlignment="1">
      <alignment vertical="top" wrapText="1"/>
    </xf>
    <xf numFmtId="0" fontId="4" fillId="7" borderId="1" xfId="0" applyFont="1" applyFill="1" applyBorder="1" applyAlignment="1">
      <alignment horizontal="center" wrapText="1"/>
    </xf>
    <xf numFmtId="39" fontId="25" fillId="7" borderId="5" xfId="0" applyNumberFormat="1" applyFont="1" applyFill="1" applyBorder="1" applyAlignment="1">
      <alignment horizontal="right" vertical="top" wrapText="1"/>
    </xf>
    <xf numFmtId="0" fontId="25" fillId="7" borderId="3" xfId="0" applyFont="1" applyFill="1" applyBorder="1" applyAlignment="1">
      <alignment horizontal="right" vertical="top" wrapText="1"/>
    </xf>
    <xf numFmtId="0" fontId="22" fillId="7" borderId="4" xfId="0" applyFont="1" applyFill="1" applyBorder="1" applyAlignment="1">
      <alignment horizontal="center" vertical="top" wrapText="1"/>
    </xf>
    <xf numFmtId="0" fontId="25" fillId="7" borderId="1" xfId="0" applyFont="1" applyFill="1" applyBorder="1" applyAlignment="1">
      <alignment horizontal="left" vertical="top" wrapText="1"/>
    </xf>
    <xf numFmtId="0" fontId="22" fillId="7" borderId="1" xfId="0" applyFont="1" applyFill="1" applyBorder="1" applyAlignment="1">
      <alignment horizontal="center" vertical="top" wrapText="1"/>
    </xf>
    <xf numFmtId="0" fontId="24" fillId="7" borderId="1" xfId="0" applyFont="1" applyFill="1" applyBorder="1" applyAlignment="1">
      <alignment horizontal="center" vertical="center" wrapText="1"/>
    </xf>
    <xf numFmtId="0" fontId="25" fillId="7" borderId="1" xfId="0" applyFont="1" applyFill="1" applyBorder="1" applyAlignment="1">
      <alignment horizontal="right" vertical="top" wrapText="1"/>
    </xf>
    <xf numFmtId="43" fontId="6" fillId="0" borderId="0" xfId="1" applyNumberFormat="1" applyFont="1" applyBorder="1" applyAlignment="1">
      <alignment horizontal="center" vertical="top"/>
    </xf>
    <xf numFmtId="43" fontId="6" fillId="0" borderId="0" xfId="1" applyNumberFormat="1" applyFont="1" applyAlignment="1">
      <alignment horizontal="center" vertical="top"/>
    </xf>
    <xf numFmtId="43" fontId="4" fillId="7" borderId="0" xfId="0" applyNumberFormat="1" applyFont="1" applyFill="1" applyAlignment="1">
      <alignment horizontal="right" vertical="top" wrapText="1"/>
    </xf>
    <xf numFmtId="172" fontId="32" fillId="7" borderId="1" xfId="1" applyNumberFormat="1" applyFont="1" applyFill="1" applyBorder="1" applyAlignment="1">
      <alignment horizontal="center"/>
    </xf>
    <xf numFmtId="0" fontId="22" fillId="6" borderId="1" xfId="0" applyFont="1" applyFill="1" applyBorder="1" applyAlignment="1">
      <alignment horizontal="center" vertical="top" wrapText="1"/>
    </xf>
    <xf numFmtId="2" fontId="25" fillId="0" borderId="1" xfId="0" applyNumberFormat="1" applyFont="1" applyFill="1" applyBorder="1" applyAlignment="1">
      <alignment horizontal="center" vertical="center" wrapText="1"/>
    </xf>
    <xf numFmtId="2" fontId="32" fillId="0" borderId="1" xfId="0" applyNumberFormat="1" applyFont="1" applyBorder="1" applyAlignment="1">
      <alignment horizontal="center" vertical="top" wrapText="1"/>
    </xf>
    <xf numFmtId="0" fontId="22" fillId="6" borderId="1" xfId="0" applyFont="1" applyFill="1" applyBorder="1" applyAlignment="1">
      <alignment horizontal="center" vertical="top" wrapText="1"/>
    </xf>
    <xf numFmtId="0" fontId="22" fillId="0" borderId="1" xfId="0" applyFont="1" applyBorder="1" applyAlignment="1">
      <alignment horizontal="center" vertical="top" wrapText="1"/>
    </xf>
    <xf numFmtId="0" fontId="22" fillId="0" borderId="1" xfId="0" applyFont="1" applyBorder="1" applyAlignment="1">
      <alignment vertical="top"/>
    </xf>
    <xf numFmtId="0" fontId="59" fillId="0" borderId="0" xfId="0" applyNumberFormat="1" applyFont="1" applyFill="1" applyBorder="1" applyAlignment="1">
      <alignment horizontal="justify" wrapText="1"/>
    </xf>
    <xf numFmtId="172" fontId="49" fillId="0" borderId="28" xfId="0" applyNumberFormat="1" applyFont="1" applyFill="1" applyBorder="1" applyAlignment="1">
      <alignment horizontal="center"/>
    </xf>
    <xf numFmtId="172" fontId="49" fillId="0" borderId="22" xfId="0" applyNumberFormat="1" applyFont="1" applyFill="1" applyBorder="1" applyAlignment="1">
      <alignment horizontal="center"/>
    </xf>
    <xf numFmtId="172" fontId="49" fillId="0" borderId="27" xfId="0" applyNumberFormat="1" applyFont="1" applyFill="1" applyBorder="1" applyAlignment="1">
      <alignment horizontal="center"/>
    </xf>
    <xf numFmtId="0" fontId="49" fillId="0" borderId="28" xfId="0" applyNumberFormat="1" applyFont="1" applyFill="1" applyBorder="1" applyAlignment="1">
      <alignment horizontal="center"/>
    </xf>
    <xf numFmtId="0" fontId="49" fillId="0" borderId="22" xfId="0" applyNumberFormat="1" applyFont="1" applyFill="1" applyBorder="1" applyAlignment="1">
      <alignment horizontal="center"/>
    </xf>
    <xf numFmtId="0" fontId="49" fillId="0" borderId="23" xfId="0" applyNumberFormat="1" applyFont="1" applyFill="1" applyBorder="1" applyAlignment="1">
      <alignment horizontal="center"/>
    </xf>
    <xf numFmtId="0" fontId="49" fillId="0" borderId="4" xfId="0" applyNumberFormat="1" applyFont="1" applyFill="1" applyBorder="1" applyAlignment="1">
      <alignment horizontal="left" wrapText="1" indent="2"/>
    </xf>
    <xf numFmtId="0" fontId="49" fillId="0" borderId="4" xfId="0" applyNumberFormat="1" applyFont="1" applyFill="1" applyBorder="1" applyAlignment="1">
      <alignment horizontal="left" indent="2"/>
    </xf>
    <xf numFmtId="49" fontId="49" fillId="0" borderId="21" xfId="0" applyNumberFormat="1" applyFont="1" applyFill="1" applyBorder="1" applyAlignment="1">
      <alignment horizontal="center"/>
    </xf>
    <xf numFmtId="49" fontId="49" fillId="0" borderId="22" xfId="0" applyNumberFormat="1" applyFont="1" applyFill="1" applyBorder="1" applyAlignment="1">
      <alignment horizontal="center"/>
    </xf>
    <xf numFmtId="49" fontId="49" fillId="0" borderId="27" xfId="0" applyNumberFormat="1" applyFont="1" applyFill="1" applyBorder="1" applyAlignment="1">
      <alignment horizontal="center"/>
    </xf>
    <xf numFmtId="49" fontId="49" fillId="0" borderId="28" xfId="0" applyNumberFormat="1" applyFont="1" applyFill="1" applyBorder="1" applyAlignment="1">
      <alignment horizontal="center"/>
    </xf>
    <xf numFmtId="172" fontId="49" fillId="0" borderId="3" xfId="0" applyNumberFormat="1" applyFont="1" applyFill="1" applyBorder="1" applyAlignment="1">
      <alignment horizontal="center"/>
    </xf>
    <xf numFmtId="172" fontId="49" fillId="0" borderId="4" xfId="0" applyNumberFormat="1" applyFont="1" applyFill="1" applyBorder="1" applyAlignment="1">
      <alignment horizontal="center"/>
    </xf>
    <xf numFmtId="172" fontId="49" fillId="0" borderId="5" xfId="0" applyNumberFormat="1" applyFont="1" applyFill="1" applyBorder="1" applyAlignment="1">
      <alignment horizontal="center"/>
    </xf>
    <xf numFmtId="0" fontId="49" fillId="0" borderId="3" xfId="0" applyNumberFormat="1" applyFont="1" applyFill="1" applyBorder="1" applyAlignment="1">
      <alignment horizontal="center"/>
    </xf>
    <xf numFmtId="0" fontId="49" fillId="0" borderId="4" xfId="0" applyNumberFormat="1" applyFont="1" applyFill="1" applyBorder="1" applyAlignment="1">
      <alignment horizontal="center"/>
    </xf>
    <xf numFmtId="0" fontId="49" fillId="0" borderId="20" xfId="0" applyNumberFormat="1" applyFont="1" applyFill="1" applyBorder="1" applyAlignment="1">
      <alignment horizontal="center"/>
    </xf>
    <xf numFmtId="49" fontId="49" fillId="0" borderId="19" xfId="0" applyNumberFormat="1" applyFont="1" applyFill="1" applyBorder="1" applyAlignment="1">
      <alignment horizontal="center"/>
    </xf>
    <xf numFmtId="49" fontId="49" fillId="0" borderId="4" xfId="0" applyNumberFormat="1" applyFont="1" applyFill="1" applyBorder="1" applyAlignment="1">
      <alignment horizontal="center"/>
    </xf>
    <xf numFmtId="49" fontId="49" fillId="0" borderId="5" xfId="0" applyNumberFormat="1" applyFont="1" applyFill="1" applyBorder="1" applyAlignment="1">
      <alignment horizontal="center"/>
    </xf>
    <xf numFmtId="49" fontId="49" fillId="0" borderId="3" xfId="0" applyNumberFormat="1" applyFont="1" applyFill="1" applyBorder="1" applyAlignment="1">
      <alignment horizontal="center"/>
    </xf>
    <xf numFmtId="0" fontId="57" fillId="0" borderId="4" xfId="0" applyNumberFormat="1" applyFont="1" applyFill="1" applyBorder="1" applyAlignment="1">
      <alignment horizontal="left"/>
    </xf>
    <xf numFmtId="49" fontId="57" fillId="0" borderId="19" xfId="0" applyNumberFormat="1" applyFont="1" applyFill="1" applyBorder="1" applyAlignment="1">
      <alignment horizontal="center"/>
    </xf>
    <xf numFmtId="49" fontId="57" fillId="0" borderId="4" xfId="0" applyNumberFormat="1" applyFont="1" applyFill="1" applyBorder="1" applyAlignment="1">
      <alignment horizontal="center"/>
    </xf>
    <xf numFmtId="49" fontId="57" fillId="0" borderId="5" xfId="0" applyNumberFormat="1" applyFont="1" applyFill="1" applyBorder="1" applyAlignment="1">
      <alignment horizontal="center"/>
    </xf>
    <xf numFmtId="49" fontId="57" fillId="0" borderId="3" xfId="0" applyNumberFormat="1" applyFont="1" applyFill="1" applyBorder="1" applyAlignment="1">
      <alignment horizontal="center"/>
    </xf>
    <xf numFmtId="0" fontId="49" fillId="11" borderId="4" xfId="0" applyNumberFormat="1" applyFont="1" applyFill="1" applyBorder="1" applyAlignment="1">
      <alignment horizontal="left" wrapText="1" indent="1"/>
    </xf>
    <xf numFmtId="0" fontId="49" fillId="11" borderId="4" xfId="0" applyNumberFormat="1" applyFont="1" applyFill="1" applyBorder="1" applyAlignment="1">
      <alignment horizontal="left" indent="1"/>
    </xf>
    <xf numFmtId="49" fontId="49" fillId="11" borderId="19" xfId="0" applyNumberFormat="1" applyFont="1" applyFill="1" applyBorder="1" applyAlignment="1">
      <alignment horizontal="center"/>
    </xf>
    <xf numFmtId="49" fontId="49" fillId="11" borderId="4" xfId="0" applyNumberFormat="1" applyFont="1" applyFill="1" applyBorder="1" applyAlignment="1">
      <alignment horizontal="center"/>
    </xf>
    <xf numFmtId="49" fontId="49" fillId="11" borderId="5" xfId="0" applyNumberFormat="1" applyFont="1" applyFill="1" applyBorder="1" applyAlignment="1">
      <alignment horizontal="center"/>
    </xf>
    <xf numFmtId="49" fontId="49" fillId="11" borderId="3" xfId="0" applyNumberFormat="1" applyFont="1" applyFill="1" applyBorder="1" applyAlignment="1">
      <alignment horizontal="center"/>
    </xf>
    <xf numFmtId="172" fontId="49" fillId="11" borderId="3" xfId="0" applyNumberFormat="1" applyFont="1" applyFill="1" applyBorder="1" applyAlignment="1">
      <alignment horizontal="center"/>
    </xf>
    <xf numFmtId="172" fontId="49" fillId="11" borderId="4" xfId="0" applyNumberFormat="1" applyFont="1" applyFill="1" applyBorder="1" applyAlignment="1">
      <alignment horizontal="center"/>
    </xf>
    <xf numFmtId="172" fontId="49" fillId="11" borderId="5" xfId="0" applyNumberFormat="1" applyFont="1" applyFill="1" applyBorder="1" applyAlignment="1">
      <alignment horizontal="center"/>
    </xf>
    <xf numFmtId="0" fontId="49" fillId="11" borderId="3" xfId="0" applyNumberFormat="1" applyFont="1" applyFill="1" applyBorder="1" applyAlignment="1">
      <alignment horizontal="center"/>
    </xf>
    <xf numFmtId="0" fontId="49" fillId="11" borderId="4" xfId="0" applyNumberFormat="1" applyFont="1" applyFill="1" applyBorder="1" applyAlignment="1">
      <alignment horizontal="center"/>
    </xf>
    <xf numFmtId="0" fontId="49" fillId="11" borderId="20" xfId="0" applyNumberFormat="1" applyFont="1" applyFill="1" applyBorder="1" applyAlignment="1">
      <alignment horizontal="center"/>
    </xf>
    <xf numFmtId="0" fontId="49" fillId="0" borderId="4" xfId="0" applyNumberFormat="1" applyFont="1" applyFill="1" applyBorder="1" applyAlignment="1">
      <alignment horizontal="left" wrapText="1" indent="4"/>
    </xf>
    <xf numFmtId="0" fontId="49" fillId="0" borderId="4" xfId="0" applyNumberFormat="1" applyFont="1" applyFill="1" applyBorder="1" applyAlignment="1">
      <alignment horizontal="left" indent="4"/>
    </xf>
    <xf numFmtId="0" fontId="49" fillId="0" borderId="4" xfId="0" applyNumberFormat="1" applyFont="1" applyFill="1" applyBorder="1" applyAlignment="1">
      <alignment horizontal="left" wrapText="1" indent="3"/>
    </xf>
    <xf numFmtId="0" fontId="49" fillId="0" borderId="4" xfId="0" applyNumberFormat="1" applyFont="1" applyFill="1" applyBorder="1" applyAlignment="1">
      <alignment horizontal="left" indent="3"/>
    </xf>
    <xf numFmtId="172" fontId="49" fillId="0" borderId="12" xfId="0" applyNumberFormat="1" applyFont="1" applyFill="1" applyBorder="1" applyAlignment="1">
      <alignment horizontal="center"/>
    </xf>
    <xf numFmtId="172" fontId="49" fillId="0" borderId="6" xfId="0" applyNumberFormat="1" applyFont="1" applyFill="1" applyBorder="1" applyAlignment="1">
      <alignment horizontal="center"/>
    </xf>
    <xf numFmtId="172" fontId="49" fillId="0" borderId="13" xfId="0" applyNumberFormat="1" applyFont="1" applyFill="1" applyBorder="1" applyAlignment="1">
      <alignment horizontal="center"/>
    </xf>
    <xf numFmtId="0" fontId="49" fillId="0" borderId="12" xfId="0" applyNumberFormat="1" applyFont="1" applyFill="1" applyBorder="1" applyAlignment="1">
      <alignment horizontal="center"/>
    </xf>
    <xf numFmtId="0" fontId="49" fillId="0" borderId="6" xfId="0" applyNumberFormat="1" applyFont="1" applyFill="1" applyBorder="1" applyAlignment="1">
      <alignment horizontal="center"/>
    </xf>
    <xf numFmtId="0" fontId="49" fillId="0" borderId="26" xfId="0" applyNumberFormat="1" applyFont="1" applyFill="1" applyBorder="1" applyAlignment="1">
      <alignment horizontal="center"/>
    </xf>
    <xf numFmtId="0" fontId="49" fillId="0" borderId="6" xfId="0" applyNumberFormat="1" applyFont="1" applyFill="1" applyBorder="1" applyAlignment="1">
      <alignment horizontal="left" wrapText="1" indent="3"/>
    </xf>
    <xf numFmtId="0" fontId="49" fillId="0" borderId="6" xfId="0" applyNumberFormat="1" applyFont="1" applyFill="1" applyBorder="1" applyAlignment="1">
      <alignment horizontal="left" indent="3"/>
    </xf>
    <xf numFmtId="0" fontId="49" fillId="0" borderId="26" xfId="0" applyNumberFormat="1" applyFont="1" applyFill="1" applyBorder="1" applyAlignment="1">
      <alignment horizontal="left" indent="3"/>
    </xf>
    <xf numFmtId="49" fontId="49" fillId="0" borderId="29" xfId="0" applyNumberFormat="1" applyFont="1" applyFill="1" applyBorder="1" applyAlignment="1">
      <alignment horizontal="center"/>
    </xf>
    <xf numFmtId="49" fontId="49" fillId="0" borderId="6" xfId="0" applyNumberFormat="1" applyFont="1" applyFill="1" applyBorder="1" applyAlignment="1">
      <alignment horizontal="center"/>
    </xf>
    <xf numFmtId="49" fontId="49" fillId="0" borderId="13" xfId="0" applyNumberFormat="1" applyFont="1" applyFill="1" applyBorder="1" applyAlignment="1">
      <alignment horizontal="center"/>
    </xf>
    <xf numFmtId="49" fontId="49" fillId="0" borderId="12" xfId="0" applyNumberFormat="1" applyFont="1" applyFill="1" applyBorder="1" applyAlignment="1">
      <alignment horizontal="center"/>
    </xf>
    <xf numFmtId="0" fontId="49" fillId="0" borderId="20" xfId="0" applyNumberFormat="1" applyFont="1" applyFill="1" applyBorder="1" applyAlignment="1">
      <alignment horizontal="left" wrapText="1" indent="3"/>
    </xf>
    <xf numFmtId="49" fontId="49" fillId="0" borderId="12" xfId="0" applyNumberFormat="1" applyFont="1" applyFill="1" applyBorder="1" applyAlignment="1">
      <alignment horizontal="center" wrapText="1"/>
    </xf>
    <xf numFmtId="49" fontId="49" fillId="0" borderId="6" xfId="0" applyNumberFormat="1" applyFont="1" applyFill="1" applyBorder="1" applyAlignment="1">
      <alignment horizontal="center" wrapText="1"/>
    </xf>
    <xf numFmtId="49" fontId="49" fillId="0" borderId="13" xfId="0" applyNumberFormat="1" applyFont="1" applyFill="1" applyBorder="1" applyAlignment="1">
      <alignment horizontal="center" wrapText="1"/>
    </xf>
    <xf numFmtId="0" fontId="49" fillId="0" borderId="20" xfId="0" applyNumberFormat="1" applyFont="1" applyFill="1" applyBorder="1" applyAlignment="1">
      <alignment horizontal="left" indent="3"/>
    </xf>
    <xf numFmtId="0" fontId="49" fillId="0" borderId="4" xfId="0" applyNumberFormat="1" applyFont="1" applyFill="1" applyBorder="1" applyAlignment="1">
      <alignment horizontal="left" wrapText="1" indent="1"/>
    </xf>
    <xf numFmtId="0" fontId="49" fillId="0" borderId="4" xfId="0" applyNumberFormat="1" applyFont="1" applyFill="1" applyBorder="1" applyAlignment="1">
      <alignment horizontal="left" indent="1"/>
    </xf>
    <xf numFmtId="172" fontId="57" fillId="0" borderId="3" xfId="0" applyNumberFormat="1" applyFont="1" applyFill="1" applyBorder="1" applyAlignment="1">
      <alignment horizontal="center"/>
    </xf>
    <xf numFmtId="172" fontId="57" fillId="0" borderId="4" xfId="0" applyNumberFormat="1" applyFont="1" applyFill="1" applyBorder="1" applyAlignment="1">
      <alignment horizontal="center"/>
    </xf>
    <xf numFmtId="172" fontId="57" fillId="0" borderId="5" xfId="0" applyNumberFormat="1" applyFont="1" applyFill="1" applyBorder="1" applyAlignment="1">
      <alignment horizontal="center"/>
    </xf>
    <xf numFmtId="0" fontId="57" fillId="0" borderId="3" xfId="0" applyNumberFormat="1" applyFont="1" applyFill="1" applyBorder="1" applyAlignment="1">
      <alignment horizontal="center"/>
    </xf>
    <xf numFmtId="0" fontId="57" fillId="0" borderId="4" xfId="0" applyNumberFormat="1" applyFont="1" applyFill="1" applyBorder="1" applyAlignment="1">
      <alignment horizontal="center"/>
    </xf>
    <xf numFmtId="0" fontId="57" fillId="0" borderId="20" xfId="0" applyNumberFormat="1" applyFont="1" applyFill="1" applyBorder="1" applyAlignment="1">
      <alignment horizontal="center"/>
    </xf>
    <xf numFmtId="0" fontId="57" fillId="0" borderId="4" xfId="0" applyNumberFormat="1" applyFont="1" applyFill="1" applyBorder="1" applyAlignment="1">
      <alignment horizontal="left" wrapText="1" indent="1"/>
    </xf>
    <xf numFmtId="0" fontId="57" fillId="0" borderId="4" xfId="0" applyNumberFormat="1" applyFont="1" applyFill="1" applyBorder="1" applyAlignment="1">
      <alignment horizontal="left" indent="1"/>
    </xf>
    <xf numFmtId="172" fontId="49" fillId="0" borderId="28" xfId="0" applyNumberFormat="1" applyFont="1" applyFill="1" applyBorder="1" applyAlignment="1">
      <alignment horizontal="center" vertical="center"/>
    </xf>
    <xf numFmtId="172" fontId="49" fillId="0" borderId="22" xfId="0" applyNumberFormat="1" applyFont="1" applyFill="1" applyBorder="1" applyAlignment="1">
      <alignment horizontal="center" vertical="center"/>
    </xf>
    <xf numFmtId="172" fontId="49" fillId="0" borderId="27" xfId="0" applyNumberFormat="1" applyFont="1" applyFill="1" applyBorder="1" applyAlignment="1">
      <alignment horizontal="center" vertical="center"/>
    </xf>
    <xf numFmtId="0" fontId="49" fillId="0" borderId="28" xfId="0" applyNumberFormat="1" applyFont="1" applyFill="1" applyBorder="1" applyAlignment="1">
      <alignment horizontal="center" vertical="center"/>
    </xf>
    <xf numFmtId="0" fontId="49" fillId="0" borderId="22" xfId="0" applyNumberFormat="1" applyFont="1" applyFill="1" applyBorder="1" applyAlignment="1">
      <alignment horizontal="center" vertical="center"/>
    </xf>
    <xf numFmtId="0" fontId="49" fillId="0" borderId="23" xfId="0" applyNumberFormat="1" applyFont="1" applyFill="1" applyBorder="1" applyAlignment="1">
      <alignment horizontal="center" vertical="center"/>
    </xf>
    <xf numFmtId="0" fontId="49" fillId="0" borderId="4" xfId="0" applyNumberFormat="1" applyFont="1" applyFill="1" applyBorder="1" applyAlignment="1">
      <alignment horizontal="left" vertical="center" wrapText="1" indent="3"/>
    </xf>
    <xf numFmtId="0" fontId="49" fillId="0" borderId="4" xfId="0" applyNumberFormat="1" applyFont="1" applyFill="1" applyBorder="1" applyAlignment="1">
      <alignment horizontal="left" vertical="center" indent="3"/>
    </xf>
    <xf numFmtId="0" fontId="49" fillId="0" borderId="20" xfId="0" applyNumberFormat="1" applyFont="1" applyFill="1" applyBorder="1" applyAlignment="1">
      <alignment horizontal="left" vertical="center" indent="3"/>
    </xf>
    <xf numFmtId="49" fontId="49" fillId="0" borderId="21" xfId="0" applyNumberFormat="1" applyFont="1" applyFill="1" applyBorder="1" applyAlignment="1">
      <alignment horizontal="center" vertical="center"/>
    </xf>
    <xf numFmtId="49" fontId="49" fillId="0" borderId="22" xfId="0" applyNumberFormat="1" applyFont="1" applyFill="1" applyBorder="1" applyAlignment="1">
      <alignment horizontal="center" vertical="center"/>
    </xf>
    <xf numFmtId="49" fontId="49" fillId="0" borderId="27" xfId="0" applyNumberFormat="1" applyFont="1" applyFill="1" applyBorder="1" applyAlignment="1">
      <alignment horizontal="center" vertical="center"/>
    </xf>
    <xf numFmtId="49" fontId="49" fillId="0" borderId="28" xfId="0" applyNumberFormat="1" applyFont="1" applyFill="1" applyBorder="1" applyAlignment="1">
      <alignment horizontal="center" vertical="center"/>
    </xf>
    <xf numFmtId="0" fontId="49" fillId="0" borderId="6" xfId="0" applyNumberFormat="1" applyFont="1" applyFill="1" applyBorder="1" applyAlignment="1">
      <alignment horizontal="left" vertical="center" wrapText="1" indent="4"/>
    </xf>
    <xf numFmtId="0" fontId="49" fillId="0" borderId="6" xfId="0" applyNumberFormat="1" applyFont="1" applyFill="1" applyBorder="1" applyAlignment="1">
      <alignment horizontal="left" vertical="center" indent="4"/>
    </xf>
    <xf numFmtId="0" fontId="49" fillId="0" borderId="26" xfId="0" applyNumberFormat="1" applyFont="1" applyFill="1" applyBorder="1" applyAlignment="1">
      <alignment horizontal="left" vertical="center" indent="4"/>
    </xf>
    <xf numFmtId="49" fontId="49" fillId="0" borderId="19" xfId="0" applyNumberFormat="1" applyFont="1" applyFill="1" applyBorder="1" applyAlignment="1">
      <alignment horizontal="center" vertical="center"/>
    </xf>
    <xf numFmtId="49" fontId="49" fillId="0" borderId="4" xfId="0" applyNumberFormat="1" applyFont="1" applyFill="1" applyBorder="1" applyAlignment="1">
      <alignment horizontal="center" vertical="center"/>
    </xf>
    <xf numFmtId="49" fontId="49" fillId="0" borderId="5" xfId="0" applyNumberFormat="1" applyFont="1" applyFill="1" applyBorder="1" applyAlignment="1">
      <alignment horizontal="center" vertical="center"/>
    </xf>
    <xf numFmtId="49" fontId="49" fillId="0" borderId="3" xfId="0" applyNumberFormat="1" applyFont="1" applyFill="1" applyBorder="1" applyAlignment="1">
      <alignment horizontal="center" vertical="center"/>
    </xf>
    <xf numFmtId="172" fontId="49" fillId="0" borderId="3" xfId="0" applyNumberFormat="1" applyFont="1" applyFill="1" applyBorder="1" applyAlignment="1">
      <alignment horizontal="center" vertical="center"/>
    </xf>
    <xf numFmtId="172" fontId="49" fillId="0" borderId="4" xfId="0" applyNumberFormat="1" applyFont="1" applyFill="1" applyBorder="1" applyAlignment="1">
      <alignment horizontal="center" vertical="center"/>
    </xf>
    <xf numFmtId="172" fontId="49" fillId="0" borderId="5" xfId="0" applyNumberFormat="1" applyFont="1" applyFill="1" applyBorder="1" applyAlignment="1">
      <alignment horizontal="center" vertical="center"/>
    </xf>
    <xf numFmtId="0" fontId="49" fillId="0" borderId="3" xfId="0" applyNumberFormat="1" applyFont="1" applyFill="1" applyBorder="1" applyAlignment="1">
      <alignment horizontal="center" vertical="center"/>
    </xf>
    <xf numFmtId="0" fontId="49" fillId="0" borderId="4" xfId="0" applyNumberFormat="1" applyFont="1" applyFill="1" applyBorder="1" applyAlignment="1">
      <alignment horizontal="center" vertical="center"/>
    </xf>
    <xf numFmtId="0" fontId="49" fillId="0" borderId="20" xfId="0" applyNumberFormat="1" applyFont="1" applyFill="1" applyBorder="1" applyAlignment="1">
      <alignment horizontal="center" vertical="center"/>
    </xf>
    <xf numFmtId="0" fontId="57" fillId="0" borderId="4" xfId="0" applyNumberFormat="1" applyFont="1" applyFill="1" applyBorder="1" applyAlignment="1">
      <alignment horizontal="left" wrapText="1" indent="2"/>
    </xf>
    <xf numFmtId="0" fontId="57" fillId="0" borderId="4" xfId="0" applyNumberFormat="1" applyFont="1" applyFill="1" applyBorder="1" applyAlignment="1">
      <alignment horizontal="left" indent="2"/>
    </xf>
    <xf numFmtId="0" fontId="57" fillId="0" borderId="6" xfId="0" applyNumberFormat="1" applyFont="1" applyFill="1" applyBorder="1" applyAlignment="1">
      <alignment horizontal="left" wrapText="1" indent="1"/>
    </xf>
    <xf numFmtId="0" fontId="57" fillId="0" borderId="6" xfId="0" applyNumberFormat="1" applyFont="1" applyFill="1" applyBorder="1" applyAlignment="1">
      <alignment horizontal="left" indent="1"/>
    </xf>
    <xf numFmtId="0" fontId="57" fillId="0" borderId="26" xfId="0" applyNumberFormat="1" applyFont="1" applyFill="1" applyBorder="1" applyAlignment="1">
      <alignment horizontal="left" indent="1"/>
    </xf>
    <xf numFmtId="0" fontId="49" fillId="0" borderId="10" xfId="0" applyNumberFormat="1" applyFont="1" applyFill="1" applyBorder="1" applyAlignment="1">
      <alignment horizontal="left" indent="3"/>
    </xf>
    <xf numFmtId="49" fontId="49" fillId="0" borderId="30" xfId="0" applyNumberFormat="1" applyFont="1" applyFill="1" applyBorder="1" applyAlignment="1">
      <alignment horizontal="center"/>
    </xf>
    <xf numFmtId="49" fontId="49" fillId="0" borderId="10" xfId="0" applyNumberFormat="1" applyFont="1" applyFill="1" applyBorder="1" applyAlignment="1">
      <alignment horizontal="center"/>
    </xf>
    <xf numFmtId="49" fontId="49" fillId="0" borderId="11" xfId="0" applyNumberFormat="1" applyFont="1" applyFill="1" applyBorder="1" applyAlignment="1">
      <alignment horizontal="center"/>
    </xf>
    <xf numFmtId="49" fontId="49" fillId="0" borderId="9" xfId="0" applyNumberFormat="1" applyFont="1" applyFill="1" applyBorder="1" applyAlignment="1">
      <alignment horizontal="center"/>
    </xf>
    <xf numFmtId="172" fontId="49" fillId="0" borderId="9" xfId="0" applyNumberFormat="1" applyFont="1" applyFill="1" applyBorder="1" applyAlignment="1">
      <alignment horizontal="center"/>
    </xf>
    <xf numFmtId="172" fontId="49" fillId="0" borderId="10" xfId="0" applyNumberFormat="1" applyFont="1" applyFill="1" applyBorder="1" applyAlignment="1">
      <alignment horizontal="center"/>
    </xf>
    <xf numFmtId="172" fontId="49" fillId="0" borderId="11" xfId="0" applyNumberFormat="1" applyFont="1" applyFill="1" applyBorder="1" applyAlignment="1">
      <alignment horizontal="center"/>
    </xf>
    <xf numFmtId="0" fontId="49" fillId="0" borderId="9" xfId="0" applyNumberFormat="1" applyFont="1" applyFill="1" applyBorder="1" applyAlignment="1">
      <alignment horizontal="center"/>
    </xf>
    <xf numFmtId="0" fontId="49" fillId="0" borderId="10" xfId="0" applyNumberFormat="1" applyFont="1" applyFill="1" applyBorder="1" applyAlignment="1">
      <alignment horizontal="center"/>
    </xf>
    <xf numFmtId="0" fontId="49" fillId="0" borderId="31" xfId="0" applyNumberFormat="1" applyFont="1" applyFill="1" applyBorder="1" applyAlignment="1">
      <alignment horizontal="center"/>
    </xf>
    <xf numFmtId="0" fontId="49" fillId="0" borderId="6" xfId="0" applyNumberFormat="1" applyFont="1" applyFill="1" applyBorder="1" applyAlignment="1">
      <alignment horizontal="left" wrapText="1" indent="1"/>
    </xf>
    <xf numFmtId="0" fontId="49" fillId="0" borderId="6" xfId="0" applyNumberFormat="1" applyFont="1" applyFill="1" applyBorder="1" applyAlignment="1">
      <alignment horizontal="left" indent="1"/>
    </xf>
    <xf numFmtId="0" fontId="49" fillId="0" borderId="26" xfId="0" applyNumberFormat="1" applyFont="1" applyFill="1" applyBorder="1" applyAlignment="1">
      <alignment horizontal="left" indent="1"/>
    </xf>
    <xf numFmtId="0" fontId="49" fillId="0" borderId="6" xfId="0" applyNumberFormat="1" applyFont="1" applyFill="1" applyBorder="1" applyAlignment="1">
      <alignment horizontal="left" indent="2"/>
    </xf>
    <xf numFmtId="0" fontId="49" fillId="0" borderId="26" xfId="0" applyNumberFormat="1" applyFont="1" applyFill="1" applyBorder="1" applyAlignment="1">
      <alignment horizontal="left" indent="2"/>
    </xf>
    <xf numFmtId="0" fontId="49" fillId="0" borderId="10" xfId="0" applyNumberFormat="1" applyFont="1" applyFill="1" applyBorder="1" applyAlignment="1">
      <alignment horizontal="left" indent="2"/>
    </xf>
    <xf numFmtId="0" fontId="49" fillId="0" borderId="20" xfId="0" applyNumberFormat="1" applyFont="1" applyFill="1" applyBorder="1" applyAlignment="1">
      <alignment horizontal="left" vertical="center" wrapText="1" indent="3"/>
    </xf>
    <xf numFmtId="172" fontId="57" fillId="7" borderId="3" xfId="0" applyNumberFormat="1" applyFont="1" applyFill="1" applyBorder="1" applyAlignment="1">
      <alignment horizontal="center"/>
    </xf>
    <xf numFmtId="172" fontId="57" fillId="7" borderId="4" xfId="0" applyNumberFormat="1" applyFont="1" applyFill="1" applyBorder="1" applyAlignment="1">
      <alignment horizontal="center"/>
    </xf>
    <xf numFmtId="172" fontId="57" fillId="7" borderId="5" xfId="0" applyNumberFormat="1" applyFont="1" applyFill="1" applyBorder="1" applyAlignment="1">
      <alignment horizontal="center"/>
    </xf>
    <xf numFmtId="49" fontId="49" fillId="0" borderId="9" xfId="0" applyNumberFormat="1" applyFont="1" applyFill="1" applyBorder="1" applyAlignment="1">
      <alignment horizontal="center" vertical="top"/>
    </xf>
    <xf numFmtId="49" fontId="49" fillId="0" borderId="10" xfId="0" applyNumberFormat="1" applyFont="1" applyFill="1" applyBorder="1" applyAlignment="1">
      <alignment horizontal="center" vertical="top"/>
    </xf>
    <xf numFmtId="49" fontId="49" fillId="0" borderId="11" xfId="0" applyNumberFormat="1" applyFont="1" applyFill="1" applyBorder="1" applyAlignment="1">
      <alignment horizontal="center" vertical="top"/>
    </xf>
    <xf numFmtId="49" fontId="57" fillId="0" borderId="16" xfId="0" applyNumberFormat="1" applyFont="1" applyFill="1" applyBorder="1" applyAlignment="1">
      <alignment horizontal="center"/>
    </xf>
    <xf numFmtId="49" fontId="57" fillId="0" borderId="17" xfId="0" applyNumberFormat="1" applyFont="1" applyFill="1" applyBorder="1" applyAlignment="1">
      <alignment horizontal="center"/>
    </xf>
    <xf numFmtId="49" fontId="57" fillId="0" borderId="24" xfId="0" applyNumberFormat="1" applyFont="1" applyFill="1" applyBorder="1" applyAlignment="1">
      <alignment horizontal="center"/>
    </xf>
    <xf numFmtId="49" fontId="57" fillId="0" borderId="25" xfId="0" applyNumberFormat="1" applyFont="1" applyFill="1" applyBorder="1" applyAlignment="1">
      <alignment horizontal="center"/>
    </xf>
    <xf numFmtId="172" fontId="57" fillId="0" borderId="25" xfId="0" applyNumberFormat="1" applyFont="1" applyFill="1" applyBorder="1" applyAlignment="1">
      <alignment horizontal="center"/>
    </xf>
    <xf numFmtId="172" fontId="57" fillId="0" borderId="17" xfId="0" applyNumberFormat="1" applyFont="1" applyFill="1" applyBorder="1" applyAlignment="1">
      <alignment horizontal="center"/>
    </xf>
    <xf numFmtId="172" fontId="57" fillId="0" borderId="24" xfId="0" applyNumberFormat="1" applyFont="1" applyFill="1" applyBorder="1" applyAlignment="1">
      <alignment horizontal="center"/>
    </xf>
    <xf numFmtId="0" fontId="57" fillId="0" borderId="25" xfId="0" applyNumberFormat="1" applyFont="1" applyFill="1" applyBorder="1" applyAlignment="1">
      <alignment horizontal="center"/>
    </xf>
    <xf numFmtId="0" fontId="57" fillId="0" borderId="17" xfId="0" applyNumberFormat="1" applyFont="1" applyFill="1" applyBorder="1" applyAlignment="1">
      <alignment horizontal="center"/>
    </xf>
    <xf numFmtId="0" fontId="57" fillId="0" borderId="18" xfId="0" applyNumberFormat="1" applyFont="1" applyFill="1" applyBorder="1" applyAlignment="1">
      <alignment horizontal="center"/>
    </xf>
    <xf numFmtId="49" fontId="49" fillId="0" borderId="4" xfId="0" applyNumberFormat="1" applyFont="1" applyFill="1" applyBorder="1" applyAlignment="1">
      <alignment horizontal="center" vertical="top"/>
    </xf>
    <xf numFmtId="49" fontId="49" fillId="0" borderId="5" xfId="0" applyNumberFormat="1" applyFont="1" applyFill="1" applyBorder="1" applyAlignment="1">
      <alignment horizontal="center" vertical="top"/>
    </xf>
    <xf numFmtId="0" fontId="49" fillId="0" borderId="0" xfId="0" applyNumberFormat="1" applyFont="1" applyFill="1" applyBorder="1" applyAlignment="1">
      <alignment horizontal="left"/>
    </xf>
    <xf numFmtId="0" fontId="49" fillId="0" borderId="6" xfId="0" applyNumberFormat="1" applyFont="1" applyFill="1" applyBorder="1" applyAlignment="1">
      <alignment horizontal="left"/>
    </xf>
    <xf numFmtId="49" fontId="49" fillId="0" borderId="20" xfId="0" applyNumberFormat="1" applyFont="1" applyFill="1" applyBorder="1" applyAlignment="1">
      <alignment horizontal="center"/>
    </xf>
    <xf numFmtId="49" fontId="49" fillId="0" borderId="23" xfId="0" applyNumberFormat="1" applyFont="1" applyFill="1" applyBorder="1" applyAlignment="1">
      <alignment horizontal="center"/>
    </xf>
    <xf numFmtId="0" fontId="57" fillId="0" borderId="0" xfId="0" applyNumberFormat="1" applyFont="1" applyFill="1" applyBorder="1" applyAlignment="1">
      <alignment horizontal="center" vertical="center"/>
    </xf>
    <xf numFmtId="0" fontId="49" fillId="0" borderId="10" xfId="0" applyNumberFormat="1" applyFont="1" applyFill="1" applyBorder="1" applyAlignment="1">
      <alignment horizontal="center" vertical="center"/>
    </xf>
    <xf numFmtId="0" fontId="49" fillId="0" borderId="11" xfId="0" applyNumberFormat="1" applyFont="1" applyFill="1" applyBorder="1" applyAlignment="1">
      <alignment horizontal="center" vertical="center"/>
    </xf>
    <xf numFmtId="0" fontId="49" fillId="0" borderId="0" xfId="0" applyNumberFormat="1" applyFont="1" applyFill="1" applyBorder="1" applyAlignment="1">
      <alignment horizontal="center" vertical="center"/>
    </xf>
    <xf numFmtId="0" fontId="49" fillId="0" borderId="15" xfId="0" applyNumberFormat="1" applyFont="1" applyFill="1" applyBorder="1" applyAlignment="1">
      <alignment horizontal="center" vertical="center"/>
    </xf>
    <xf numFmtId="0" fontId="49" fillId="0" borderId="6" xfId="0" applyNumberFormat="1" applyFont="1" applyFill="1" applyBorder="1" applyAlignment="1">
      <alignment horizontal="center" vertical="center"/>
    </xf>
    <xf numFmtId="0" fontId="49" fillId="0" borderId="13" xfId="0" applyNumberFormat="1" applyFont="1" applyFill="1" applyBorder="1" applyAlignment="1">
      <alignment horizontal="center" vertical="center"/>
    </xf>
    <xf numFmtId="0" fontId="49" fillId="0" borderId="9" xfId="0" applyNumberFormat="1" applyFont="1" applyFill="1" applyBorder="1" applyAlignment="1">
      <alignment horizontal="center" vertical="center" wrapText="1"/>
    </xf>
    <xf numFmtId="0" fontId="49" fillId="0" borderId="10" xfId="0" applyNumberFormat="1" applyFont="1" applyFill="1" applyBorder="1" applyAlignment="1">
      <alignment horizontal="center" vertical="center" wrapText="1"/>
    </xf>
    <xf numFmtId="0" fontId="49" fillId="0" borderId="11" xfId="0" applyNumberFormat="1" applyFont="1" applyFill="1" applyBorder="1" applyAlignment="1">
      <alignment horizontal="center" vertical="center" wrapText="1"/>
    </xf>
    <xf numFmtId="0" fontId="49" fillId="0" borderId="2" xfId="0" applyNumberFormat="1" applyFont="1" applyFill="1" applyBorder="1" applyAlignment="1">
      <alignment horizontal="center" vertical="center" wrapText="1"/>
    </xf>
    <xf numFmtId="0" fontId="49" fillId="0" borderId="0" xfId="0" applyNumberFormat="1" applyFont="1" applyFill="1" applyBorder="1" applyAlignment="1">
      <alignment horizontal="center" vertical="center" wrapText="1"/>
    </xf>
    <xf numFmtId="0" fontId="49" fillId="0" borderId="15" xfId="0" applyNumberFormat="1" applyFont="1" applyFill="1" applyBorder="1" applyAlignment="1">
      <alignment horizontal="center" vertical="center" wrapText="1"/>
    </xf>
    <xf numFmtId="0" fontId="49" fillId="0" borderId="12" xfId="0" applyNumberFormat="1" applyFont="1" applyFill="1" applyBorder="1" applyAlignment="1">
      <alignment horizontal="center" vertical="center" wrapText="1"/>
    </xf>
    <xf numFmtId="0" fontId="49" fillId="0" borderId="6" xfId="0" applyNumberFormat="1" applyFont="1" applyFill="1" applyBorder="1" applyAlignment="1">
      <alignment horizontal="center" vertical="center" wrapText="1"/>
    </xf>
    <xf numFmtId="0" fontId="49" fillId="0" borderId="13" xfId="0" applyNumberFormat="1" applyFont="1" applyFill="1" applyBorder="1" applyAlignment="1">
      <alignment horizontal="center" vertical="center" wrapText="1"/>
    </xf>
    <xf numFmtId="0" fontId="49" fillId="0" borderId="9" xfId="0" applyNumberFormat="1" applyFont="1" applyFill="1" applyBorder="1" applyAlignment="1">
      <alignment horizontal="right"/>
    </xf>
    <xf numFmtId="0" fontId="49" fillId="0" borderId="10" xfId="0" applyNumberFormat="1" applyFont="1" applyFill="1" applyBorder="1" applyAlignment="1">
      <alignment horizontal="right"/>
    </xf>
    <xf numFmtId="49" fontId="49" fillId="0" borderId="4" xfId="0" applyNumberFormat="1" applyFont="1" applyFill="1" applyBorder="1" applyAlignment="1">
      <alignment horizontal="left"/>
    </xf>
    <xf numFmtId="0" fontId="49" fillId="0" borderId="10" xfId="0" applyNumberFormat="1" applyFont="1" applyFill="1" applyBorder="1" applyAlignment="1">
      <alignment horizontal="left"/>
    </xf>
    <xf numFmtId="0" fontId="49" fillId="0" borderId="11" xfId="0" applyNumberFormat="1" applyFont="1" applyFill="1" applyBorder="1" applyAlignment="1">
      <alignment horizontal="left"/>
    </xf>
    <xf numFmtId="0" fontId="49" fillId="0" borderId="12" xfId="0" applyNumberFormat="1" applyFont="1" applyFill="1" applyBorder="1" applyAlignment="1">
      <alignment horizontal="center" vertical="top" wrapText="1"/>
    </xf>
    <xf numFmtId="0" fontId="49" fillId="0" borderId="6" xfId="0" applyNumberFormat="1" applyFont="1" applyFill="1" applyBorder="1" applyAlignment="1">
      <alignment horizontal="center" vertical="top" wrapText="1"/>
    </xf>
    <xf numFmtId="0" fontId="49" fillId="0" borderId="13" xfId="0" applyNumberFormat="1" applyFont="1" applyFill="1" applyBorder="1" applyAlignment="1">
      <alignment horizontal="center" vertical="top" wrapText="1"/>
    </xf>
    <xf numFmtId="0" fontId="54" fillId="0" borderId="0" xfId="0" applyNumberFormat="1" applyFont="1" applyFill="1" applyBorder="1" applyAlignment="1">
      <alignment horizontal="left"/>
    </xf>
    <xf numFmtId="0" fontId="49" fillId="0" borderId="9" xfId="0" applyNumberFormat="1" applyFont="1" applyFill="1" applyBorder="1" applyAlignment="1">
      <alignment horizontal="center" vertical="center"/>
    </xf>
    <xf numFmtId="0" fontId="49" fillId="0" borderId="2" xfId="0" applyNumberFormat="1" applyFont="1" applyFill="1" applyBorder="1" applyAlignment="1">
      <alignment horizontal="center" vertical="center"/>
    </xf>
    <xf numFmtId="0" fontId="49" fillId="0" borderId="0" xfId="0" applyNumberFormat="1" applyFont="1" applyFill="1" applyBorder="1" applyAlignment="1">
      <alignment horizontal="right"/>
    </xf>
    <xf numFmtId="49" fontId="49" fillId="0" borderId="6" xfId="0" applyNumberFormat="1" applyFont="1" applyFill="1" applyBorder="1" applyAlignment="1">
      <alignment horizontal="left"/>
    </xf>
    <xf numFmtId="49" fontId="49" fillId="0" borderId="16" xfId="0" applyNumberFormat="1" applyFont="1" applyFill="1" applyBorder="1" applyAlignment="1">
      <alignment horizontal="center"/>
    </xf>
    <xf numFmtId="49" fontId="49" fillId="0" borderId="17" xfId="0" applyNumberFormat="1" applyFont="1" applyFill="1" applyBorder="1" applyAlignment="1">
      <alignment horizontal="center"/>
    </xf>
    <xf numFmtId="49" fontId="49" fillId="0" borderId="18" xfId="0" applyNumberFormat="1" applyFont="1" applyFill="1" applyBorder="1" applyAlignment="1">
      <alignment horizontal="center"/>
    </xf>
    <xf numFmtId="0" fontId="51" fillId="0" borderId="0" xfId="0" applyNumberFormat="1" applyFont="1" applyFill="1" applyBorder="1" applyAlignment="1">
      <alignment horizontal="left"/>
    </xf>
    <xf numFmtId="0" fontId="54" fillId="0" borderId="0" xfId="0" applyNumberFormat="1" applyFont="1" applyFill="1" applyBorder="1" applyAlignment="1">
      <alignment horizontal="right"/>
    </xf>
    <xf numFmtId="49" fontId="54" fillId="0" borderId="6" xfId="0" applyNumberFormat="1" applyFont="1" applyFill="1" applyBorder="1" applyAlignment="1">
      <alignment horizontal="left"/>
    </xf>
    <xf numFmtId="0" fontId="51" fillId="0" borderId="0" xfId="0" applyNumberFormat="1" applyFont="1" applyFill="1" applyBorder="1" applyAlignment="1">
      <alignment horizontal="right"/>
    </xf>
    <xf numFmtId="49" fontId="51" fillId="0" borderId="6" xfId="0" applyNumberFormat="1" applyFont="1" applyFill="1" applyBorder="1" applyAlignment="1">
      <alignment horizontal="center"/>
    </xf>
    <xf numFmtId="49" fontId="51" fillId="0" borderId="6" xfId="0" applyNumberFormat="1" applyFont="1" applyFill="1" applyBorder="1" applyAlignment="1">
      <alignment horizontal="left"/>
    </xf>
    <xf numFmtId="0" fontId="54" fillId="0" borderId="0" xfId="0" applyNumberFormat="1" applyFont="1" applyFill="1" applyBorder="1" applyAlignment="1">
      <alignment horizontal="center"/>
    </xf>
    <xf numFmtId="0" fontId="51" fillId="0" borderId="0" xfId="0" applyNumberFormat="1" applyFont="1" applyFill="1" applyBorder="1" applyAlignment="1">
      <alignment horizontal="center" vertical="top"/>
    </xf>
    <xf numFmtId="0" fontId="51" fillId="0" borderId="0" xfId="0" applyNumberFormat="1" applyFont="1" applyFill="1" applyBorder="1" applyAlignment="1">
      <alignment horizontal="center"/>
    </xf>
    <xf numFmtId="0" fontId="53" fillId="0" borderId="6" xfId="0" applyNumberFormat="1" applyFont="1" applyFill="1" applyBorder="1" applyAlignment="1">
      <alignment horizontal="center"/>
    </xf>
    <xf numFmtId="0" fontId="51" fillId="0" borderId="6" xfId="0" applyNumberFormat="1" applyFont="1" applyFill="1" applyBorder="1" applyAlignment="1">
      <alignment horizontal="center"/>
    </xf>
    <xf numFmtId="0" fontId="51" fillId="0" borderId="10" xfId="0" applyNumberFormat="1" applyFont="1" applyFill="1" applyBorder="1" applyAlignment="1">
      <alignment horizontal="center" vertical="top"/>
    </xf>
    <xf numFmtId="0" fontId="48" fillId="0" borderId="0" xfId="0" applyNumberFormat="1" applyFont="1" applyFill="1" applyBorder="1" applyAlignment="1">
      <alignment horizontal="center"/>
    </xf>
    <xf numFmtId="0" fontId="48" fillId="0" borderId="0" xfId="0" applyNumberFormat="1" applyFont="1" applyFill="1" applyBorder="1" applyAlignment="1">
      <alignment horizontal="center" vertical="top" wrapText="1"/>
    </xf>
    <xf numFmtId="0" fontId="50" fillId="0" borderId="0" xfId="0" applyNumberFormat="1" applyFont="1" applyFill="1" applyBorder="1" applyAlignment="1">
      <alignment horizontal="center" wrapText="1"/>
    </xf>
    <xf numFmtId="0" fontId="50" fillId="0" borderId="0" xfId="0" applyNumberFormat="1" applyFont="1" applyFill="1" applyBorder="1" applyAlignment="1">
      <alignment horizontal="center"/>
    </xf>
    <xf numFmtId="0" fontId="21" fillId="7" borderId="0" xfId="0" applyNumberFormat="1" applyFont="1" applyFill="1" applyBorder="1" applyAlignment="1">
      <alignment horizontal="left"/>
    </xf>
    <xf numFmtId="0" fontId="61" fillId="0" borderId="0" xfId="0" applyNumberFormat="1" applyFont="1" applyFill="1" applyBorder="1" applyAlignment="1">
      <alignment horizontal="justify" wrapText="1"/>
    </xf>
    <xf numFmtId="0" fontId="51" fillId="0" borderId="0" xfId="0" applyNumberFormat="1" applyFont="1" applyFill="1" applyBorder="1" applyAlignment="1">
      <alignment horizontal="justify" wrapText="1"/>
    </xf>
    <xf numFmtId="0" fontId="61" fillId="0" borderId="0" xfId="0" applyNumberFormat="1" applyFont="1" applyFill="1" applyBorder="1" applyAlignment="1">
      <alignment horizontal="justify"/>
    </xf>
    <xf numFmtId="0" fontId="51" fillId="0" borderId="0" xfId="0" applyNumberFormat="1" applyFont="1" applyFill="1" applyBorder="1" applyAlignment="1">
      <alignment horizontal="justify"/>
    </xf>
    <xf numFmtId="0" fontId="21" fillId="7" borderId="39" xfId="0" applyNumberFormat="1" applyFont="1" applyFill="1" applyBorder="1" applyAlignment="1">
      <alignment horizontal="right"/>
    </xf>
    <xf numFmtId="0" fontId="21" fillId="7" borderId="0" xfId="0" applyNumberFormat="1" applyFont="1" applyFill="1" applyBorder="1" applyAlignment="1">
      <alignment horizontal="right"/>
    </xf>
    <xf numFmtId="49" fontId="21" fillId="7" borderId="6" xfId="0" applyNumberFormat="1" applyFont="1" applyFill="1" applyBorder="1" applyAlignment="1">
      <alignment horizontal="center"/>
    </xf>
    <xf numFmtId="49" fontId="21" fillId="7" borderId="6" xfId="0" applyNumberFormat="1" applyFont="1" applyFill="1" applyBorder="1" applyAlignment="1">
      <alignment horizontal="left"/>
    </xf>
    <xf numFmtId="0" fontId="21" fillId="7" borderId="41" xfId="0" applyNumberFormat="1" applyFont="1" applyFill="1" applyBorder="1" applyAlignment="1">
      <alignment horizontal="center"/>
    </xf>
    <xf numFmtId="0" fontId="21" fillId="7" borderId="6" xfId="0" applyNumberFormat="1" applyFont="1" applyFill="1" applyBorder="1" applyAlignment="1">
      <alignment horizontal="center"/>
    </xf>
    <xf numFmtId="0" fontId="21" fillId="7" borderId="42" xfId="0" applyNumberFormat="1" applyFont="1" applyFill="1" applyBorder="1" applyAlignment="1">
      <alignment horizontal="center"/>
    </xf>
    <xf numFmtId="0" fontId="21" fillId="7" borderId="43" xfId="0" applyNumberFormat="1" applyFont="1" applyFill="1" applyBorder="1" applyAlignment="1">
      <alignment horizontal="center" vertical="top"/>
    </xf>
    <xf numFmtId="0" fontId="21" fillId="7" borderId="10" xfId="0" applyNumberFormat="1" applyFont="1" applyFill="1" applyBorder="1" applyAlignment="1">
      <alignment horizontal="center" vertical="top"/>
    </xf>
    <xf numFmtId="0" fontId="21" fillId="7" borderId="44" xfId="0" applyNumberFormat="1" applyFont="1" applyFill="1" applyBorder="1" applyAlignment="1">
      <alignment horizontal="center" vertical="top"/>
    </xf>
    <xf numFmtId="0" fontId="52" fillId="0" borderId="10" xfId="0" applyNumberFormat="1" applyFont="1" applyFill="1" applyBorder="1" applyAlignment="1">
      <alignment horizontal="center" vertical="top"/>
    </xf>
    <xf numFmtId="0" fontId="49" fillId="0" borderId="35" xfId="0" applyNumberFormat="1" applyFont="1" applyFill="1" applyBorder="1" applyAlignment="1">
      <alignment horizontal="center"/>
    </xf>
    <xf numFmtId="0" fontId="49" fillId="0" borderId="33" xfId="0" applyNumberFormat="1" applyFont="1" applyFill="1" applyBorder="1" applyAlignment="1">
      <alignment horizontal="center"/>
    </xf>
    <xf numFmtId="0" fontId="49" fillId="0" borderId="36" xfId="0" applyNumberFormat="1" applyFont="1" applyFill="1" applyBorder="1" applyAlignment="1">
      <alignment horizontal="center"/>
    </xf>
    <xf numFmtId="0" fontId="49" fillId="0" borderId="12" xfId="0" applyNumberFormat="1" applyFont="1" applyFill="1" applyBorder="1" applyAlignment="1">
      <alignment horizontal="left" wrapText="1" indent="4"/>
    </xf>
    <xf numFmtId="0" fontId="49" fillId="0" borderId="6" xfId="0" applyNumberFormat="1" applyFont="1" applyFill="1" applyBorder="1" applyAlignment="1">
      <alignment horizontal="left" indent="4"/>
    </xf>
    <xf numFmtId="49" fontId="49" fillId="0" borderId="1" xfId="0" applyNumberFormat="1" applyFont="1" applyFill="1" applyBorder="1" applyAlignment="1">
      <alignment horizontal="center"/>
    </xf>
    <xf numFmtId="0" fontId="49" fillId="0" borderId="3" xfId="0" applyNumberFormat="1" applyFont="1" applyFill="1" applyBorder="1" applyAlignment="1">
      <alignment horizontal="left" wrapText="1"/>
    </xf>
    <xf numFmtId="0" fontId="49" fillId="0" borderId="4" xfId="0" applyNumberFormat="1" applyFont="1" applyFill="1" applyBorder="1" applyAlignment="1">
      <alignment horizontal="left"/>
    </xf>
    <xf numFmtId="0" fontId="49" fillId="0" borderId="9" xfId="0" applyNumberFormat="1" applyFont="1" applyFill="1" applyBorder="1" applyAlignment="1">
      <alignment horizontal="left" wrapText="1" indent="4"/>
    </xf>
    <xf numFmtId="0" fontId="49" fillId="0" borderId="10" xfId="0" applyNumberFormat="1" applyFont="1" applyFill="1" applyBorder="1" applyAlignment="1">
      <alignment horizontal="left" indent="4"/>
    </xf>
    <xf numFmtId="0" fontId="49" fillId="0" borderId="31" xfId="0" applyNumberFormat="1" applyFont="1" applyFill="1" applyBorder="1" applyAlignment="1">
      <alignment horizontal="left" indent="4"/>
    </xf>
    <xf numFmtId="49" fontId="49" fillId="0" borderId="32" xfId="0" applyNumberFormat="1" applyFont="1" applyFill="1" applyBorder="1" applyAlignment="1">
      <alignment horizontal="center"/>
    </xf>
    <xf numFmtId="49" fontId="49" fillId="0" borderId="33" xfId="0" applyNumberFormat="1" applyFont="1" applyFill="1" applyBorder="1" applyAlignment="1">
      <alignment horizontal="center"/>
    </xf>
    <xf numFmtId="49" fontId="49" fillId="0" borderId="34" xfId="0" applyNumberFormat="1" applyFont="1" applyFill="1" applyBorder="1" applyAlignment="1">
      <alignment horizontal="center"/>
    </xf>
    <xf numFmtId="49" fontId="49" fillId="0" borderId="35" xfId="0" applyNumberFormat="1" applyFont="1" applyFill="1" applyBorder="1" applyAlignment="1">
      <alignment horizontal="center"/>
    </xf>
    <xf numFmtId="172" fontId="49" fillId="0" borderId="35" xfId="0" applyNumberFormat="1" applyFont="1" applyFill="1" applyBorder="1" applyAlignment="1">
      <alignment horizontal="center"/>
    </xf>
    <xf numFmtId="172" fontId="49" fillId="0" borderId="33" xfId="0" applyNumberFormat="1" applyFont="1" applyFill="1" applyBorder="1" applyAlignment="1">
      <alignment horizontal="center"/>
    </xf>
    <xf numFmtId="172" fontId="49" fillId="0" borderId="34" xfId="0" applyNumberFormat="1" applyFont="1" applyFill="1" applyBorder="1" applyAlignment="1">
      <alignment horizontal="center"/>
    </xf>
    <xf numFmtId="0" fontId="49" fillId="0" borderId="3" xfId="0" applyNumberFormat="1" applyFont="1" applyFill="1" applyBorder="1" applyAlignment="1">
      <alignment horizontal="left" wrapText="1" indent="3"/>
    </xf>
    <xf numFmtId="0" fontId="49" fillId="0" borderId="12" xfId="0" applyNumberFormat="1" applyFont="1" applyFill="1" applyBorder="1" applyAlignment="1">
      <alignment horizontal="left" wrapText="1" indent="3"/>
    </xf>
    <xf numFmtId="0" fontId="49" fillId="0" borderId="9" xfId="0" applyNumberFormat="1" applyFont="1" applyFill="1" applyBorder="1" applyAlignment="1">
      <alignment horizontal="left" vertical="top" wrapText="1" indent="3"/>
    </xf>
    <xf numFmtId="0" fontId="49" fillId="0" borderId="10" xfId="0" applyNumberFormat="1" applyFont="1" applyFill="1" applyBorder="1" applyAlignment="1">
      <alignment horizontal="left" vertical="top" wrapText="1" indent="3"/>
    </xf>
    <xf numFmtId="0" fontId="49" fillId="0" borderId="31" xfId="0" applyNumberFormat="1" applyFont="1" applyFill="1" applyBorder="1" applyAlignment="1">
      <alignment horizontal="left" vertical="top" wrapText="1" indent="3"/>
    </xf>
    <xf numFmtId="0" fontId="49" fillId="0" borderId="3" xfId="0" applyNumberFormat="1" applyFont="1" applyFill="1" applyBorder="1" applyAlignment="1">
      <alignment horizontal="left" wrapText="1" indent="2"/>
    </xf>
    <xf numFmtId="49" fontId="49" fillId="0" borderId="24" xfId="0" applyNumberFormat="1" applyFont="1" applyFill="1" applyBorder="1" applyAlignment="1">
      <alignment horizontal="center"/>
    </xf>
    <xf numFmtId="49" fontId="49" fillId="0" borderId="25" xfId="0" applyNumberFormat="1" applyFont="1" applyFill="1" applyBorder="1" applyAlignment="1">
      <alignment horizontal="center"/>
    </xf>
    <xf numFmtId="172" fontId="49" fillId="0" borderId="25" xfId="0" applyNumberFormat="1" applyFont="1" applyFill="1" applyBorder="1" applyAlignment="1">
      <alignment horizontal="center"/>
    </xf>
    <xf numFmtId="172" fontId="49" fillId="0" borderId="17" xfId="0" applyNumberFormat="1" applyFont="1" applyFill="1" applyBorder="1" applyAlignment="1">
      <alignment horizontal="center"/>
    </xf>
    <xf numFmtId="172" fontId="49" fillId="0" borderId="24" xfId="0" applyNumberFormat="1" applyFont="1" applyFill="1" applyBorder="1" applyAlignment="1">
      <alignment horizontal="center"/>
    </xf>
    <xf numFmtId="0" fontId="49" fillId="0" borderId="25" xfId="0" applyNumberFormat="1" applyFont="1" applyFill="1" applyBorder="1" applyAlignment="1">
      <alignment horizontal="center"/>
    </xf>
    <xf numFmtId="0" fontId="49" fillId="0" borderId="17" xfId="0" applyNumberFormat="1" applyFont="1" applyFill="1" applyBorder="1" applyAlignment="1">
      <alignment horizontal="center"/>
    </xf>
    <xf numFmtId="0" fontId="49" fillId="0" borderId="18" xfId="0" applyNumberFormat="1" applyFont="1" applyFill="1" applyBorder="1" applyAlignment="1">
      <alignment horizontal="center"/>
    </xf>
    <xf numFmtId="49" fontId="49" fillId="0" borderId="1" xfId="0" applyNumberFormat="1" applyFont="1" applyFill="1" applyBorder="1" applyAlignment="1">
      <alignment horizontal="center" vertical="top"/>
    </xf>
    <xf numFmtId="0" fontId="49" fillId="0" borderId="1" xfId="0" applyNumberFormat="1" applyFont="1" applyFill="1" applyBorder="1" applyAlignment="1">
      <alignment horizontal="center" vertical="center" wrapText="1"/>
    </xf>
    <xf numFmtId="0" fontId="49" fillId="0" borderId="11" xfId="0" applyNumberFormat="1" applyFont="1" applyFill="1" applyBorder="1" applyAlignment="1">
      <alignment horizontal="center"/>
    </xf>
    <xf numFmtId="0" fontId="49" fillId="0" borderId="3" xfId="0" applyNumberFormat="1" applyFont="1" applyFill="1" applyBorder="1" applyAlignment="1">
      <alignment horizontal="left" wrapText="1" indent="1"/>
    </xf>
    <xf numFmtId="49" fontId="57" fillId="0" borderId="1" xfId="0" applyNumberFormat="1" applyFont="1" applyFill="1" applyBorder="1" applyAlignment="1">
      <alignment horizontal="center"/>
    </xf>
    <xf numFmtId="0" fontId="57" fillId="0" borderId="3" xfId="0" applyNumberFormat="1" applyFont="1" applyFill="1" applyBorder="1" applyAlignment="1">
      <alignment horizontal="left"/>
    </xf>
    <xf numFmtId="4" fontId="57" fillId="0" borderId="25" xfId="0" applyNumberFormat="1" applyFont="1" applyFill="1" applyBorder="1" applyAlignment="1">
      <alignment horizontal="center"/>
    </xf>
    <xf numFmtId="0" fontId="57" fillId="0" borderId="24" xfId="0" applyNumberFormat="1" applyFont="1" applyFill="1" applyBorder="1" applyAlignment="1">
      <alignment horizontal="center"/>
    </xf>
    <xf numFmtId="0" fontId="49" fillId="0" borderId="0" xfId="0" applyNumberFormat="1" applyFont="1" applyFill="1" applyBorder="1" applyAlignment="1">
      <alignment horizontal="center"/>
    </xf>
    <xf numFmtId="0" fontId="57" fillId="0" borderId="0" xfId="0" applyNumberFormat="1" applyFont="1" applyFill="1" applyBorder="1" applyAlignment="1">
      <alignment horizontal="center"/>
    </xf>
    <xf numFmtId="0" fontId="63" fillId="0" borderId="6" xfId="0" applyNumberFormat="1" applyFont="1" applyFill="1" applyBorder="1" applyAlignment="1">
      <alignment horizontal="center"/>
    </xf>
    <xf numFmtId="0" fontId="22" fillId="7" borderId="1" xfId="0" applyFont="1" applyFill="1" applyBorder="1" applyAlignment="1">
      <alignment horizontal="center" wrapText="1"/>
    </xf>
    <xf numFmtId="0" fontId="25" fillId="7" borderId="1" xfId="0" applyFont="1" applyFill="1" applyBorder="1" applyAlignment="1">
      <alignment horizontal="right" wrapText="1"/>
    </xf>
    <xf numFmtId="0" fontId="26" fillId="7" borderId="1" xfId="0" applyFont="1" applyFill="1" applyBorder="1" applyAlignment="1">
      <alignment horizontal="center" vertical="top" wrapText="1"/>
    </xf>
    <xf numFmtId="43" fontId="25" fillId="7" borderId="1" xfId="0" applyNumberFormat="1" applyFont="1" applyFill="1" applyBorder="1" applyAlignment="1">
      <alignment horizontal="center" wrapText="1"/>
    </xf>
    <xf numFmtId="0" fontId="22" fillId="7" borderId="3" xfId="0" applyFont="1" applyFill="1" applyBorder="1" applyAlignment="1">
      <alignment horizontal="left" wrapText="1"/>
    </xf>
    <xf numFmtId="0" fontId="22" fillId="7" borderId="4" xfId="0" applyFont="1" applyFill="1" applyBorder="1" applyAlignment="1">
      <alignment horizontal="left" wrapText="1"/>
    </xf>
    <xf numFmtId="0" fontId="22" fillId="7" borderId="5" xfId="0" applyFont="1" applyFill="1" applyBorder="1" applyAlignment="1">
      <alignment horizontal="left" wrapText="1"/>
    </xf>
    <xf numFmtId="43" fontId="22" fillId="7" borderId="1" xfId="1" applyNumberFormat="1" applyFont="1" applyFill="1" applyBorder="1" applyAlignment="1">
      <alignment horizontal="center" wrapText="1"/>
    </xf>
    <xf numFmtId="0" fontId="2" fillId="7" borderId="1" xfId="0" applyFont="1" applyFill="1" applyBorder="1" applyAlignment="1">
      <alignment horizontal="center" wrapText="1"/>
    </xf>
    <xf numFmtId="0" fontId="22" fillId="7" borderId="3" xfId="0" applyFont="1" applyFill="1" applyBorder="1" applyAlignment="1">
      <alignment horizontal="center"/>
    </xf>
    <xf numFmtId="0" fontId="22" fillId="7" borderId="5" xfId="0" applyFont="1" applyFill="1" applyBorder="1" applyAlignment="1">
      <alignment horizontal="center"/>
    </xf>
    <xf numFmtId="0" fontId="26" fillId="7" borderId="3" xfId="0" applyFont="1" applyFill="1" applyBorder="1" applyAlignment="1">
      <alignment horizontal="center" vertical="top" wrapText="1"/>
    </xf>
    <xf numFmtId="0" fontId="26" fillId="7" borderId="5" xfId="0" applyFont="1" applyFill="1" applyBorder="1" applyAlignment="1">
      <alignment horizontal="center" vertical="top" wrapText="1"/>
    </xf>
    <xf numFmtId="0" fontId="22" fillId="7" borderId="3" xfId="0" applyFont="1" applyFill="1" applyBorder="1" applyAlignment="1">
      <alignment horizontal="center" wrapText="1"/>
    </xf>
    <xf numFmtId="0" fontId="22" fillId="7" borderId="5" xfId="0" applyFont="1" applyFill="1" applyBorder="1" applyAlignment="1">
      <alignment horizontal="center" wrapText="1"/>
    </xf>
    <xf numFmtId="0" fontId="4" fillId="7" borderId="7" xfId="0" applyFont="1" applyFill="1" applyBorder="1" applyAlignment="1">
      <alignment horizontal="left" wrapText="1"/>
    </xf>
    <xf numFmtId="0" fontId="4" fillId="7" borderId="14" xfId="0" applyFont="1" applyFill="1" applyBorder="1" applyAlignment="1">
      <alignment horizontal="left" wrapText="1"/>
    </xf>
    <xf numFmtId="0" fontId="4" fillId="7" borderId="8" xfId="0" applyFont="1" applyFill="1" applyBorder="1" applyAlignment="1">
      <alignment horizontal="left" wrapText="1"/>
    </xf>
    <xf numFmtId="0" fontId="25" fillId="7" borderId="3" xfId="0" applyFont="1" applyFill="1" applyBorder="1" applyAlignment="1">
      <alignment horizontal="center" wrapText="1"/>
    </xf>
    <xf numFmtId="0" fontId="25" fillId="7" borderId="4" xfId="0" applyFont="1" applyFill="1" applyBorder="1" applyAlignment="1">
      <alignment horizontal="center" wrapText="1"/>
    </xf>
    <xf numFmtId="0" fontId="25" fillId="7" borderId="5" xfId="0" applyFont="1" applyFill="1" applyBorder="1" applyAlignment="1">
      <alignment horizontal="center" wrapText="1"/>
    </xf>
    <xf numFmtId="0" fontId="22" fillId="7" borderId="3" xfId="0" applyFont="1" applyFill="1" applyBorder="1" applyAlignment="1">
      <alignment horizontal="center" vertical="center" wrapText="1"/>
    </xf>
    <xf numFmtId="0" fontId="22" fillId="7" borderId="5" xfId="0" applyFont="1" applyFill="1" applyBorder="1" applyAlignment="1">
      <alignment horizontal="center" vertical="center" wrapText="1"/>
    </xf>
    <xf numFmtId="43" fontId="24" fillId="7" borderId="3" xfId="0" applyNumberFormat="1" applyFont="1" applyFill="1" applyBorder="1" applyAlignment="1">
      <alignment horizontal="center" wrapText="1"/>
    </xf>
    <xf numFmtId="43" fontId="24" fillId="7" borderId="5" xfId="0" applyNumberFormat="1" applyFont="1" applyFill="1" applyBorder="1" applyAlignment="1">
      <alignment horizontal="center" wrapText="1"/>
    </xf>
    <xf numFmtId="0" fontId="25" fillId="7" borderId="3" xfId="0" applyFont="1" applyFill="1" applyBorder="1" applyAlignment="1">
      <alignment horizontal="center" vertical="center" wrapText="1"/>
    </xf>
    <xf numFmtId="0" fontId="25" fillId="7" borderId="5" xfId="0" applyFont="1" applyFill="1" applyBorder="1" applyAlignment="1">
      <alignment horizontal="center" vertical="center" wrapText="1"/>
    </xf>
    <xf numFmtId="0" fontId="22" fillId="7" borderId="1" xfId="0" applyFont="1" applyFill="1" applyBorder="1" applyAlignment="1">
      <alignment horizontal="left" wrapText="1"/>
    </xf>
    <xf numFmtId="0" fontId="25" fillId="7" borderId="3" xfId="0" applyFont="1" applyFill="1" applyBorder="1" applyAlignment="1">
      <alignment horizontal="left" wrapText="1"/>
    </xf>
    <xf numFmtId="0" fontId="25" fillId="7" borderId="4" xfId="0" applyFont="1" applyFill="1" applyBorder="1" applyAlignment="1">
      <alignment horizontal="left" wrapText="1"/>
    </xf>
    <xf numFmtId="0" fontId="25" fillId="7" borderId="5" xfId="0" applyFont="1" applyFill="1" applyBorder="1" applyAlignment="1">
      <alignment horizontal="left" wrapText="1"/>
    </xf>
    <xf numFmtId="4" fontId="22" fillId="7" borderId="3" xfId="0" applyNumberFormat="1" applyFont="1" applyFill="1" applyBorder="1" applyAlignment="1">
      <alignment horizontal="center" wrapText="1"/>
    </xf>
    <xf numFmtId="4" fontId="22" fillId="7" borderId="5" xfId="0" applyNumberFormat="1" applyFont="1" applyFill="1" applyBorder="1" applyAlignment="1">
      <alignment horizontal="center" wrapText="1"/>
    </xf>
    <xf numFmtId="0" fontId="4" fillId="7" borderId="7" xfId="0" applyFont="1" applyFill="1" applyBorder="1" applyAlignment="1">
      <alignment horizontal="center" wrapText="1"/>
    </xf>
    <xf numFmtId="0" fontId="4" fillId="7" borderId="14" xfId="0" applyFont="1" applyFill="1" applyBorder="1" applyAlignment="1">
      <alignment horizontal="center" wrapText="1"/>
    </xf>
    <xf numFmtId="0" fontId="4" fillId="7" borderId="8" xfId="0" applyFont="1" applyFill="1" applyBorder="1" applyAlignment="1">
      <alignment horizontal="center" wrapText="1"/>
    </xf>
    <xf numFmtId="43" fontId="4" fillId="7" borderId="1" xfId="1" applyNumberFormat="1" applyFont="1" applyFill="1" applyBorder="1" applyAlignment="1">
      <alignment horizontal="left" vertical="top" wrapText="1"/>
    </xf>
    <xf numFmtId="0" fontId="22" fillId="7" borderId="1" xfId="0" applyFont="1" applyFill="1" applyBorder="1" applyAlignment="1">
      <alignment wrapText="1"/>
    </xf>
    <xf numFmtId="0" fontId="22" fillId="7" borderId="1" xfId="0" applyFont="1" applyFill="1" applyBorder="1" applyAlignment="1"/>
    <xf numFmtId="0" fontId="22" fillId="7" borderId="4" xfId="0" applyFont="1" applyFill="1" applyBorder="1" applyAlignment="1">
      <alignment horizontal="center" wrapText="1"/>
    </xf>
    <xf numFmtId="0" fontId="25" fillId="7" borderId="1" xfId="0" applyFont="1" applyFill="1" applyBorder="1" applyAlignment="1">
      <alignment horizontal="center" wrapText="1"/>
    </xf>
    <xf numFmtId="43" fontId="24" fillId="7" borderId="1" xfId="0" applyNumberFormat="1" applyFont="1" applyFill="1" applyBorder="1" applyAlignment="1">
      <alignment horizontal="center" wrapText="1"/>
    </xf>
    <xf numFmtId="0" fontId="24" fillId="6" borderId="6" xfId="0" applyFont="1" applyFill="1" applyBorder="1" applyAlignment="1">
      <alignment horizontal="center"/>
    </xf>
    <xf numFmtId="0" fontId="24" fillId="6" borderId="4" xfId="0" applyFont="1" applyFill="1" applyBorder="1" applyAlignment="1">
      <alignment horizontal="center"/>
    </xf>
    <xf numFmtId="0" fontId="22" fillId="7" borderId="9" xfId="0" applyFont="1" applyFill="1" applyBorder="1" applyAlignment="1">
      <alignment horizontal="left" wrapText="1"/>
    </xf>
    <xf numFmtId="0" fontId="22" fillId="7" borderId="10" xfId="0" applyFont="1" applyFill="1" applyBorder="1" applyAlignment="1">
      <alignment horizontal="left" wrapText="1"/>
    </xf>
    <xf numFmtId="0" fontId="22" fillId="7" borderId="11" xfId="0" applyFont="1" applyFill="1" applyBorder="1" applyAlignment="1">
      <alignment horizontal="left" wrapText="1"/>
    </xf>
    <xf numFmtId="0" fontId="0" fillId="7" borderId="12" xfId="0" applyFont="1" applyFill="1" applyBorder="1" applyAlignment="1">
      <alignment horizontal="left" wrapText="1"/>
    </xf>
    <xf numFmtId="0" fontId="0" fillId="7" borderId="6" xfId="0" applyFont="1" applyFill="1" applyBorder="1" applyAlignment="1">
      <alignment horizontal="left" wrapText="1"/>
    </xf>
    <xf numFmtId="0" fontId="0" fillId="7" borderId="13" xfId="0" applyFont="1" applyFill="1" applyBorder="1" applyAlignment="1">
      <alignment horizontal="left" wrapText="1"/>
    </xf>
    <xf numFmtId="0" fontId="2" fillId="7" borderId="9" xfId="0" applyFont="1" applyFill="1" applyBorder="1" applyAlignment="1">
      <alignment horizontal="center" wrapText="1"/>
    </xf>
    <xf numFmtId="0" fontId="2" fillId="7" borderId="2" xfId="0" applyFont="1" applyFill="1" applyBorder="1" applyAlignment="1">
      <alignment horizontal="center" wrapText="1"/>
    </xf>
    <xf numFmtId="0" fontId="2" fillId="7" borderId="12" xfId="0" applyFont="1" applyFill="1" applyBorder="1" applyAlignment="1">
      <alignment horizontal="center" wrapText="1"/>
    </xf>
    <xf numFmtId="0" fontId="22" fillId="7" borderId="3" xfId="0" applyFont="1" applyFill="1" applyBorder="1" applyAlignment="1">
      <alignment horizontal="left" vertical="top" wrapText="1"/>
    </xf>
    <xf numFmtId="0" fontId="22" fillId="7" borderId="4" xfId="0" applyFont="1" applyFill="1" applyBorder="1" applyAlignment="1">
      <alignment horizontal="left" vertical="top" wrapText="1"/>
    </xf>
    <xf numFmtId="0" fontId="22" fillId="7" borderId="5" xfId="0" applyFont="1" applyFill="1" applyBorder="1" applyAlignment="1">
      <alignment horizontal="left" vertical="top" wrapText="1"/>
    </xf>
    <xf numFmtId="43" fontId="22" fillId="7" borderId="1" xfId="1" applyFont="1" applyFill="1" applyBorder="1" applyAlignment="1">
      <alignment horizontal="center" wrapText="1"/>
    </xf>
    <xf numFmtId="4" fontId="5" fillId="7" borderId="1" xfId="0" applyNumberFormat="1" applyFont="1" applyFill="1" applyBorder="1" applyAlignment="1">
      <alignment horizontal="center" wrapText="1"/>
    </xf>
    <xf numFmtId="0" fontId="24" fillId="7" borderId="1" xfId="0" applyFont="1" applyFill="1" applyBorder="1" applyAlignment="1">
      <alignment horizontal="center" wrapText="1"/>
    </xf>
    <xf numFmtId="4" fontId="25" fillId="7" borderId="3" xfId="0" applyNumberFormat="1" applyFont="1" applyFill="1" applyBorder="1" applyAlignment="1">
      <alignment horizontal="center" wrapText="1"/>
    </xf>
    <xf numFmtId="4" fontId="25" fillId="7" borderId="5" xfId="0" applyNumberFormat="1" applyFont="1" applyFill="1" applyBorder="1" applyAlignment="1">
      <alignment horizontal="center" wrapText="1"/>
    </xf>
    <xf numFmtId="0" fontId="24" fillId="7" borderId="0" xfId="0" applyFont="1" applyFill="1" applyAlignment="1">
      <alignment horizontal="center"/>
    </xf>
    <xf numFmtId="0" fontId="26" fillId="7" borderId="7" xfId="0" applyFont="1" applyFill="1" applyBorder="1" applyAlignment="1">
      <alignment horizontal="center" vertical="top" wrapText="1"/>
    </xf>
    <xf numFmtId="0" fontId="26" fillId="7" borderId="8" xfId="0" applyFont="1" applyFill="1" applyBorder="1" applyAlignment="1">
      <alignment horizontal="center" vertical="top" wrapText="1"/>
    </xf>
    <xf numFmtId="0" fontId="26" fillId="7" borderId="4" xfId="0" applyFont="1" applyFill="1" applyBorder="1" applyAlignment="1">
      <alignment horizontal="center" vertical="top" wrapText="1"/>
    </xf>
    <xf numFmtId="3" fontId="22" fillId="7" borderId="1" xfId="0" applyNumberFormat="1" applyFont="1" applyFill="1" applyBorder="1" applyAlignment="1">
      <alignment horizontal="center" wrapText="1"/>
    </xf>
    <xf numFmtId="43" fontId="25" fillId="7" borderId="1" xfId="1" applyFont="1" applyFill="1" applyBorder="1" applyAlignment="1">
      <alignment horizontal="center" wrapText="1"/>
    </xf>
    <xf numFmtId="0" fontId="0" fillId="7" borderId="4" xfId="0" applyFont="1" applyFill="1" applyBorder="1" applyAlignment="1">
      <alignment horizontal="left" wrapText="1"/>
    </xf>
    <xf numFmtId="0" fontId="0" fillId="7" borderId="5" xfId="0" applyFont="1" applyFill="1" applyBorder="1" applyAlignment="1">
      <alignment horizontal="left" wrapText="1"/>
    </xf>
    <xf numFmtId="0" fontId="24" fillId="6" borderId="0" xfId="0" applyFont="1" applyFill="1" applyAlignment="1">
      <alignment horizontal="center"/>
    </xf>
    <xf numFmtId="0" fontId="22" fillId="7" borderId="7" xfId="0" applyFont="1" applyFill="1" applyBorder="1" applyAlignment="1">
      <alignment horizontal="center" wrapText="1"/>
    </xf>
    <xf numFmtId="0" fontId="0" fillId="7" borderId="8" xfId="0" applyFont="1" applyFill="1" applyBorder="1" applyAlignment="1">
      <alignment horizontal="center" wrapText="1"/>
    </xf>
    <xf numFmtId="0" fontId="23" fillId="7" borderId="7" xfId="0" applyFont="1" applyFill="1" applyBorder="1" applyAlignment="1">
      <alignment horizontal="left" wrapText="1"/>
    </xf>
    <xf numFmtId="0" fontId="23" fillId="7" borderId="8" xfId="0" applyFont="1" applyFill="1" applyBorder="1" applyAlignment="1">
      <alignment horizontal="left" wrapText="1"/>
    </xf>
    <xf numFmtId="0" fontId="22" fillId="7" borderId="14" xfId="0" applyFont="1" applyFill="1" applyBorder="1" applyAlignment="1">
      <alignment horizontal="center" wrapText="1"/>
    </xf>
    <xf numFmtId="0" fontId="22" fillId="7" borderId="8" xfId="0" applyFont="1" applyFill="1" applyBorder="1" applyAlignment="1">
      <alignment horizontal="center" wrapText="1"/>
    </xf>
    <xf numFmtId="172" fontId="22" fillId="7" borderId="1" xfId="0" applyNumberFormat="1" applyFont="1" applyFill="1" applyBorder="1" applyAlignment="1">
      <alignment horizontal="center" wrapText="1"/>
    </xf>
    <xf numFmtId="179" fontId="22" fillId="7" borderId="3" xfId="0" applyNumberFormat="1" applyFont="1" applyFill="1" applyBorder="1" applyAlignment="1">
      <alignment horizontal="center" wrapText="1"/>
    </xf>
    <xf numFmtId="179" fontId="22" fillId="7" borderId="5" xfId="0" applyNumberFormat="1" applyFont="1" applyFill="1" applyBorder="1" applyAlignment="1">
      <alignment horizontal="center" wrapText="1"/>
    </xf>
    <xf numFmtId="176" fontId="22" fillId="7" borderId="1" xfId="1" applyNumberFormat="1" applyFont="1" applyFill="1" applyBorder="1" applyAlignment="1">
      <alignment horizontal="center" wrapText="1"/>
    </xf>
    <xf numFmtId="0" fontId="22" fillId="7" borderId="7" xfId="0" applyFont="1" applyFill="1" applyBorder="1" applyAlignment="1">
      <alignment horizontal="center" vertical="center" wrapText="1"/>
    </xf>
    <xf numFmtId="0" fontId="0" fillId="7" borderId="8" xfId="0" applyFont="1" applyFill="1" applyBorder="1" applyAlignment="1">
      <alignment horizontal="center" vertical="center" wrapText="1"/>
    </xf>
    <xf numFmtId="171" fontId="22" fillId="7" borderId="3" xfId="1" applyNumberFormat="1" applyFont="1" applyFill="1" applyBorder="1" applyAlignment="1">
      <alignment horizontal="center" wrapText="1"/>
    </xf>
    <xf numFmtId="171" fontId="22" fillId="7" borderId="5" xfId="1" applyNumberFormat="1" applyFont="1" applyFill="1" applyBorder="1" applyAlignment="1">
      <alignment horizontal="center" wrapText="1"/>
    </xf>
    <xf numFmtId="43" fontId="22" fillId="7" borderId="3" xfId="1" applyNumberFormat="1" applyFont="1" applyFill="1" applyBorder="1" applyAlignment="1">
      <alignment horizontal="center" wrapText="1"/>
    </xf>
    <xf numFmtId="43" fontId="22" fillId="7" borderId="5" xfId="1" applyNumberFormat="1" applyFont="1" applyFill="1" applyBorder="1" applyAlignment="1">
      <alignment horizontal="center" wrapText="1"/>
    </xf>
    <xf numFmtId="0" fontId="23" fillId="7" borderId="3" xfId="0" applyFont="1" applyFill="1" applyBorder="1" applyAlignment="1">
      <alignment horizontal="left" wrapText="1"/>
    </xf>
    <xf numFmtId="0" fontId="23" fillId="7" borderId="4" xfId="0" applyFont="1" applyFill="1" applyBorder="1" applyAlignment="1">
      <alignment horizontal="left" wrapText="1"/>
    </xf>
    <xf numFmtId="0" fontId="23" fillId="7" borderId="5" xfId="0" applyFont="1" applyFill="1" applyBorder="1" applyAlignment="1">
      <alignment horizontal="left" wrapText="1"/>
    </xf>
    <xf numFmtId="169" fontId="22" fillId="7" borderId="3" xfId="1" applyNumberFormat="1" applyFont="1" applyFill="1" applyBorder="1" applyAlignment="1"/>
    <xf numFmtId="169" fontId="22" fillId="7" borderId="5" xfId="1" applyNumberFormat="1" applyFont="1" applyFill="1" applyBorder="1" applyAlignment="1"/>
    <xf numFmtId="0" fontId="22" fillId="7" borderId="3" xfId="0" applyFont="1" applyFill="1" applyBorder="1" applyAlignment="1">
      <alignment wrapText="1"/>
    </xf>
    <xf numFmtId="0" fontId="22" fillId="7" borderId="4" xfId="0" applyFont="1" applyFill="1" applyBorder="1" applyAlignment="1">
      <alignment wrapText="1"/>
    </xf>
    <xf numFmtId="0" fontId="22" fillId="7" borderId="5" xfId="0" applyFont="1" applyFill="1" applyBorder="1" applyAlignment="1">
      <alignment wrapText="1"/>
    </xf>
    <xf numFmtId="170" fontId="22" fillId="7" borderId="7" xfId="1" applyNumberFormat="1" applyFont="1" applyFill="1" applyBorder="1" applyAlignment="1">
      <alignment horizontal="center"/>
    </xf>
    <xf numFmtId="170" fontId="22" fillId="7" borderId="8" xfId="1" applyNumberFormat="1" applyFont="1" applyFill="1" applyBorder="1" applyAlignment="1">
      <alignment horizontal="center"/>
    </xf>
    <xf numFmtId="2" fontId="5" fillId="7" borderId="1" xfId="0" applyNumberFormat="1" applyFont="1" applyFill="1" applyBorder="1" applyAlignment="1">
      <alignment horizontal="center" vertical="center" wrapText="1"/>
    </xf>
    <xf numFmtId="171" fontId="22" fillId="7" borderId="1" xfId="1" applyNumberFormat="1" applyFont="1" applyFill="1" applyBorder="1" applyAlignment="1">
      <alignment horizontal="center" wrapText="1"/>
    </xf>
    <xf numFmtId="43" fontId="25" fillId="7" borderId="3" xfId="0" applyNumberFormat="1" applyFont="1" applyFill="1" applyBorder="1" applyAlignment="1">
      <alignment horizontal="center" wrapText="1"/>
    </xf>
    <xf numFmtId="43" fontId="25" fillId="7" borderId="5" xfId="0" applyNumberFormat="1" applyFont="1" applyFill="1" applyBorder="1" applyAlignment="1">
      <alignment horizontal="center" wrapText="1"/>
    </xf>
    <xf numFmtId="0" fontId="22" fillId="7" borderId="3" xfId="0" applyFont="1" applyFill="1" applyBorder="1" applyAlignment="1"/>
    <xf numFmtId="0" fontId="22" fillId="7" borderId="5" xfId="0" applyFont="1" applyFill="1" applyBorder="1" applyAlignment="1"/>
    <xf numFmtId="0" fontId="25" fillId="7" borderId="4" xfId="0" applyFont="1" applyFill="1" applyBorder="1" applyAlignment="1">
      <alignment horizontal="left"/>
    </xf>
    <xf numFmtId="43" fontId="22" fillId="7" borderId="3" xfId="0" applyNumberFormat="1" applyFont="1" applyFill="1" applyBorder="1" applyAlignment="1"/>
    <xf numFmtId="43" fontId="22" fillId="7" borderId="5" xfId="0" applyNumberFormat="1" applyFont="1" applyFill="1" applyBorder="1" applyAlignment="1"/>
    <xf numFmtId="172" fontId="22" fillId="7" borderId="3" xfId="0" applyNumberFormat="1" applyFont="1" applyFill="1" applyBorder="1" applyAlignment="1">
      <alignment horizontal="center" wrapText="1"/>
    </xf>
    <xf numFmtId="172" fontId="22" fillId="7" borderId="5" xfId="0" applyNumberFormat="1" applyFont="1" applyFill="1" applyBorder="1" applyAlignment="1">
      <alignment horizontal="center" wrapText="1"/>
    </xf>
    <xf numFmtId="0" fontId="26" fillId="7" borderId="3" xfId="0" applyFont="1" applyFill="1" applyBorder="1" applyAlignment="1">
      <alignment horizontal="center" vertical="center" wrapText="1"/>
    </xf>
    <xf numFmtId="0" fontId="26" fillId="7" borderId="5" xfId="0" applyFont="1" applyFill="1" applyBorder="1" applyAlignment="1">
      <alignment horizontal="center" vertical="center" wrapText="1"/>
    </xf>
    <xf numFmtId="172" fontId="0" fillId="7" borderId="5" xfId="0" applyNumberFormat="1" applyFont="1" applyFill="1" applyBorder="1" applyAlignment="1">
      <alignment horizontal="center" wrapText="1"/>
    </xf>
    <xf numFmtId="0" fontId="24" fillId="7" borderId="0" xfId="0" applyFont="1" applyFill="1" applyAlignment="1">
      <alignment horizontal="center" wrapText="1"/>
    </xf>
    <xf numFmtId="43" fontId="25" fillId="7" borderId="1" xfId="1" applyNumberFormat="1" applyFont="1" applyFill="1" applyBorder="1" applyAlignment="1"/>
    <xf numFmtId="0" fontId="25" fillId="7" borderId="3" xfId="0" applyFont="1" applyFill="1" applyBorder="1" applyAlignment="1">
      <alignment horizontal="right" wrapText="1"/>
    </xf>
    <xf numFmtId="0" fontId="25" fillId="7" borderId="4" xfId="0" applyFont="1" applyFill="1" applyBorder="1" applyAlignment="1">
      <alignment horizontal="right" wrapText="1"/>
    </xf>
    <xf numFmtId="0" fontId="25" fillId="7" borderId="5" xfId="0" applyFont="1" applyFill="1" applyBorder="1" applyAlignment="1">
      <alignment horizontal="right" wrapText="1"/>
    </xf>
    <xf numFmtId="43" fontId="25" fillId="7" borderId="3" xfId="1" applyNumberFormat="1" applyFont="1" applyFill="1" applyBorder="1" applyAlignment="1">
      <alignment horizontal="center"/>
    </xf>
    <xf numFmtId="43" fontId="25" fillId="7" borderId="5" xfId="1" applyNumberFormat="1" applyFont="1" applyFill="1" applyBorder="1" applyAlignment="1">
      <alignment horizontal="center"/>
    </xf>
    <xf numFmtId="0" fontId="24" fillId="6" borderId="0" xfId="0" applyFont="1" applyFill="1" applyAlignment="1">
      <alignment horizontal="center" wrapText="1"/>
    </xf>
    <xf numFmtId="0" fontId="22" fillId="6" borderId="1" xfId="0" applyFont="1" applyFill="1" applyBorder="1" applyAlignment="1">
      <alignment horizontal="center" vertical="center" wrapText="1"/>
    </xf>
    <xf numFmtId="43" fontId="22" fillId="7" borderId="3" xfId="1" applyFont="1" applyFill="1" applyBorder="1" applyAlignment="1"/>
    <xf numFmtId="43" fontId="22" fillId="7" borderId="5" xfId="1" applyFont="1" applyFill="1" applyBorder="1" applyAlignment="1"/>
    <xf numFmtId="0" fontId="26" fillId="7" borderId="9" xfId="0" applyFont="1" applyFill="1" applyBorder="1" applyAlignment="1">
      <alignment horizontal="center" vertical="top" wrapText="1"/>
    </xf>
    <xf numFmtId="0" fontId="26" fillId="7" borderId="10" xfId="0" applyFont="1" applyFill="1" applyBorder="1" applyAlignment="1">
      <alignment horizontal="center" vertical="top" wrapText="1"/>
    </xf>
    <xf numFmtId="0" fontId="26" fillId="7" borderId="11" xfId="0" applyFont="1" applyFill="1" applyBorder="1" applyAlignment="1">
      <alignment horizontal="center" vertical="top" wrapText="1"/>
    </xf>
    <xf numFmtId="0" fontId="26" fillId="7" borderId="12" xfId="0" applyFont="1" applyFill="1" applyBorder="1" applyAlignment="1">
      <alignment horizontal="center" vertical="top" wrapText="1"/>
    </xf>
    <xf numFmtId="0" fontId="26" fillId="7" borderId="6" xfId="0" applyFont="1" applyFill="1" applyBorder="1" applyAlignment="1">
      <alignment horizontal="center" vertical="top" wrapText="1"/>
    </xf>
    <xf numFmtId="0" fontId="26" fillId="7" borderId="13" xfId="0" applyFont="1" applyFill="1" applyBorder="1" applyAlignment="1">
      <alignment horizontal="center" vertical="top" wrapText="1"/>
    </xf>
    <xf numFmtId="43" fontId="24" fillId="7" borderId="1" xfId="0" applyNumberFormat="1" applyFont="1" applyFill="1" applyBorder="1" applyAlignment="1"/>
    <xf numFmtId="0" fontId="24" fillId="7" borderId="1" xfId="0" applyFont="1" applyFill="1" applyBorder="1" applyAlignment="1"/>
    <xf numFmtId="0" fontId="27" fillId="7" borderId="10" xfId="0" applyNumberFormat="1" applyFont="1" applyFill="1" applyBorder="1" applyAlignment="1">
      <alignment horizontal="center" vertical="top" wrapText="1"/>
    </xf>
    <xf numFmtId="172" fontId="25" fillId="7" borderId="3" xfId="0" applyNumberFormat="1" applyFont="1" applyFill="1" applyBorder="1" applyAlignment="1">
      <alignment horizontal="center" wrapText="1"/>
    </xf>
    <xf numFmtId="172" fontId="25" fillId="7" borderId="5" xfId="0" applyNumberFormat="1" applyFont="1" applyFill="1" applyBorder="1" applyAlignment="1">
      <alignment horizontal="center" wrapText="1"/>
    </xf>
    <xf numFmtId="0" fontId="22" fillId="6" borderId="1" xfId="0" applyFont="1" applyFill="1" applyBorder="1" applyAlignment="1">
      <alignment horizontal="left" vertical="top"/>
    </xf>
    <xf numFmtId="0" fontId="22" fillId="6" borderId="1" xfId="0" applyFont="1" applyFill="1" applyBorder="1" applyAlignment="1">
      <alignment vertical="top"/>
    </xf>
    <xf numFmtId="0" fontId="25" fillId="6" borderId="3" xfId="0" applyFont="1" applyFill="1" applyBorder="1" applyAlignment="1">
      <alignment horizontal="left" vertical="top" wrapText="1"/>
    </xf>
    <xf numFmtId="0" fontId="25" fillId="6" borderId="4" xfId="0" applyFont="1" applyFill="1" applyBorder="1" applyAlignment="1">
      <alignment horizontal="left" vertical="top" wrapText="1"/>
    </xf>
    <xf numFmtId="0" fontId="25" fillId="6" borderId="5" xfId="0" applyFont="1" applyFill="1" applyBorder="1" applyAlignment="1">
      <alignment horizontal="left" vertical="top" wrapText="1"/>
    </xf>
    <xf numFmtId="0" fontId="25" fillId="6" borderId="1" xfId="0" applyFont="1" applyFill="1" applyBorder="1" applyAlignment="1">
      <alignment horizontal="right" vertical="top" wrapText="1"/>
    </xf>
    <xf numFmtId="0" fontId="22" fillId="6" borderId="3" xfId="0" applyFont="1" applyFill="1" applyBorder="1" applyAlignment="1">
      <alignment horizontal="right" vertical="top" wrapText="1"/>
    </xf>
    <xf numFmtId="0" fontId="22" fillId="6" borderId="5" xfId="0" applyFont="1" applyFill="1" applyBorder="1" applyAlignment="1">
      <alignment horizontal="right" vertical="top" wrapText="1"/>
    </xf>
    <xf numFmtId="0" fontId="26" fillId="6" borderId="1" xfId="0" applyFont="1" applyFill="1" applyBorder="1" applyAlignment="1">
      <alignment horizontal="center" vertical="center" wrapText="1"/>
    </xf>
    <xf numFmtId="0" fontId="25" fillId="6" borderId="3" xfId="0" applyFont="1" applyFill="1" applyBorder="1" applyAlignment="1">
      <alignment horizontal="center" wrapText="1"/>
    </xf>
    <xf numFmtId="0" fontId="0" fillId="6" borderId="4" xfId="0" applyFont="1" applyFill="1" applyBorder="1" applyAlignment="1">
      <alignment wrapText="1"/>
    </xf>
    <xf numFmtId="0" fontId="0" fillId="6" borderId="5" xfId="0" applyFont="1" applyFill="1" applyBorder="1" applyAlignment="1">
      <alignment wrapText="1"/>
    </xf>
    <xf numFmtId="2" fontId="22" fillId="6" borderId="1" xfId="0" applyNumberFormat="1" applyFont="1" applyFill="1" applyBorder="1" applyAlignment="1">
      <alignment horizontal="center" wrapText="1"/>
    </xf>
    <xf numFmtId="0" fontId="22" fillId="6" borderId="1" xfId="0" applyFont="1" applyFill="1" applyBorder="1" applyAlignment="1">
      <alignment horizontal="center" wrapText="1"/>
    </xf>
    <xf numFmtId="43" fontId="22" fillId="6" borderId="7" xfId="0" applyNumberFormat="1" applyFont="1" applyFill="1" applyBorder="1" applyAlignment="1">
      <alignment horizontal="center" wrapText="1"/>
    </xf>
    <xf numFmtId="39" fontId="25" fillId="6" borderId="3" xfId="0" applyNumberFormat="1" applyFont="1" applyFill="1" applyBorder="1" applyAlignment="1">
      <alignment horizontal="right" vertical="top" wrapText="1"/>
    </xf>
    <xf numFmtId="39" fontId="25" fillId="6" borderId="5" xfId="0" applyNumberFormat="1" applyFont="1" applyFill="1" applyBorder="1" applyAlignment="1">
      <alignment horizontal="right" vertical="top" wrapText="1"/>
    </xf>
    <xf numFmtId="0" fontId="0" fillId="7" borderId="4" xfId="0" applyFont="1" applyFill="1" applyBorder="1" applyAlignment="1">
      <alignment wrapText="1"/>
    </xf>
    <xf numFmtId="0" fontId="0" fillId="7" borderId="5" xfId="0" applyFont="1" applyFill="1" applyBorder="1" applyAlignment="1">
      <alignment wrapText="1"/>
    </xf>
    <xf numFmtId="0" fontId="25" fillId="7" borderId="3" xfId="0" applyFont="1" applyFill="1" applyBorder="1" applyAlignment="1">
      <alignment horizontal="center" vertical="top" wrapText="1"/>
    </xf>
    <xf numFmtId="0" fontId="25" fillId="7" borderId="4" xfId="0" applyFont="1" applyFill="1" applyBorder="1" applyAlignment="1">
      <alignment horizontal="center" vertical="top" wrapText="1"/>
    </xf>
    <xf numFmtId="0" fontId="25" fillId="7" borderId="5" xfId="0" applyFont="1" applyFill="1" applyBorder="1" applyAlignment="1">
      <alignment horizontal="center" vertical="top" wrapText="1"/>
    </xf>
    <xf numFmtId="0" fontId="22" fillId="6" borderId="3" xfId="0" applyFont="1" applyFill="1" applyBorder="1" applyAlignment="1">
      <alignment horizontal="center" vertical="top" wrapText="1"/>
    </xf>
    <xf numFmtId="0" fontId="22" fillId="6" borderId="5" xfId="0" applyFont="1" applyFill="1" applyBorder="1" applyAlignment="1">
      <alignment horizontal="center" vertical="top" wrapText="1"/>
    </xf>
    <xf numFmtId="170" fontId="22" fillId="7" borderId="3" xfId="1" applyNumberFormat="1" applyFont="1" applyFill="1" applyBorder="1" applyAlignment="1">
      <alignment horizontal="center" vertical="center"/>
    </xf>
    <xf numFmtId="170" fontId="22" fillId="7" borderId="5" xfId="1" applyNumberFormat="1" applyFont="1" applyFill="1" applyBorder="1" applyAlignment="1">
      <alignment horizontal="center" vertical="center"/>
    </xf>
    <xf numFmtId="3" fontId="22" fillId="7" borderId="3" xfId="0" applyNumberFormat="1" applyFont="1" applyFill="1" applyBorder="1" applyAlignment="1">
      <alignment horizontal="center" wrapText="1"/>
    </xf>
    <xf numFmtId="3" fontId="22" fillId="7" borderId="5" xfId="0" applyNumberFormat="1" applyFont="1" applyFill="1" applyBorder="1" applyAlignment="1">
      <alignment horizontal="center" wrapText="1"/>
    </xf>
    <xf numFmtId="0" fontId="24" fillId="6" borderId="3" xfId="0" applyFont="1" applyFill="1" applyBorder="1" applyAlignment="1">
      <alignment horizontal="center" vertical="top"/>
    </xf>
    <xf numFmtId="0" fontId="24" fillId="6" borderId="4" xfId="0" applyFont="1" applyFill="1" applyBorder="1" applyAlignment="1">
      <alignment horizontal="center" vertical="top"/>
    </xf>
    <xf numFmtId="0" fontId="24" fillId="6" borderId="5" xfId="0" applyFont="1" applyFill="1" applyBorder="1" applyAlignment="1">
      <alignment horizontal="center" vertical="top"/>
    </xf>
    <xf numFmtId="0" fontId="26" fillId="7" borderId="1" xfId="0" applyFont="1" applyFill="1" applyBorder="1" applyAlignment="1">
      <alignment horizontal="center" vertical="center" wrapText="1"/>
    </xf>
    <xf numFmtId="0" fontId="25" fillId="6" borderId="3" xfId="0" applyFont="1" applyFill="1" applyBorder="1" applyAlignment="1">
      <alignment horizontal="center" vertical="top" wrapText="1"/>
    </xf>
    <xf numFmtId="0" fontId="25" fillId="6" borderId="4" xfId="0" applyFont="1" applyFill="1" applyBorder="1" applyAlignment="1">
      <alignment horizontal="center" vertical="top" wrapText="1"/>
    </xf>
    <xf numFmtId="0" fontId="22" fillId="7" borderId="1" xfId="0" applyFont="1" applyFill="1" applyBorder="1" applyAlignment="1">
      <alignment horizontal="center" vertical="center" wrapText="1"/>
    </xf>
    <xf numFmtId="172" fontId="44" fillId="7" borderId="4" xfId="0" applyNumberFormat="1" applyFont="1" applyFill="1" applyBorder="1" applyAlignment="1">
      <alignment horizontal="right" vertical="center" wrapText="1"/>
    </xf>
    <xf numFmtId="172" fontId="44" fillId="7" borderId="5" xfId="0" applyNumberFormat="1" applyFont="1" applyFill="1" applyBorder="1" applyAlignment="1">
      <alignment horizontal="right" vertical="center" wrapText="1"/>
    </xf>
    <xf numFmtId="0" fontId="24" fillId="7" borderId="0" xfId="0" applyFont="1" applyFill="1" applyAlignment="1">
      <alignment horizontal="center" vertical="center" wrapText="1"/>
    </xf>
    <xf numFmtId="0" fontId="24" fillId="6" borderId="6" xfId="0" applyFont="1" applyFill="1" applyBorder="1" applyAlignment="1">
      <alignment horizontal="left"/>
    </xf>
    <xf numFmtId="0" fontId="22" fillId="6" borderId="1" xfId="0" applyFont="1" applyFill="1" applyBorder="1" applyAlignment="1">
      <alignment horizontal="center" vertical="top" wrapText="1"/>
    </xf>
    <xf numFmtId="172" fontId="22" fillId="6" borderId="1" xfId="0" applyNumberFormat="1" applyFont="1" applyFill="1" applyBorder="1" applyAlignment="1">
      <alignment horizontal="center" vertical="center" wrapText="1"/>
    </xf>
    <xf numFmtId="0" fontId="24" fillId="6" borderId="1" xfId="0" applyFont="1" applyFill="1" applyBorder="1" applyAlignment="1">
      <alignment horizontal="center" vertical="center" wrapText="1"/>
    </xf>
    <xf numFmtId="0" fontId="25" fillId="6" borderId="1" xfId="0" applyFont="1" applyFill="1" applyBorder="1" applyAlignment="1">
      <alignment horizontal="left" vertical="top" wrapText="1"/>
    </xf>
    <xf numFmtId="0" fontId="22" fillId="6" borderId="1" xfId="0" applyFont="1" applyFill="1" applyBorder="1" applyAlignment="1">
      <alignment vertical="top" wrapText="1"/>
    </xf>
    <xf numFmtId="0" fontId="22" fillId="6" borderId="3" xfId="0" applyFont="1" applyFill="1" applyBorder="1" applyAlignment="1">
      <alignment horizontal="left" vertical="top"/>
    </xf>
    <xf numFmtId="0" fontId="22" fillId="6" borderId="4" xfId="0" applyFont="1" applyFill="1" applyBorder="1" applyAlignment="1">
      <alignment horizontal="left" vertical="top"/>
    </xf>
    <xf numFmtId="0" fontId="22" fillId="6" borderId="5" xfId="0" applyFont="1" applyFill="1" applyBorder="1" applyAlignment="1">
      <alignment horizontal="left" vertical="top"/>
    </xf>
    <xf numFmtId="0" fontId="24" fillId="6" borderId="1" xfId="0" applyFont="1" applyFill="1" applyBorder="1" applyAlignment="1">
      <alignment horizontal="left" vertical="top" wrapText="1"/>
    </xf>
    <xf numFmtId="0" fontId="25" fillId="6" borderId="1" xfId="0" applyFont="1" applyFill="1" applyBorder="1" applyAlignment="1">
      <alignment vertical="top" wrapText="1"/>
    </xf>
    <xf numFmtId="0" fontId="25" fillId="6" borderId="4" xfId="0" applyFont="1" applyFill="1" applyBorder="1" applyAlignment="1">
      <alignment vertical="top" wrapText="1"/>
    </xf>
    <xf numFmtId="0" fontId="25" fillId="6" borderId="5" xfId="0" applyFont="1" applyFill="1" applyBorder="1" applyAlignment="1">
      <alignment vertical="top" wrapText="1"/>
    </xf>
    <xf numFmtId="4" fontId="22" fillId="7" borderId="1" xfId="0" applyNumberFormat="1" applyFont="1" applyFill="1" applyBorder="1" applyAlignment="1">
      <alignment horizontal="center" wrapText="1"/>
    </xf>
    <xf numFmtId="43" fontId="23" fillId="7" borderId="1" xfId="1" applyNumberFormat="1" applyFont="1" applyFill="1" applyBorder="1" applyAlignment="1">
      <alignment horizontal="center" wrapText="1"/>
    </xf>
    <xf numFmtId="43" fontId="22" fillId="7" borderId="1" xfId="0" applyNumberFormat="1" applyFont="1" applyFill="1" applyBorder="1" applyAlignment="1"/>
    <xf numFmtId="4" fontId="65" fillId="7" borderId="8" xfId="0" applyNumberFormat="1" applyFont="1" applyFill="1" applyBorder="1" applyAlignment="1">
      <alignment horizontal="center" wrapText="1"/>
    </xf>
    <xf numFmtId="43" fontId="23" fillId="7" borderId="8" xfId="1" applyNumberFormat="1" applyFont="1" applyFill="1" applyBorder="1" applyAlignment="1">
      <alignment horizontal="right" vertical="center" wrapText="1"/>
    </xf>
    <xf numFmtId="0" fontId="22" fillId="6" borderId="4" xfId="0" applyFont="1" applyFill="1" applyBorder="1" applyAlignment="1">
      <alignment horizontal="center" vertical="top" wrapText="1"/>
    </xf>
    <xf numFmtId="172" fontId="64" fillId="7" borderId="1" xfId="0" applyNumberFormat="1" applyFont="1" applyFill="1" applyBorder="1" applyAlignment="1">
      <alignment horizontal="center" wrapText="1"/>
    </xf>
    <xf numFmtId="43" fontId="23" fillId="7" borderId="3" xfId="1" applyNumberFormat="1" applyFont="1" applyFill="1" applyBorder="1" applyAlignment="1">
      <alignment horizontal="center" wrapText="1"/>
    </xf>
    <xf numFmtId="43" fontId="23" fillId="7" borderId="5" xfId="1" applyNumberFormat="1" applyFont="1" applyFill="1" applyBorder="1" applyAlignment="1">
      <alignment horizontal="center" wrapText="1"/>
    </xf>
    <xf numFmtId="0" fontId="26" fillId="6" borderId="1" xfId="0" applyFont="1" applyFill="1" applyBorder="1" applyAlignment="1">
      <alignment horizontal="center" vertical="top" wrapText="1"/>
    </xf>
    <xf numFmtId="0" fontId="24" fillId="6" borderId="6" xfId="0" applyFont="1" applyFill="1" applyBorder="1" applyAlignment="1">
      <alignment horizontal="center" wrapText="1"/>
    </xf>
    <xf numFmtId="0" fontId="22" fillId="7" borderId="12" xfId="0" applyFont="1" applyFill="1" applyBorder="1" applyAlignment="1">
      <alignment horizontal="left" wrapText="1"/>
    </xf>
    <xf numFmtId="0" fontId="22" fillId="7" borderId="6" xfId="0" applyFont="1" applyFill="1" applyBorder="1" applyAlignment="1">
      <alignment horizontal="left" wrapText="1"/>
    </xf>
    <xf numFmtId="0" fontId="22" fillId="7" borderId="13" xfId="0" applyFont="1" applyFill="1" applyBorder="1" applyAlignment="1">
      <alignment horizontal="left" wrapText="1"/>
    </xf>
    <xf numFmtId="169" fontId="22" fillId="7" borderId="1" xfId="1" applyNumberFormat="1" applyFont="1" applyFill="1" applyBorder="1" applyAlignment="1"/>
    <xf numFmtId="0" fontId="25" fillId="6" borderId="3" xfId="0" applyFont="1" applyFill="1" applyBorder="1" applyAlignment="1">
      <alignment horizontal="left" vertical="top"/>
    </xf>
    <xf numFmtId="0" fontId="25" fillId="6" borderId="4" xfId="0" applyFont="1" applyFill="1" applyBorder="1" applyAlignment="1">
      <alignment horizontal="left" vertical="top"/>
    </xf>
    <xf numFmtId="0" fontId="25" fillId="6" borderId="5" xfId="0" applyFont="1" applyFill="1" applyBorder="1" applyAlignment="1">
      <alignment horizontal="left" vertical="top"/>
    </xf>
    <xf numFmtId="0" fontId="22" fillId="7" borderId="3" xfId="0" applyFont="1" applyFill="1" applyBorder="1" applyAlignment="1">
      <alignment horizontal="left" vertical="center" wrapText="1"/>
    </xf>
    <xf numFmtId="0" fontId="22" fillId="7" borderId="4" xfId="0" applyFont="1" applyFill="1" applyBorder="1" applyAlignment="1">
      <alignment horizontal="left" vertical="center" wrapText="1"/>
    </xf>
    <xf numFmtId="0" fontId="22" fillId="7" borderId="5" xfId="0" applyFont="1" applyFill="1" applyBorder="1" applyAlignment="1">
      <alignment horizontal="left" vertical="center" wrapText="1"/>
    </xf>
    <xf numFmtId="0" fontId="24" fillId="7" borderId="6" xfId="0" applyFont="1" applyFill="1" applyBorder="1" applyAlignment="1">
      <alignment horizontal="center" wrapText="1"/>
    </xf>
    <xf numFmtId="43" fontId="25" fillId="7" borderId="1" xfId="1" applyNumberFormat="1" applyFont="1" applyFill="1" applyBorder="1" applyAlignment="1">
      <alignment horizontal="center" vertical="center" wrapText="1"/>
    </xf>
    <xf numFmtId="0" fontId="22" fillId="7" borderId="1" xfId="0" applyFont="1" applyFill="1" applyBorder="1" applyAlignment="1">
      <alignment horizontal="right" vertical="top" wrapText="1"/>
    </xf>
    <xf numFmtId="0" fontId="22" fillId="7" borderId="1" xfId="0" applyFont="1" applyFill="1" applyBorder="1" applyAlignment="1">
      <alignment horizontal="justify" wrapText="1"/>
    </xf>
    <xf numFmtId="2" fontId="3" fillId="7" borderId="1" xfId="0" applyNumberFormat="1" applyFont="1" applyFill="1" applyBorder="1" applyAlignment="1">
      <alignment horizontal="center" wrapText="1"/>
    </xf>
    <xf numFmtId="43" fontId="22" fillId="7" borderId="1" xfId="1" applyFont="1" applyFill="1" applyBorder="1" applyAlignment="1"/>
    <xf numFmtId="0" fontId="26" fillId="7" borderId="4" xfId="0" applyFont="1" applyFill="1" applyBorder="1" applyAlignment="1">
      <alignment horizontal="center" vertical="center" wrapText="1"/>
    </xf>
    <xf numFmtId="0" fontId="22" fillId="7" borderId="3" xfId="0" applyFont="1" applyFill="1" applyBorder="1" applyAlignment="1">
      <alignment horizontal="justify" wrapText="1"/>
    </xf>
    <xf numFmtId="0" fontId="22" fillId="7" borderId="4" xfId="0" applyFont="1" applyFill="1" applyBorder="1" applyAlignment="1">
      <alignment horizontal="justify" wrapText="1"/>
    </xf>
    <xf numFmtId="0" fontId="22" fillId="7" borderId="5" xfId="0" applyFont="1" applyFill="1" applyBorder="1" applyAlignment="1">
      <alignment horizontal="justify" wrapText="1"/>
    </xf>
    <xf numFmtId="0" fontId="22" fillId="7" borderId="0" xfId="0" applyFont="1" applyFill="1" applyAlignment="1">
      <alignment horizontal="center"/>
    </xf>
    <xf numFmtId="0" fontId="22" fillId="7" borderId="0" xfId="4" applyFont="1" applyFill="1" applyBorder="1" applyAlignment="1">
      <alignment horizontal="left" wrapText="1"/>
    </xf>
    <xf numFmtId="43" fontId="25" fillId="7" borderId="1" xfId="1" applyFont="1" applyFill="1" applyBorder="1" applyAlignment="1"/>
    <xf numFmtId="43" fontId="25" fillId="7" borderId="3" xfId="1" applyFont="1" applyFill="1" applyBorder="1" applyAlignment="1"/>
    <xf numFmtId="0" fontId="22" fillId="7" borderId="6" xfId="0" applyFont="1" applyFill="1" applyBorder="1" applyAlignment="1">
      <alignment horizontal="left"/>
    </xf>
    <xf numFmtId="0" fontId="25" fillId="7" borderId="10" xfId="0" applyFont="1" applyFill="1" applyBorder="1" applyAlignment="1">
      <alignment horizontal="center" wrapText="1"/>
    </xf>
    <xf numFmtId="167" fontId="22" fillId="7" borderId="1" xfId="0" applyNumberFormat="1" applyFont="1" applyFill="1" applyBorder="1" applyAlignment="1">
      <alignment horizontal="center" wrapText="1"/>
    </xf>
    <xf numFmtId="173" fontId="22" fillId="7" borderId="1" xfId="0" applyNumberFormat="1" applyFont="1" applyFill="1" applyBorder="1" applyAlignment="1">
      <alignment horizontal="center" wrapText="1"/>
    </xf>
    <xf numFmtId="0" fontId="7" fillId="7" borderId="0" xfId="4" applyFont="1" applyFill="1" applyAlignment="1">
      <alignment horizontal="center"/>
    </xf>
    <xf numFmtId="0" fontId="20" fillId="0" borderId="10" xfId="4" applyFont="1" applyFill="1" applyBorder="1" applyAlignment="1">
      <alignment horizontal="center" vertical="top"/>
    </xf>
    <xf numFmtId="0" fontId="20" fillId="0" borderId="10" xfId="4" applyFont="1" applyFill="1" applyBorder="1" applyAlignment="1">
      <alignment horizontal="left" vertical="top"/>
    </xf>
    <xf numFmtId="0" fontId="3" fillId="7" borderId="0" xfId="4" applyFont="1" applyFill="1" applyAlignment="1">
      <alignment horizontal="left"/>
    </xf>
    <xf numFmtId="0" fontId="7" fillId="7" borderId="0" xfId="4" applyFont="1" applyFill="1" applyAlignment="1">
      <alignment horizontal="left"/>
    </xf>
    <xf numFmtId="43" fontId="22" fillId="7" borderId="4" xfId="1" applyFont="1" applyFill="1" applyBorder="1" applyAlignment="1"/>
    <xf numFmtId="0" fontId="6" fillId="7" borderId="10" xfId="4" applyFont="1" applyFill="1" applyBorder="1" applyAlignment="1">
      <alignment horizontal="center" vertical="top"/>
    </xf>
    <xf numFmtId="43" fontId="35" fillId="7" borderId="0" xfId="0" applyNumberFormat="1" applyFont="1" applyFill="1" applyAlignment="1">
      <alignment horizontal="center"/>
    </xf>
    <xf numFmtId="0" fontId="25" fillId="7" borderId="3" xfId="0" applyFont="1" applyFill="1" applyBorder="1" applyAlignment="1">
      <alignment horizontal="center"/>
    </xf>
    <xf numFmtId="0" fontId="25" fillId="7" borderId="5" xfId="0" applyFont="1" applyFill="1" applyBorder="1" applyAlignment="1">
      <alignment horizontal="center"/>
    </xf>
    <xf numFmtId="0" fontId="22" fillId="7" borderId="1" xfId="0" applyFont="1" applyFill="1" applyBorder="1" applyAlignment="1">
      <alignment horizontal="right" wrapText="1"/>
    </xf>
    <xf numFmtId="0" fontId="22" fillId="7" borderId="8" xfId="0" applyFont="1" applyFill="1" applyBorder="1" applyAlignment="1">
      <alignment horizontal="center" vertical="center" wrapText="1"/>
    </xf>
    <xf numFmtId="43" fontId="22" fillId="7" borderId="3" xfId="1" applyFont="1" applyFill="1" applyBorder="1" applyAlignment="1">
      <alignment horizontal="center" vertical="center"/>
    </xf>
    <xf numFmtId="43" fontId="22" fillId="7" borderId="5" xfId="1" applyFont="1" applyFill="1" applyBorder="1" applyAlignment="1">
      <alignment horizontal="center" vertical="center"/>
    </xf>
    <xf numFmtId="0" fontId="22" fillId="7" borderId="9" xfId="0" applyFont="1" applyFill="1" applyBorder="1" applyAlignment="1">
      <alignment horizontal="left" vertical="center" wrapText="1"/>
    </xf>
    <xf numFmtId="0" fontId="22" fillId="7" borderId="10" xfId="0" applyFont="1" applyFill="1" applyBorder="1" applyAlignment="1">
      <alignment horizontal="left" vertical="center" wrapText="1"/>
    </xf>
    <xf numFmtId="0" fontId="22" fillId="7" borderId="11" xfId="0" applyFont="1" applyFill="1" applyBorder="1" applyAlignment="1">
      <alignment horizontal="left" vertical="center" wrapText="1"/>
    </xf>
    <xf numFmtId="0" fontId="0" fillId="7" borderId="12" xfId="0" applyFont="1" applyFill="1" applyBorder="1" applyAlignment="1">
      <alignment horizontal="left" vertical="center" wrapText="1"/>
    </xf>
    <xf numFmtId="0" fontId="0" fillId="7" borderId="6" xfId="0" applyFont="1" applyFill="1" applyBorder="1" applyAlignment="1">
      <alignment horizontal="left" vertical="center" wrapText="1"/>
    </xf>
    <xf numFmtId="0" fontId="0" fillId="7" borderId="13" xfId="0" applyFont="1" applyFill="1" applyBorder="1" applyAlignment="1">
      <alignment horizontal="left" vertical="center" wrapText="1"/>
    </xf>
    <xf numFmtId="172" fontId="22" fillId="7" borderId="7" xfId="1" applyNumberFormat="1" applyFont="1" applyFill="1" applyBorder="1" applyAlignment="1">
      <alignment horizontal="center" vertical="center" wrapText="1"/>
    </xf>
    <xf numFmtId="172" fontId="0" fillId="7" borderId="8" xfId="0" applyNumberFormat="1" applyFont="1" applyFill="1" applyBorder="1" applyAlignment="1">
      <alignment horizontal="center" vertical="center" wrapText="1"/>
    </xf>
    <xf numFmtId="0" fontId="23" fillId="7" borderId="1" xfId="0" applyFont="1" applyFill="1" applyBorder="1" applyAlignment="1">
      <alignment horizontal="left" wrapText="1"/>
    </xf>
    <xf numFmtId="0" fontId="6" fillId="7" borderId="10" xfId="4" applyFont="1" applyFill="1" applyBorder="1" applyAlignment="1">
      <alignment horizontal="left" vertical="top"/>
    </xf>
    <xf numFmtId="43" fontId="22" fillId="7" borderId="6" xfId="0" applyNumberFormat="1" applyFont="1" applyFill="1" applyBorder="1" applyAlignment="1">
      <alignment horizontal="center"/>
    </xf>
    <xf numFmtId="0" fontId="22" fillId="7" borderId="6" xfId="0" applyFont="1" applyFill="1" applyBorder="1" applyAlignment="1">
      <alignment horizontal="center"/>
    </xf>
    <xf numFmtId="43" fontId="22" fillId="7" borderId="3" xfId="1" applyFont="1" applyFill="1" applyBorder="1" applyAlignment="1">
      <alignment horizontal="center"/>
    </xf>
    <xf numFmtId="43" fontId="22" fillId="7" borderId="5" xfId="1" applyFont="1" applyFill="1" applyBorder="1" applyAlignment="1">
      <alignment horizontal="center"/>
    </xf>
    <xf numFmtId="0" fontId="22" fillId="7" borderId="3" xfId="0" applyFont="1" applyFill="1" applyBorder="1" applyAlignment="1">
      <alignment horizontal="right" wrapText="1"/>
    </xf>
    <xf numFmtId="0" fontId="22" fillId="7" borderId="4" xfId="0" applyFont="1" applyFill="1" applyBorder="1" applyAlignment="1">
      <alignment horizontal="right" wrapText="1"/>
    </xf>
    <xf numFmtId="0" fontId="22" fillId="7" borderId="5" xfId="0" applyFont="1" applyFill="1" applyBorder="1" applyAlignment="1">
      <alignment horizontal="right" wrapText="1"/>
    </xf>
    <xf numFmtId="172" fontId="24" fillId="7" borderId="1" xfId="0" applyNumberFormat="1" applyFont="1" applyFill="1" applyBorder="1" applyAlignment="1">
      <alignment horizontal="center" wrapText="1"/>
    </xf>
    <xf numFmtId="172" fontId="25" fillId="7" borderId="1" xfId="0" applyNumberFormat="1" applyFont="1" applyFill="1" applyBorder="1" applyAlignment="1">
      <alignment horizontal="center" wrapText="1"/>
    </xf>
    <xf numFmtId="0" fontId="24" fillId="7" borderId="3" xfId="0" applyFont="1" applyFill="1" applyBorder="1" applyAlignment="1">
      <alignment horizontal="center" wrapText="1"/>
    </xf>
    <xf numFmtId="0" fontId="24" fillId="7" borderId="5" xfId="0" applyFont="1" applyFill="1" applyBorder="1" applyAlignment="1">
      <alignment horizontal="center" wrapText="1"/>
    </xf>
    <xf numFmtId="43" fontId="25" fillId="7" borderId="3" xfId="1" applyNumberFormat="1" applyFont="1" applyFill="1" applyBorder="1" applyAlignment="1"/>
    <xf numFmtId="43" fontId="25" fillId="7" borderId="5" xfId="1" applyNumberFormat="1" applyFont="1" applyFill="1" applyBorder="1" applyAlignment="1"/>
    <xf numFmtId="43" fontId="22" fillId="7" borderId="3" xfId="1" applyFont="1" applyFill="1" applyBorder="1" applyAlignment="1">
      <alignment horizontal="center" wrapText="1"/>
    </xf>
    <xf numFmtId="43" fontId="22" fillId="7" borderId="5" xfId="1" applyFont="1" applyFill="1" applyBorder="1" applyAlignment="1">
      <alignment horizontal="center" wrapText="1"/>
    </xf>
    <xf numFmtId="0" fontId="22" fillId="7" borderId="1" xfId="0" applyFont="1" applyFill="1" applyBorder="1" applyAlignment="1">
      <alignment horizontal="left" vertical="center" wrapText="1"/>
    </xf>
    <xf numFmtId="0" fontId="0" fillId="7" borderId="1" xfId="0" applyFont="1" applyFill="1" applyBorder="1" applyAlignment="1">
      <alignment horizontal="left" vertical="center" wrapText="1"/>
    </xf>
    <xf numFmtId="172" fontId="22" fillId="7" borderId="3" xfId="0" applyNumberFormat="1" applyFont="1" applyFill="1" applyBorder="1" applyAlignment="1">
      <alignment horizontal="right" wrapText="1"/>
    </xf>
    <xf numFmtId="172" fontId="22" fillId="7" borderId="5" xfId="0" applyNumberFormat="1" applyFont="1" applyFill="1" applyBorder="1" applyAlignment="1">
      <alignment horizontal="right" wrapText="1"/>
    </xf>
    <xf numFmtId="172" fontId="24" fillId="7" borderId="1" xfId="0" applyNumberFormat="1" applyFont="1" applyFill="1" applyBorder="1" applyAlignment="1">
      <alignment horizontal="right" wrapText="1"/>
    </xf>
    <xf numFmtId="172" fontId="22" fillId="7" borderId="7" xfId="1" applyNumberFormat="1" applyFont="1" applyFill="1" applyBorder="1" applyAlignment="1">
      <alignment horizontal="center"/>
    </xf>
    <xf numFmtId="172" fontId="22" fillId="7" borderId="8" xfId="1" applyNumberFormat="1" applyFont="1" applyFill="1" applyBorder="1" applyAlignment="1">
      <alignment horizontal="center"/>
    </xf>
    <xf numFmtId="43" fontId="22" fillId="7" borderId="4" xfId="1" applyFont="1" applyFill="1" applyBorder="1" applyAlignment="1">
      <alignment vertical="center"/>
    </xf>
    <xf numFmtId="43" fontId="22" fillId="7" borderId="5" xfId="1" applyFont="1" applyFill="1" applyBorder="1" applyAlignment="1">
      <alignment vertical="center"/>
    </xf>
    <xf numFmtId="0" fontId="24" fillId="7" borderId="1" xfId="0" applyFont="1" applyFill="1" applyBorder="1" applyAlignment="1">
      <alignment horizontal="right" wrapText="1"/>
    </xf>
    <xf numFmtId="43" fontId="25" fillId="7" borderId="1" xfId="0" applyNumberFormat="1" applyFont="1" applyFill="1" applyBorder="1" applyAlignment="1"/>
    <xf numFmtId="0" fontId="25" fillId="7" borderId="1" xfId="0" applyFont="1" applyFill="1" applyBorder="1" applyAlignment="1"/>
    <xf numFmtId="43" fontId="25" fillId="7" borderId="0" xfId="0" applyNumberFormat="1" applyFont="1" applyFill="1" applyAlignment="1">
      <alignment horizontal="right"/>
    </xf>
    <xf numFmtId="43" fontId="34" fillId="7" borderId="0" xfId="0" applyNumberFormat="1" applyFont="1" applyFill="1" applyAlignment="1">
      <alignment horizontal="center"/>
    </xf>
    <xf numFmtId="0" fontId="24" fillId="7" borderId="4" xfId="0" applyFont="1" applyFill="1" applyBorder="1" applyAlignment="1">
      <alignment horizontal="center" wrapText="1"/>
    </xf>
    <xf numFmtId="43" fontId="24" fillId="7" borderId="4" xfId="1" applyFont="1" applyFill="1" applyBorder="1" applyAlignment="1"/>
    <xf numFmtId="43" fontId="22" fillId="7" borderId="4" xfId="1" applyNumberFormat="1" applyFont="1" applyFill="1" applyBorder="1" applyAlignment="1"/>
    <xf numFmtId="43" fontId="22" fillId="7" borderId="1" xfId="1" applyFont="1" applyFill="1" applyBorder="1" applyAlignment="1">
      <alignment horizontal="center"/>
    </xf>
    <xf numFmtId="43" fontId="25" fillId="7" borderId="4" xfId="1" applyFont="1" applyFill="1" applyBorder="1" applyAlignment="1"/>
    <xf numFmtId="0" fontId="24" fillId="7" borderId="4" xfId="0" applyFont="1" applyFill="1" applyBorder="1" applyAlignment="1">
      <alignment horizontal="center"/>
    </xf>
    <xf numFmtId="4" fontId="25" fillId="7" borderId="1" xfId="0" applyNumberFormat="1" applyFont="1" applyFill="1" applyBorder="1" applyAlignment="1">
      <alignment horizontal="center" wrapText="1"/>
    </xf>
    <xf numFmtId="0" fontId="23" fillId="7" borderId="3" xfId="0" applyFont="1" applyFill="1" applyBorder="1" applyAlignment="1">
      <alignment horizontal="right" wrapText="1"/>
    </xf>
    <xf numFmtId="0" fontId="23" fillId="7" borderId="4" xfId="0" applyFont="1" applyFill="1" applyBorder="1" applyAlignment="1">
      <alignment horizontal="right" wrapText="1"/>
    </xf>
    <xf numFmtId="0" fontId="23" fillId="7" borderId="5" xfId="0" applyFont="1" applyFill="1" applyBorder="1" applyAlignment="1">
      <alignment horizontal="right" wrapText="1"/>
    </xf>
    <xf numFmtId="0" fontId="2" fillId="7" borderId="1" xfId="4" applyFont="1" applyFill="1" applyBorder="1" applyAlignment="1">
      <alignment horizontal="center" wrapText="1"/>
    </xf>
    <xf numFmtId="0" fontId="4" fillId="7" borderId="1" xfId="4" applyFont="1" applyFill="1" applyBorder="1" applyAlignment="1">
      <alignment horizontal="left" wrapText="1"/>
    </xf>
    <xf numFmtId="0" fontId="24" fillId="7" borderId="6" xfId="0" applyFont="1" applyFill="1" applyBorder="1" applyAlignment="1">
      <alignment horizontal="center"/>
    </xf>
    <xf numFmtId="43" fontId="25" fillId="7" borderId="5" xfId="1" applyFont="1" applyFill="1" applyBorder="1" applyAlignment="1"/>
    <xf numFmtId="170" fontId="25" fillId="7" borderId="3" xfId="1" applyNumberFormat="1" applyFont="1" applyFill="1" applyBorder="1" applyAlignment="1">
      <alignment horizontal="right" vertical="center"/>
    </xf>
    <xf numFmtId="170" fontId="25" fillId="7" borderId="5" xfId="1" applyNumberFormat="1" applyFont="1" applyFill="1" applyBorder="1" applyAlignment="1">
      <alignment horizontal="right" vertical="center"/>
    </xf>
    <xf numFmtId="0" fontId="25" fillId="7" borderId="3" xfId="0" applyFont="1" applyFill="1" applyBorder="1" applyAlignment="1">
      <alignment horizontal="center" vertical="center"/>
    </xf>
    <xf numFmtId="0" fontId="25" fillId="7" borderId="5" xfId="0" applyFont="1" applyFill="1" applyBorder="1" applyAlignment="1">
      <alignment horizontal="center" vertical="center"/>
    </xf>
    <xf numFmtId="172" fontId="22" fillId="7" borderId="3" xfId="1" applyNumberFormat="1" applyFont="1" applyFill="1" applyBorder="1" applyAlignment="1">
      <alignment horizontal="right"/>
    </xf>
    <xf numFmtId="172" fontId="22" fillId="7" borderId="5" xfId="1" applyNumberFormat="1" applyFont="1" applyFill="1" applyBorder="1" applyAlignment="1">
      <alignment horizontal="right"/>
    </xf>
    <xf numFmtId="0" fontId="25" fillId="6" borderId="1" xfId="0" applyFont="1" applyFill="1" applyBorder="1" applyAlignment="1">
      <alignment horizontal="left" vertical="top"/>
    </xf>
    <xf numFmtId="0" fontId="25" fillId="6" borderId="1" xfId="0" applyFont="1" applyFill="1" applyBorder="1" applyAlignment="1">
      <alignment vertical="top"/>
    </xf>
    <xf numFmtId="0" fontId="4" fillId="7" borderId="1" xfId="4" applyFont="1" applyFill="1" applyBorder="1" applyAlignment="1">
      <alignment horizontal="center" wrapText="1"/>
    </xf>
    <xf numFmtId="0" fontId="22" fillId="7" borderId="1" xfId="0" applyFont="1" applyFill="1" applyBorder="1" applyAlignment="1">
      <alignment horizontal="center"/>
    </xf>
    <xf numFmtId="43" fontId="24" fillId="7" borderId="5" xfId="1" applyFont="1" applyFill="1" applyBorder="1" applyAlignment="1"/>
    <xf numFmtId="0" fontId="24" fillId="6" borderId="10" xfId="0" applyFont="1" applyFill="1" applyBorder="1" applyAlignment="1">
      <alignment horizontal="center" wrapText="1"/>
    </xf>
    <xf numFmtId="0" fontId="4" fillId="7" borderId="7" xfId="4" applyFont="1" applyFill="1" applyBorder="1" applyAlignment="1">
      <alignment horizontal="center" wrapText="1"/>
    </xf>
    <xf numFmtId="0" fontId="4" fillId="7" borderId="14" xfId="4" applyFont="1" applyFill="1" applyBorder="1" applyAlignment="1">
      <alignment horizontal="center" wrapText="1"/>
    </xf>
    <xf numFmtId="0" fontId="4" fillId="7" borderId="8" xfId="4" applyFont="1" applyFill="1" applyBorder="1" applyAlignment="1">
      <alignment horizontal="center" wrapText="1"/>
    </xf>
    <xf numFmtId="0" fontId="22" fillId="7" borderId="9" xfId="0" applyFont="1" applyFill="1" applyBorder="1" applyAlignment="1">
      <alignment horizontal="center" wrapText="1"/>
    </xf>
    <xf numFmtId="0" fontId="22" fillId="7" borderId="11" xfId="0" applyFont="1" applyFill="1" applyBorder="1" applyAlignment="1">
      <alignment horizontal="center" wrapText="1"/>
    </xf>
    <xf numFmtId="0" fontId="24" fillId="8" borderId="3" xfId="0" applyFont="1" applyFill="1" applyBorder="1" applyAlignment="1">
      <alignment horizontal="center" wrapText="1"/>
    </xf>
    <xf numFmtId="0" fontId="24" fillId="8" borderId="4" xfId="0" applyFont="1" applyFill="1" applyBorder="1" applyAlignment="1">
      <alignment horizontal="center" wrapText="1"/>
    </xf>
    <xf numFmtId="0" fontId="24" fillId="8" borderId="5" xfId="0" applyFont="1" applyFill="1" applyBorder="1" applyAlignment="1">
      <alignment horizontal="center" wrapText="1"/>
    </xf>
    <xf numFmtId="0" fontId="23" fillId="0" borderId="1" xfId="0" applyFont="1" applyBorder="1" applyAlignment="1">
      <alignment horizontal="left" vertical="top" wrapText="1"/>
    </xf>
    <xf numFmtId="0" fontId="23" fillId="0" borderId="1" xfId="0" applyFont="1" applyBorder="1" applyAlignment="1">
      <alignment horizontal="center" vertical="top" wrapText="1"/>
    </xf>
    <xf numFmtId="172" fontId="23" fillId="0" borderId="1" xfId="0" applyNumberFormat="1" applyFont="1" applyBorder="1" applyAlignment="1">
      <alignment horizontal="center" vertical="top" wrapText="1"/>
    </xf>
    <xf numFmtId="0" fontId="22" fillId="0" borderId="3" xfId="0" applyFont="1" applyBorder="1" applyAlignment="1">
      <alignment horizontal="center"/>
    </xf>
    <xf numFmtId="0" fontId="22" fillId="0" borderId="5" xfId="0" applyFont="1" applyBorder="1" applyAlignment="1">
      <alignment horizontal="center"/>
    </xf>
    <xf numFmtId="0" fontId="23" fillId="0" borderId="3" xfId="0" applyFont="1" applyBorder="1" applyAlignment="1">
      <alignment horizontal="center" vertical="top" wrapText="1"/>
    </xf>
    <xf numFmtId="0" fontId="23" fillId="0" borderId="4" xfId="0" applyFont="1" applyBorder="1" applyAlignment="1">
      <alignment horizontal="center" vertical="top" wrapText="1"/>
    </xf>
    <xf numFmtId="0" fontId="23" fillId="0" borderId="5" xfId="0" applyFont="1" applyBorder="1" applyAlignment="1">
      <alignment horizontal="center" vertical="top" wrapText="1"/>
    </xf>
    <xf numFmtId="0" fontId="23" fillId="0" borderId="3" xfId="0" applyFont="1" applyBorder="1" applyAlignment="1">
      <alignment horizontal="left" vertical="top" wrapText="1"/>
    </xf>
    <xf numFmtId="0" fontId="23" fillId="0" borderId="4" xfId="0" applyFont="1" applyBorder="1" applyAlignment="1">
      <alignment horizontal="left" vertical="top" wrapText="1"/>
    </xf>
    <xf numFmtId="0" fontId="23" fillId="0" borderId="5" xfId="0" applyFont="1" applyBorder="1" applyAlignment="1">
      <alignment horizontal="left" vertical="top" wrapText="1"/>
    </xf>
    <xf numFmtId="172" fontId="24" fillId="8" borderId="3" xfId="0" applyNumberFormat="1" applyFont="1" applyFill="1" applyBorder="1" applyAlignment="1">
      <alignment horizontal="center" vertical="top" wrapText="1"/>
    </xf>
    <xf numFmtId="172" fontId="24" fillId="8" borderId="4" xfId="0" applyNumberFormat="1" applyFont="1" applyFill="1" applyBorder="1" applyAlignment="1">
      <alignment horizontal="center" vertical="top" wrapText="1"/>
    </xf>
    <xf numFmtId="172" fontId="24" fillId="8" borderId="5" xfId="0" applyNumberFormat="1" applyFont="1" applyFill="1" applyBorder="1" applyAlignment="1">
      <alignment horizontal="center" vertical="top" wrapText="1"/>
    </xf>
    <xf numFmtId="43" fontId="25" fillId="0" borderId="4" xfId="1" applyFont="1" applyBorder="1" applyAlignment="1"/>
    <xf numFmtId="43" fontId="25" fillId="0" borderId="5" xfId="1" applyFont="1" applyBorder="1" applyAlignment="1"/>
    <xf numFmtId="0" fontId="25" fillId="0" borderId="1" xfId="0" applyFont="1" applyBorder="1" applyAlignment="1">
      <alignment horizontal="right" wrapText="1"/>
    </xf>
    <xf numFmtId="0" fontId="25" fillId="0" borderId="3" xfId="0" applyFont="1" applyBorder="1" applyAlignment="1">
      <alignment horizontal="center" vertical="center"/>
    </xf>
    <xf numFmtId="0" fontId="25" fillId="0" borderId="5" xfId="0" applyFont="1" applyBorder="1" applyAlignment="1">
      <alignment horizontal="center" vertical="center"/>
    </xf>
    <xf numFmtId="0" fontId="25" fillId="0" borderId="1" xfId="0" applyFont="1" applyBorder="1" applyAlignment="1">
      <alignment horizontal="center" wrapText="1"/>
    </xf>
    <xf numFmtId="0" fontId="25" fillId="0" borderId="3" xfId="0" applyFont="1" applyBorder="1" applyAlignment="1">
      <alignment horizontal="center"/>
    </xf>
    <xf numFmtId="0" fontId="25" fillId="0" borderId="5" xfId="0" applyFont="1" applyBorder="1" applyAlignment="1">
      <alignment horizontal="center"/>
    </xf>
    <xf numFmtId="0" fontId="26" fillId="0" borderId="3" xfId="0" applyFont="1" applyBorder="1" applyAlignment="1">
      <alignment horizontal="center" vertical="top" wrapText="1"/>
    </xf>
    <xf numFmtId="0" fontId="26" fillId="0" borderId="5" xfId="0" applyFont="1" applyBorder="1" applyAlignment="1">
      <alignment horizontal="center" vertical="top" wrapText="1"/>
    </xf>
    <xf numFmtId="0" fontId="26" fillId="0" borderId="1" xfId="0" applyFont="1" applyBorder="1" applyAlignment="1">
      <alignment horizontal="center" vertical="top" wrapText="1"/>
    </xf>
    <xf numFmtId="43" fontId="25" fillId="0" borderId="1" xfId="0" applyNumberFormat="1" applyFont="1" applyBorder="1" applyAlignment="1">
      <alignment horizontal="center" wrapText="1"/>
    </xf>
    <xf numFmtId="0" fontId="25" fillId="0" borderId="1" xfId="0" applyFont="1" applyBorder="1" applyAlignment="1">
      <alignment horizontal="center"/>
    </xf>
    <xf numFmtId="0" fontId="22" fillId="2" borderId="3" xfId="0" applyFont="1" applyFill="1" applyBorder="1" applyAlignment="1">
      <alignment horizontal="center" vertical="center" wrapText="1"/>
    </xf>
    <xf numFmtId="0" fontId="22" fillId="2" borderId="5" xfId="0" applyFont="1" applyFill="1" applyBorder="1" applyAlignment="1">
      <alignment horizontal="center" vertical="center" wrapText="1"/>
    </xf>
    <xf numFmtId="170" fontId="22" fillId="2" borderId="3" xfId="1" applyNumberFormat="1" applyFont="1" applyFill="1" applyBorder="1" applyAlignment="1">
      <alignment horizontal="right" vertical="center"/>
    </xf>
    <xf numFmtId="170" fontId="22" fillId="2" borderId="5" xfId="1" applyNumberFormat="1" applyFont="1" applyFill="1" applyBorder="1" applyAlignment="1">
      <alignment horizontal="right" vertical="center"/>
    </xf>
    <xf numFmtId="0" fontId="23" fillId="7" borderId="3" xfId="0" applyFont="1" applyFill="1" applyBorder="1" applyAlignment="1">
      <alignment horizontal="center" wrapText="1"/>
    </xf>
    <xf numFmtId="0" fontId="23" fillId="7" borderId="5" xfId="0" applyFont="1" applyFill="1" applyBorder="1" applyAlignment="1">
      <alignment horizontal="center" wrapText="1"/>
    </xf>
    <xf numFmtId="172" fontId="23" fillId="7" borderId="3" xfId="0" applyNumberFormat="1" applyFont="1" applyFill="1" applyBorder="1" applyAlignment="1">
      <alignment horizontal="center" wrapText="1"/>
    </xf>
    <xf numFmtId="172" fontId="23" fillId="7" borderId="5" xfId="0" applyNumberFormat="1" applyFont="1" applyFill="1" applyBorder="1" applyAlignment="1">
      <alignment horizontal="center" wrapText="1"/>
    </xf>
    <xf numFmtId="0" fontId="22" fillId="2" borderId="3" xfId="0" applyFont="1" applyFill="1" applyBorder="1" applyAlignment="1">
      <alignment horizontal="left" wrapText="1"/>
    </xf>
    <xf numFmtId="0" fontId="22" fillId="2" borderId="4" xfId="0" applyFont="1" applyFill="1" applyBorder="1" applyAlignment="1">
      <alignment horizontal="left" wrapText="1"/>
    </xf>
    <xf numFmtId="0" fontId="22" fillId="2" borderId="5" xfId="0" applyFont="1" applyFill="1" applyBorder="1" applyAlignment="1">
      <alignment horizontal="left" wrapText="1"/>
    </xf>
    <xf numFmtId="0" fontId="23" fillId="0" borderId="3" xfId="0" applyFont="1" applyBorder="1" applyAlignment="1">
      <alignment horizontal="center" wrapText="1"/>
    </xf>
    <xf numFmtId="0" fontId="23" fillId="0" borderId="5" xfId="0" applyFont="1" applyBorder="1" applyAlignment="1">
      <alignment horizontal="center" wrapText="1"/>
    </xf>
    <xf numFmtId="0" fontId="22" fillId="2" borderId="3" xfId="0" applyFont="1" applyFill="1" applyBorder="1" applyAlignment="1">
      <alignment horizontal="center" wrapText="1"/>
    </xf>
    <xf numFmtId="0" fontId="22" fillId="2" borderId="5" xfId="0" applyFont="1" applyFill="1" applyBorder="1" applyAlignment="1">
      <alignment horizontal="center" wrapText="1"/>
    </xf>
    <xf numFmtId="43" fontId="22" fillId="0" borderId="4" xfId="1" applyFont="1" applyBorder="1" applyAlignment="1"/>
    <xf numFmtId="43" fontId="22" fillId="0" borderId="5" xfId="1" applyFont="1" applyBorder="1" applyAlignment="1"/>
    <xf numFmtId="43" fontId="22" fillId="0" borderId="1" xfId="0" applyNumberFormat="1" applyFont="1" applyBorder="1" applyAlignment="1">
      <alignment horizontal="center" wrapText="1"/>
    </xf>
    <xf numFmtId="0" fontId="23" fillId="0" borderId="1" xfId="0" applyFont="1" applyBorder="1" applyAlignment="1">
      <alignment horizontal="left" wrapText="1"/>
    </xf>
    <xf numFmtId="0" fontId="24" fillId="9" borderId="4" xfId="0" applyFont="1" applyFill="1" applyBorder="1" applyAlignment="1">
      <alignment horizontal="center"/>
    </xf>
    <xf numFmtId="43" fontId="22" fillId="0" borderId="3" xfId="1" applyFont="1" applyBorder="1" applyAlignment="1">
      <alignment horizontal="center"/>
    </xf>
    <xf numFmtId="43" fontId="22" fillId="0" borderId="5" xfId="1" applyFont="1" applyBorder="1" applyAlignment="1">
      <alignment horizontal="center"/>
    </xf>
    <xf numFmtId="0" fontId="22" fillId="0" borderId="1" xfId="0" applyFont="1" applyBorder="1" applyAlignment="1">
      <alignment horizontal="right" wrapText="1"/>
    </xf>
    <xf numFmtId="4" fontId="22" fillId="0" borderId="1" xfId="0" applyNumberFormat="1" applyFont="1" applyBorder="1" applyAlignment="1">
      <alignment horizontal="center" wrapText="1"/>
    </xf>
    <xf numFmtId="4" fontId="22" fillId="0" borderId="3" xfId="0" applyNumberFormat="1" applyFont="1" applyBorder="1" applyAlignment="1">
      <alignment horizontal="center" wrapText="1"/>
    </xf>
    <xf numFmtId="4" fontId="22" fillId="0" borderId="5" xfId="0" applyNumberFormat="1" applyFont="1" applyBorder="1" applyAlignment="1">
      <alignment horizontal="center" wrapText="1"/>
    </xf>
    <xf numFmtId="170" fontId="23" fillId="7" borderId="3" xfId="1" applyNumberFormat="1" applyFont="1" applyFill="1" applyBorder="1" applyAlignment="1">
      <alignment horizontal="center"/>
    </xf>
    <xf numFmtId="170" fontId="23" fillId="7" borderId="5" xfId="1" applyNumberFormat="1" applyFont="1" applyFill="1" applyBorder="1" applyAlignment="1">
      <alignment horizontal="center"/>
    </xf>
    <xf numFmtId="0" fontId="22" fillId="0" borderId="3" xfId="0" applyFont="1" applyBorder="1" applyAlignment="1">
      <alignment horizontal="right" wrapText="1"/>
    </xf>
    <xf numFmtId="0" fontId="22" fillId="0" borderId="4" xfId="0" applyFont="1" applyBorder="1" applyAlignment="1">
      <alignment horizontal="right" wrapText="1"/>
    </xf>
    <xf numFmtId="0" fontId="22" fillId="0" borderId="5" xfId="0" applyFont="1" applyBorder="1" applyAlignment="1">
      <alignment horizontal="right" wrapText="1"/>
    </xf>
    <xf numFmtId="43" fontId="22" fillId="0" borderId="4" xfId="1" applyFont="1" applyFill="1" applyBorder="1" applyAlignment="1"/>
    <xf numFmtId="43" fontId="22" fillId="0" borderId="5" xfId="1" applyFont="1" applyFill="1" applyBorder="1" applyAlignment="1"/>
    <xf numFmtId="174" fontId="23" fillId="0" borderId="3" xfId="0" applyNumberFormat="1" applyFont="1" applyBorder="1" applyAlignment="1">
      <alignment horizontal="center" wrapText="1"/>
    </xf>
    <xf numFmtId="174" fontId="23" fillId="0" borderId="5" xfId="0" applyNumberFormat="1" applyFont="1" applyBorder="1" applyAlignment="1">
      <alignment horizontal="center" wrapText="1"/>
    </xf>
    <xf numFmtId="0" fontId="24" fillId="9" borderId="6" xfId="0" applyFont="1" applyFill="1" applyBorder="1" applyAlignment="1">
      <alignment horizontal="center"/>
    </xf>
    <xf numFmtId="172" fontId="25" fillId="0" borderId="1" xfId="0" applyNumberFormat="1" applyFont="1" applyBorder="1" applyAlignment="1">
      <alignment horizontal="center" wrapText="1"/>
    </xf>
    <xf numFmtId="0" fontId="22" fillId="0" borderId="1" xfId="0" applyFont="1" applyBorder="1" applyAlignment="1">
      <alignment horizontal="left" wrapText="1"/>
    </xf>
    <xf numFmtId="0" fontId="22" fillId="0" borderId="3" xfId="0" applyFont="1" applyBorder="1" applyAlignment="1">
      <alignment horizontal="center" wrapText="1"/>
    </xf>
    <xf numFmtId="0" fontId="22" fillId="0" borderId="5" xfId="0" applyFont="1" applyBorder="1" applyAlignment="1">
      <alignment horizontal="center" wrapText="1"/>
    </xf>
    <xf numFmtId="43" fontId="22" fillId="2" borderId="4" xfId="1" applyFont="1" applyFill="1" applyBorder="1" applyAlignment="1"/>
    <xf numFmtId="43" fontId="22" fillId="2" borderId="5" xfId="1" applyFont="1" applyFill="1" applyBorder="1" applyAlignment="1"/>
    <xf numFmtId="0" fontId="24" fillId="0" borderId="10" xfId="0" applyFont="1" applyBorder="1" applyAlignment="1">
      <alignment horizontal="center" wrapText="1"/>
    </xf>
    <xf numFmtId="0" fontId="26" fillId="0" borderId="4" xfId="0" applyFont="1" applyBorder="1" applyAlignment="1">
      <alignment horizontal="center" vertical="top" wrapText="1"/>
    </xf>
    <xf numFmtId="0" fontId="24" fillId="0" borderId="1" xfId="0" applyFont="1" applyBorder="1" applyAlignment="1">
      <alignment horizontal="right" wrapText="1"/>
    </xf>
    <xf numFmtId="0" fontId="24" fillId="0" borderId="3" xfId="0" applyFont="1" applyBorder="1" applyAlignment="1">
      <alignment horizontal="center" wrapText="1"/>
    </xf>
    <xf numFmtId="0" fontId="24" fillId="0" borderId="5" xfId="0" applyFont="1" applyBorder="1" applyAlignment="1">
      <alignment horizontal="center" wrapText="1"/>
    </xf>
    <xf numFmtId="43" fontId="25" fillId="0" borderId="1" xfId="0" applyNumberFormat="1" applyFont="1" applyBorder="1" applyAlignment="1"/>
    <xf numFmtId="0" fontId="25" fillId="0" borderId="1" xfId="0" applyFont="1" applyBorder="1" applyAlignment="1"/>
    <xf numFmtId="0" fontId="31" fillId="8" borderId="3" xfId="0" applyFont="1" applyFill="1" applyBorder="1" applyAlignment="1">
      <alignment horizontal="center" vertical="center" wrapText="1"/>
    </xf>
    <xf numFmtId="0" fontId="31" fillId="8" borderId="4" xfId="0" applyFont="1" applyFill="1" applyBorder="1" applyAlignment="1">
      <alignment horizontal="center" vertical="center" wrapText="1"/>
    </xf>
    <xf numFmtId="0" fontId="31" fillId="8" borderId="5" xfId="0" applyFont="1" applyFill="1" applyBorder="1" applyAlignment="1">
      <alignment horizontal="center" vertical="center" wrapText="1"/>
    </xf>
    <xf numFmtId="43" fontId="22" fillId="2" borderId="3" xfId="1" applyFont="1" applyFill="1" applyBorder="1" applyAlignment="1"/>
    <xf numFmtId="0" fontId="22" fillId="0" borderId="3" xfId="0" applyFont="1" applyBorder="1" applyAlignment="1">
      <alignment horizontal="left" wrapText="1"/>
    </xf>
    <xf numFmtId="0" fontId="22" fillId="0" borderId="4" xfId="0" applyFont="1" applyBorder="1" applyAlignment="1">
      <alignment horizontal="left" wrapText="1"/>
    </xf>
    <xf numFmtId="0" fontId="22" fillId="0" borderId="5" xfId="0" applyFont="1" applyBorder="1" applyAlignment="1">
      <alignment horizontal="left" wrapText="1"/>
    </xf>
    <xf numFmtId="43" fontId="22" fillId="0" borderId="3" xfId="1" applyFont="1" applyBorder="1" applyAlignment="1"/>
    <xf numFmtId="0" fontId="25" fillId="0" borderId="3" xfId="0" applyFont="1" applyBorder="1" applyAlignment="1">
      <alignment horizontal="center" wrapText="1"/>
    </xf>
    <xf numFmtId="0" fontId="25" fillId="0" borderId="5" xfId="0" applyFont="1" applyBorder="1" applyAlignment="1">
      <alignment horizontal="center" wrapText="1"/>
    </xf>
    <xf numFmtId="43" fontId="25" fillId="0" borderId="3" xfId="0" applyNumberFormat="1" applyFont="1" applyBorder="1" applyAlignment="1">
      <alignment horizontal="center" wrapText="1"/>
    </xf>
    <xf numFmtId="43" fontId="25" fillId="0" borderId="5" xfId="0" applyNumberFormat="1" applyFont="1" applyBorder="1" applyAlignment="1">
      <alignment horizontal="center" wrapText="1"/>
    </xf>
    <xf numFmtId="0" fontId="19" fillId="0" borderId="0" xfId="4" applyFont="1" applyFill="1" applyAlignment="1">
      <alignment horizontal="left"/>
    </xf>
    <xf numFmtId="43" fontId="16" fillId="0" borderId="0" xfId="4" applyNumberFormat="1" applyFont="1" applyFill="1" applyBorder="1" applyAlignment="1">
      <alignment horizontal="center" vertical="top"/>
    </xf>
    <xf numFmtId="0" fontId="36" fillId="0" borderId="0" xfId="4" applyFont="1" applyFill="1" applyBorder="1" applyAlignment="1">
      <alignment horizontal="right" vertical="top"/>
    </xf>
    <xf numFmtId="0" fontId="24" fillId="0" borderId="4" xfId="0" applyFont="1" applyBorder="1" applyAlignment="1">
      <alignment horizontal="center" wrapText="1"/>
    </xf>
    <xf numFmtId="0" fontId="26" fillId="0" borderId="7" xfId="0" applyFont="1" applyBorder="1" applyAlignment="1">
      <alignment horizontal="center" vertical="top" wrapText="1"/>
    </xf>
    <xf numFmtId="0" fontId="26" fillId="0" borderId="8" xfId="0" applyFont="1" applyBorder="1" applyAlignment="1">
      <alignment horizontal="center" vertical="top" wrapText="1"/>
    </xf>
    <xf numFmtId="0" fontId="26" fillId="0" borderId="9" xfId="0" applyFont="1" applyBorder="1" applyAlignment="1">
      <alignment horizontal="center" vertical="top" wrapText="1"/>
    </xf>
    <xf numFmtId="0" fontId="26" fillId="0" borderId="10" xfId="0" applyFont="1" applyBorder="1" applyAlignment="1">
      <alignment horizontal="center" vertical="top" wrapText="1"/>
    </xf>
    <xf numFmtId="0" fontId="26" fillId="0" borderId="11" xfId="0" applyFont="1" applyBorder="1" applyAlignment="1">
      <alignment horizontal="center" vertical="top" wrapText="1"/>
    </xf>
    <xf numFmtId="0" fontId="26" fillId="0" borderId="12" xfId="0" applyFont="1" applyBorder="1" applyAlignment="1">
      <alignment horizontal="center" vertical="top" wrapText="1"/>
    </xf>
    <xf numFmtId="0" fontId="26" fillId="0" borderId="6" xfId="0" applyFont="1" applyBorder="1" applyAlignment="1">
      <alignment horizontal="center" vertical="top" wrapText="1"/>
    </xf>
    <xf numFmtId="0" fontId="26" fillId="0" borderId="13" xfId="0" applyFont="1" applyBorder="1" applyAlignment="1">
      <alignment horizontal="center" vertical="top" wrapText="1"/>
    </xf>
    <xf numFmtId="172" fontId="23" fillId="7" borderId="3" xfId="0" applyNumberFormat="1" applyFont="1" applyFill="1" applyBorder="1" applyAlignment="1">
      <alignment horizontal="center" vertical="top" wrapText="1"/>
    </xf>
    <xf numFmtId="172" fontId="23" fillId="7" borderId="5" xfId="0" applyNumberFormat="1" applyFont="1" applyFill="1" applyBorder="1" applyAlignment="1">
      <alignment horizontal="center" vertical="top" wrapText="1"/>
    </xf>
    <xf numFmtId="0" fontId="0" fillId="0" borderId="3" xfId="0" applyBorder="1" applyAlignment="1">
      <alignment horizontal="center" wrapText="1"/>
    </xf>
    <xf numFmtId="0" fontId="0" fillId="0" borderId="5" xfId="0" applyBorder="1" applyAlignment="1">
      <alignment horizontal="center" wrapText="1"/>
    </xf>
    <xf numFmtId="43" fontId="23" fillId="0" borderId="1" xfId="1" applyFont="1" applyBorder="1" applyAlignment="1">
      <alignment horizontal="center" wrapText="1"/>
    </xf>
    <xf numFmtId="0" fontId="0" fillId="0" borderId="4" xfId="0" applyBorder="1" applyAlignment="1">
      <alignment horizontal="center" wrapText="1"/>
    </xf>
    <xf numFmtId="2" fontId="23" fillId="0" borderId="3" xfId="0" applyNumberFormat="1" applyFont="1" applyBorder="1" applyAlignment="1">
      <alignment horizontal="center" wrapText="1"/>
    </xf>
    <xf numFmtId="2" fontId="23" fillId="0" borderId="5" xfId="0" applyNumberFormat="1" applyFont="1" applyBorder="1" applyAlignment="1">
      <alignment horizontal="center" wrapText="1"/>
    </xf>
    <xf numFmtId="43" fontId="22" fillId="0" borderId="3" xfId="1" applyFont="1" applyFill="1" applyBorder="1" applyAlignment="1"/>
    <xf numFmtId="0" fontId="25" fillId="0" borderId="3" xfId="0" applyFont="1" applyBorder="1" applyAlignment="1">
      <alignment horizontal="right" wrapText="1"/>
    </xf>
    <xf numFmtId="0" fontId="25" fillId="0" borderId="4" xfId="0" applyFont="1" applyBorder="1" applyAlignment="1">
      <alignment horizontal="right" wrapText="1"/>
    </xf>
    <xf numFmtId="0" fontId="25" fillId="0" borderId="5" xfId="0" applyFont="1" applyBorder="1" applyAlignment="1">
      <alignment horizontal="right" wrapText="1"/>
    </xf>
    <xf numFmtId="0" fontId="16" fillId="0" borderId="0" xfId="4" applyFont="1" applyFill="1" applyAlignment="1">
      <alignment horizontal="center"/>
    </xf>
    <xf numFmtId="43" fontId="34" fillId="0" borderId="0" xfId="0" applyNumberFormat="1" applyFont="1" applyAlignment="1">
      <alignment horizontal="center"/>
    </xf>
    <xf numFmtId="43" fontId="22" fillId="0" borderId="0" xfId="0" applyNumberFormat="1" applyFont="1" applyAlignment="1">
      <alignment horizontal="center"/>
    </xf>
    <xf numFmtId="0" fontId="16" fillId="0" borderId="0" xfId="4" applyFont="1" applyFill="1" applyAlignment="1">
      <alignment horizontal="left"/>
    </xf>
    <xf numFmtId="0" fontId="36" fillId="0" borderId="0" xfId="4" applyFont="1" applyFill="1" applyBorder="1" applyAlignment="1">
      <alignment horizontal="center" vertical="top"/>
    </xf>
    <xf numFmtId="43" fontId="47" fillId="0" borderId="0" xfId="4" applyNumberFormat="1" applyFont="1" applyFill="1" applyBorder="1" applyAlignment="1">
      <alignment horizontal="center" vertical="top"/>
    </xf>
    <xf numFmtId="0" fontId="16" fillId="0" borderId="0" xfId="4" applyFont="1" applyFill="1" applyBorder="1" applyAlignment="1">
      <alignment horizontal="center" vertical="top"/>
    </xf>
    <xf numFmtId="43" fontId="25" fillId="0" borderId="0" xfId="0" applyNumberFormat="1" applyFont="1" applyAlignment="1">
      <alignment horizontal="right"/>
    </xf>
    <xf numFmtId="0" fontId="24" fillId="0" borderId="6" xfId="0" applyFont="1" applyBorder="1" applyAlignment="1">
      <alignment horizontal="center"/>
    </xf>
    <xf numFmtId="0" fontId="46" fillId="8" borderId="4" xfId="0" applyFont="1" applyFill="1" applyBorder="1" applyAlignment="1">
      <alignment horizontal="center" wrapText="1"/>
    </xf>
    <xf numFmtId="0" fontId="22" fillId="0" borderId="4" xfId="0" applyFont="1" applyBorder="1" applyAlignment="1">
      <alignment horizontal="center" wrapText="1"/>
    </xf>
    <xf numFmtId="0" fontId="22" fillId="0" borderId="1" xfId="0" applyFont="1" applyBorder="1" applyAlignment="1">
      <alignment horizontal="center" wrapText="1"/>
    </xf>
    <xf numFmtId="0" fontId="24" fillId="0" borderId="0" xfId="0" applyFont="1" applyAlignment="1">
      <alignment horizontal="center"/>
    </xf>
    <xf numFmtId="0" fontId="23" fillId="0" borderId="3" xfId="0" applyFont="1" applyBorder="1" applyAlignment="1">
      <alignment horizontal="left" wrapText="1"/>
    </xf>
    <xf numFmtId="0" fontId="23" fillId="0" borderId="4" xfId="0" applyFont="1" applyBorder="1" applyAlignment="1">
      <alignment horizontal="left" wrapText="1"/>
    </xf>
    <xf numFmtId="0" fontId="23" fillId="0" borderId="5" xfId="0" applyFont="1" applyBorder="1" applyAlignment="1">
      <alignment horizontal="left" wrapText="1"/>
    </xf>
    <xf numFmtId="0" fontId="22" fillId="5" borderId="1" xfId="0" applyFont="1" applyFill="1"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24" fillId="8" borderId="3" xfId="0" applyFont="1" applyFill="1" applyBorder="1" applyAlignment="1">
      <alignment horizontal="center" vertical="top" wrapText="1"/>
    </xf>
    <xf numFmtId="0" fontId="24" fillId="8" borderId="4" xfId="0" applyFont="1" applyFill="1" applyBorder="1" applyAlignment="1">
      <alignment horizontal="center" vertical="top" wrapText="1"/>
    </xf>
    <xf numFmtId="0" fontId="24" fillId="8" borderId="5" xfId="0" applyFont="1" applyFill="1" applyBorder="1" applyAlignment="1">
      <alignment horizontal="center" vertical="top" wrapText="1"/>
    </xf>
    <xf numFmtId="0" fontId="25" fillId="8" borderId="3" xfId="0" applyFont="1" applyFill="1" applyBorder="1" applyAlignment="1">
      <alignment horizontal="center" wrapText="1"/>
    </xf>
    <xf numFmtId="0" fontId="25" fillId="8" borderId="4" xfId="0" applyFont="1" applyFill="1" applyBorder="1" applyAlignment="1">
      <alignment horizontal="center" wrapText="1"/>
    </xf>
    <xf numFmtId="0" fontId="25" fillId="8" borderId="5" xfId="0" applyFont="1" applyFill="1" applyBorder="1" applyAlignment="1">
      <alignment horizontal="center" wrapText="1"/>
    </xf>
    <xf numFmtId="43" fontId="22" fillId="0" borderId="1" xfId="1" applyNumberFormat="1" applyFont="1" applyBorder="1" applyAlignment="1">
      <alignment horizontal="center" wrapText="1"/>
    </xf>
    <xf numFmtId="4" fontId="22" fillId="2" borderId="3" xfId="0" applyNumberFormat="1" applyFont="1" applyFill="1" applyBorder="1" applyAlignment="1">
      <alignment horizontal="center" wrapText="1"/>
    </xf>
    <xf numFmtId="4" fontId="22" fillId="2" borderId="5" xfId="0" applyNumberFormat="1" applyFont="1" applyFill="1" applyBorder="1" applyAlignment="1">
      <alignment horizontal="center" wrapText="1"/>
    </xf>
    <xf numFmtId="43" fontId="22" fillId="2" borderId="1" xfId="0" applyNumberFormat="1" applyFont="1" applyFill="1" applyBorder="1" applyAlignment="1">
      <alignment horizontal="center" wrapText="1"/>
    </xf>
    <xf numFmtId="0" fontId="22" fillId="0" borderId="3" xfId="0" applyFont="1" applyBorder="1" applyAlignment="1">
      <alignment horizontal="left" vertical="top" wrapText="1"/>
    </xf>
    <xf numFmtId="0" fontId="22" fillId="0" borderId="4" xfId="0" applyFont="1" applyBorder="1" applyAlignment="1">
      <alignment horizontal="left" vertical="top" wrapText="1"/>
    </xf>
    <xf numFmtId="0" fontId="22" fillId="0" borderId="5" xfId="0" applyFont="1" applyBorder="1" applyAlignment="1">
      <alignment horizontal="left" vertical="top" wrapText="1"/>
    </xf>
    <xf numFmtId="172" fontId="22" fillId="0" borderId="1" xfId="0" applyNumberFormat="1" applyFont="1" applyBorder="1" applyAlignment="1">
      <alignment horizontal="center" wrapText="1"/>
    </xf>
    <xf numFmtId="3" fontId="22" fillId="0" borderId="1" xfId="0" applyNumberFormat="1" applyFont="1" applyBorder="1" applyAlignment="1">
      <alignment horizontal="center" wrapText="1"/>
    </xf>
    <xf numFmtId="43" fontId="22" fillId="0" borderId="1" xfId="1" applyFont="1" applyBorder="1" applyAlignment="1">
      <alignment horizontal="center" wrapText="1"/>
    </xf>
    <xf numFmtId="2" fontId="3" fillId="2" borderId="1" xfId="0" applyNumberFormat="1" applyFont="1" applyFill="1" applyBorder="1" applyAlignment="1">
      <alignment horizontal="center" vertical="center" wrapText="1"/>
    </xf>
    <xf numFmtId="43" fontId="22" fillId="2" borderId="1" xfId="1" applyFont="1" applyFill="1" applyBorder="1" applyAlignment="1">
      <alignment horizontal="center" wrapText="1"/>
    </xf>
    <xf numFmtId="2" fontId="3" fillId="0" borderId="1" xfId="0" applyNumberFormat="1" applyFont="1" applyFill="1" applyBorder="1" applyAlignment="1">
      <alignment horizontal="center" wrapText="1"/>
    </xf>
    <xf numFmtId="4" fontId="3" fillId="0" borderId="1" xfId="0" applyNumberFormat="1" applyFont="1" applyBorder="1" applyAlignment="1">
      <alignment horizontal="center" wrapText="1"/>
    </xf>
    <xf numFmtId="43" fontId="22" fillId="0" borderId="1" xfId="1" applyFont="1" applyFill="1" applyBorder="1" applyAlignment="1">
      <alignment horizontal="center" wrapText="1"/>
    </xf>
    <xf numFmtId="0" fontId="6" fillId="0" borderId="0" xfId="0" applyFont="1" applyAlignment="1">
      <alignment horizontal="center"/>
    </xf>
    <xf numFmtId="2" fontId="22" fillId="0" borderId="3" xfId="0" applyNumberFormat="1" applyFont="1" applyBorder="1" applyAlignment="1">
      <alignment horizontal="center" wrapText="1"/>
    </xf>
    <xf numFmtId="2" fontId="22" fillId="0" borderId="5" xfId="0" applyNumberFormat="1" applyFont="1" applyBorder="1" applyAlignment="1">
      <alignment horizontal="center" wrapText="1"/>
    </xf>
    <xf numFmtId="0" fontId="27" fillId="0" borderId="10" xfId="0" applyNumberFormat="1" applyFont="1" applyBorder="1" applyAlignment="1">
      <alignment horizontal="center" vertical="top" wrapText="1"/>
    </xf>
    <xf numFmtId="172" fontId="22" fillId="0" borderId="3" xfId="0" applyNumberFormat="1" applyFont="1" applyBorder="1" applyAlignment="1">
      <alignment horizontal="center" wrapText="1"/>
    </xf>
    <xf numFmtId="172" fontId="22" fillId="0" borderId="5" xfId="0" applyNumberFormat="1" applyFont="1" applyBorder="1" applyAlignment="1">
      <alignment horizontal="center" wrapText="1"/>
    </xf>
    <xf numFmtId="0" fontId="24" fillId="0" borderId="0" xfId="0" applyFont="1" applyAlignment="1">
      <alignment horizontal="center" wrapText="1"/>
    </xf>
    <xf numFmtId="172" fontId="25" fillId="0" borderId="3" xfId="0" applyNumberFormat="1" applyFont="1" applyBorder="1" applyAlignment="1">
      <alignment horizontal="center" wrapText="1"/>
    </xf>
    <xf numFmtId="172" fontId="25" fillId="0" borderId="5" xfId="0" applyNumberFormat="1" applyFont="1" applyBorder="1" applyAlignment="1">
      <alignment horizontal="center" wrapText="1"/>
    </xf>
    <xf numFmtId="172" fontId="0" fillId="0" borderId="5" xfId="0" applyNumberFormat="1" applyBorder="1" applyAlignment="1">
      <alignment horizontal="center" wrapText="1"/>
    </xf>
    <xf numFmtId="0" fontId="22" fillId="2" borderId="3" xfId="0" applyFont="1" applyFill="1" applyBorder="1" applyAlignment="1">
      <alignment wrapText="1"/>
    </xf>
    <xf numFmtId="0" fontId="22" fillId="2" borderId="4" xfId="0" applyFont="1" applyFill="1" applyBorder="1" applyAlignment="1">
      <alignment wrapText="1"/>
    </xf>
    <xf numFmtId="0" fontId="22" fillId="2" borderId="5" xfId="0" applyFont="1" applyFill="1" applyBorder="1" applyAlignment="1">
      <alignment wrapText="1"/>
    </xf>
    <xf numFmtId="43" fontId="22" fillId="2" borderId="3" xfId="0" applyNumberFormat="1" applyFont="1" applyFill="1" applyBorder="1" applyAlignment="1"/>
    <xf numFmtId="43" fontId="22" fillId="2" borderId="5" xfId="0" applyNumberFormat="1" applyFont="1" applyFill="1" applyBorder="1" applyAlignment="1"/>
    <xf numFmtId="0" fontId="22" fillId="0" borderId="3" xfId="0" applyFont="1" applyBorder="1" applyAlignment="1"/>
    <xf numFmtId="0" fontId="22" fillId="0" borderId="5" xfId="0" applyFont="1" applyBorder="1" applyAlignment="1"/>
    <xf numFmtId="43" fontId="22" fillId="0" borderId="3" xfId="0" applyNumberFormat="1" applyFont="1" applyBorder="1" applyAlignment="1"/>
    <xf numFmtId="43" fontId="22" fillId="0" borderId="5" xfId="0" applyNumberFormat="1" applyFont="1" applyBorder="1" applyAlignment="1"/>
    <xf numFmtId="169" fontId="22" fillId="0" borderId="3" xfId="1" applyNumberFormat="1" applyFont="1" applyBorder="1" applyAlignment="1"/>
    <xf numFmtId="169" fontId="22" fillId="0" borderId="5" xfId="1" applyNumberFormat="1" applyFont="1" applyBorder="1" applyAlignment="1"/>
    <xf numFmtId="0" fontId="22" fillId="0" borderId="3" xfId="0" applyFont="1" applyBorder="1" applyAlignment="1">
      <alignment horizontal="justify" wrapText="1"/>
    </xf>
    <xf numFmtId="0" fontId="22" fillId="0" borderId="4" xfId="0" applyFont="1" applyBorder="1" applyAlignment="1">
      <alignment horizontal="justify" wrapText="1"/>
    </xf>
    <xf numFmtId="0" fontId="22" fillId="0" borderId="5" xfId="0" applyFont="1" applyBorder="1" applyAlignment="1">
      <alignment horizontal="justify" wrapText="1"/>
    </xf>
    <xf numFmtId="0" fontId="22" fillId="0" borderId="3" xfId="0" applyFont="1" applyBorder="1" applyAlignment="1">
      <alignment wrapText="1"/>
    </xf>
    <xf numFmtId="0" fontId="22" fillId="0" borderId="4" xfId="0" applyFont="1" applyBorder="1" applyAlignment="1">
      <alignment wrapText="1"/>
    </xf>
    <xf numFmtId="0" fontId="22" fillId="0" borderId="5" xfId="0" applyFont="1" applyBorder="1" applyAlignment="1">
      <alignment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169" fontId="22" fillId="0" borderId="1" xfId="1" applyNumberFormat="1" applyFont="1" applyBorder="1" applyAlignment="1"/>
    <xf numFmtId="43" fontId="22" fillId="0" borderId="1" xfId="0" applyNumberFormat="1" applyFont="1" applyBorder="1" applyAlignment="1"/>
    <xf numFmtId="0" fontId="22" fillId="0" borderId="1" xfId="0" applyFont="1" applyBorder="1" applyAlignment="1"/>
    <xf numFmtId="0" fontId="22" fillId="0" borderId="1" xfId="0" applyFont="1" applyBorder="1" applyAlignment="1">
      <alignment wrapText="1"/>
    </xf>
    <xf numFmtId="0" fontId="24" fillId="0" borderId="6" xfId="0" applyFont="1" applyBorder="1" applyAlignment="1">
      <alignment horizontal="center" wrapText="1"/>
    </xf>
    <xf numFmtId="0" fontId="26" fillId="0" borderId="1" xfId="0" applyFont="1" applyBorder="1" applyAlignment="1">
      <alignment horizontal="center" vertical="center" wrapText="1"/>
    </xf>
    <xf numFmtId="0" fontId="25" fillId="8" borderId="1" xfId="0" applyFont="1" applyFill="1" applyBorder="1" applyAlignment="1">
      <alignment horizontal="right" wrapText="1"/>
    </xf>
    <xf numFmtId="0" fontId="25" fillId="8" borderId="1" xfId="0" applyFont="1" applyFill="1" applyBorder="1" applyAlignment="1">
      <alignment horizontal="center" wrapText="1"/>
    </xf>
    <xf numFmtId="2" fontId="25" fillId="8" borderId="1" xfId="0" applyNumberFormat="1" applyFont="1" applyFill="1" applyBorder="1" applyAlignment="1">
      <alignment horizont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43" fontId="22" fillId="0" borderId="3" xfId="1" applyFont="1" applyBorder="1" applyAlignment="1">
      <alignment horizontal="center" wrapText="1"/>
    </xf>
    <xf numFmtId="43" fontId="22" fillId="0" borderId="5" xfId="1" applyFont="1" applyBorder="1" applyAlignment="1">
      <alignment horizontal="center" wrapText="1"/>
    </xf>
    <xf numFmtId="167" fontId="22" fillId="0" borderId="1" xfId="0" applyNumberFormat="1" applyFont="1" applyBorder="1" applyAlignment="1">
      <alignment horizontal="center" wrapText="1"/>
    </xf>
    <xf numFmtId="0" fontId="22" fillId="0" borderId="1" xfId="0" applyFont="1" applyBorder="1" applyAlignment="1">
      <alignment horizontal="left" vertical="center" wrapText="1"/>
    </xf>
    <xf numFmtId="0" fontId="0" fillId="0" borderId="1" xfId="0" applyBorder="1" applyAlignment="1">
      <alignment horizontal="left" vertical="center" wrapText="1"/>
    </xf>
    <xf numFmtId="173" fontId="22" fillId="0" borderId="1" xfId="0" applyNumberFormat="1" applyFont="1" applyBorder="1" applyAlignment="1">
      <alignment horizontal="center" wrapText="1"/>
    </xf>
    <xf numFmtId="43" fontId="25" fillId="0" borderId="3" xfId="1" applyNumberFormat="1" applyFont="1" applyBorder="1" applyAlignment="1"/>
    <xf numFmtId="43" fontId="25" fillId="0" borderId="5" xfId="1" applyNumberFormat="1" applyFont="1" applyBorder="1" applyAlignment="1"/>
    <xf numFmtId="0" fontId="25" fillId="4" borderId="1" xfId="0" applyFont="1" applyFill="1" applyBorder="1" applyAlignment="1">
      <alignment horizontal="center" wrapText="1"/>
    </xf>
    <xf numFmtId="43" fontId="25" fillId="4" borderId="1" xfId="1" applyNumberFormat="1" applyFont="1" applyFill="1" applyBorder="1" applyAlignment="1"/>
    <xf numFmtId="169" fontId="22" fillId="2" borderId="3" xfId="1" applyNumberFormat="1" applyFont="1" applyFill="1" applyBorder="1" applyAlignment="1"/>
    <xf numFmtId="169" fontId="22" fillId="2" borderId="5" xfId="1" applyNumberFormat="1" applyFont="1" applyFill="1" applyBorder="1" applyAlignment="1"/>
    <xf numFmtId="0" fontId="25" fillId="4" borderId="1" xfId="0" applyFont="1" applyFill="1" applyBorder="1" applyAlignment="1">
      <alignment horizontal="right" wrapText="1"/>
    </xf>
    <xf numFmtId="0" fontId="22" fillId="2" borderId="1" xfId="0" applyFont="1" applyFill="1" applyBorder="1" applyAlignment="1">
      <alignment wrapText="1"/>
    </xf>
    <xf numFmtId="0" fontId="26" fillId="0" borderId="4" xfId="0" applyFont="1" applyBorder="1" applyAlignment="1">
      <alignment horizontal="center" vertical="center" wrapText="1"/>
    </xf>
    <xf numFmtId="43" fontId="25" fillId="0" borderId="1" xfId="1" applyNumberFormat="1" applyFont="1" applyBorder="1" applyAlignment="1"/>
    <xf numFmtId="169" fontId="22" fillId="2" borderId="1" xfId="1" applyNumberFormat="1" applyFont="1" applyFill="1" applyBorder="1" applyAlignment="1"/>
    <xf numFmtId="43" fontId="22" fillId="2" borderId="1" xfId="0" applyNumberFormat="1" applyFont="1" applyFill="1" applyBorder="1" applyAlignment="1"/>
    <xf numFmtId="0" fontId="22" fillId="2" borderId="1" xfId="0" applyFont="1" applyFill="1" applyBorder="1" applyAlignment="1">
      <alignment horizontal="center" wrapText="1"/>
    </xf>
    <xf numFmtId="0" fontId="22" fillId="0" borderId="1" xfId="0" applyFont="1" applyBorder="1" applyAlignment="1">
      <alignment horizontal="justify" wrapText="1"/>
    </xf>
    <xf numFmtId="0" fontId="0" fillId="0" borderId="1" xfId="0" applyBorder="1" applyAlignment="1">
      <alignment horizontal="center" wrapText="1"/>
    </xf>
    <xf numFmtId="0" fontId="28" fillId="0" borderId="1" xfId="0" applyFont="1" applyBorder="1" applyAlignment="1">
      <alignment horizontal="center" vertical="top" wrapText="1"/>
    </xf>
    <xf numFmtId="0" fontId="21" fillId="0" borderId="1" xfId="0" applyFont="1" applyBorder="1" applyAlignment="1">
      <alignment horizontal="right" vertical="top" wrapText="1"/>
    </xf>
    <xf numFmtId="0" fontId="21" fillId="0" borderId="3" xfId="0" applyFont="1" applyBorder="1" applyAlignment="1">
      <alignment horizontal="center" wrapText="1"/>
    </xf>
    <xf numFmtId="0" fontId="21" fillId="0" borderId="5" xfId="0" applyFont="1" applyBorder="1" applyAlignment="1">
      <alignment horizontal="center" wrapText="1"/>
    </xf>
    <xf numFmtId="0" fontId="21" fillId="0" borderId="1" xfId="0" applyFont="1" applyBorder="1" applyAlignment="1">
      <alignment horizontal="right" wrapText="1"/>
    </xf>
    <xf numFmtId="0" fontId="21" fillId="0" borderId="1" xfId="0" applyFont="1" applyBorder="1" applyAlignment="1">
      <alignment horizontal="center" wrapText="1"/>
    </xf>
    <xf numFmtId="43" fontId="22" fillId="0" borderId="3" xfId="1" applyFont="1" applyFill="1" applyBorder="1" applyAlignment="1">
      <alignment horizontal="right"/>
    </xf>
    <xf numFmtId="43" fontId="22" fillId="0" borderId="5" xfId="1" applyFont="1" applyFill="1" applyBorder="1" applyAlignment="1">
      <alignment horizontal="right"/>
    </xf>
    <xf numFmtId="43" fontId="30" fillId="0" borderId="1" xfId="0" applyNumberFormat="1" applyFont="1" applyBorder="1" applyAlignment="1">
      <alignment horizontal="center" wrapText="1"/>
    </xf>
    <xf numFmtId="0" fontId="28" fillId="0" borderId="3" xfId="0" applyFont="1" applyBorder="1" applyAlignment="1">
      <alignment horizontal="center" vertical="top" wrapText="1"/>
    </xf>
    <xf numFmtId="0" fontId="28" fillId="0" borderId="5" xfId="0" applyFont="1" applyBorder="1" applyAlignment="1">
      <alignment horizontal="center" vertical="top"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5" fillId="0" borderId="3" xfId="0" applyFont="1" applyBorder="1" applyAlignment="1">
      <alignment horizontal="center" vertical="center" wrapText="1"/>
    </xf>
    <xf numFmtId="0" fontId="25" fillId="0" borderId="5" xfId="0" applyFont="1" applyBorder="1" applyAlignment="1">
      <alignment horizontal="center" vertical="center" wrapText="1"/>
    </xf>
    <xf numFmtId="43" fontId="30" fillId="0" borderId="1" xfId="1" applyNumberFormat="1" applyFont="1" applyBorder="1" applyAlignment="1">
      <alignment horizontal="center" vertical="center" wrapText="1"/>
    </xf>
    <xf numFmtId="0" fontId="30" fillId="0" borderId="1" xfId="0" applyFont="1" applyBorder="1" applyAlignment="1">
      <alignment horizontal="center" wrapText="1"/>
    </xf>
    <xf numFmtId="0" fontId="25" fillId="8" borderId="4" xfId="0" applyFont="1" applyFill="1" applyBorder="1" applyAlignment="1">
      <alignment horizontal="center" vertical="center" wrapText="1"/>
    </xf>
    <xf numFmtId="0" fontId="25" fillId="8" borderId="5" xfId="0" applyFont="1" applyFill="1" applyBorder="1" applyAlignment="1">
      <alignment horizontal="center" vertical="center" wrapText="1"/>
    </xf>
    <xf numFmtId="172" fontId="22" fillId="7" borderId="3" xfId="1" applyNumberFormat="1" applyFont="1" applyFill="1" applyBorder="1" applyAlignment="1">
      <alignment horizontal="center"/>
    </xf>
    <xf numFmtId="172" fontId="22" fillId="7" borderId="5" xfId="1" applyNumberFormat="1" applyFont="1" applyFill="1" applyBorder="1" applyAlignment="1">
      <alignment horizontal="center"/>
    </xf>
    <xf numFmtId="0" fontId="21" fillId="0" borderId="12" xfId="0" applyFont="1" applyFill="1" applyBorder="1" applyAlignment="1">
      <alignment horizontal="left" wrapText="1"/>
    </xf>
    <xf numFmtId="0" fontId="21" fillId="0" borderId="6" xfId="0" applyFont="1" applyFill="1" applyBorder="1" applyAlignment="1">
      <alignment horizontal="left" wrapText="1"/>
    </xf>
    <xf numFmtId="0" fontId="21" fillId="0" borderId="13" xfId="0" applyFont="1" applyFill="1" applyBorder="1" applyAlignment="1">
      <alignment horizontal="left" wrapText="1"/>
    </xf>
    <xf numFmtId="3" fontId="22" fillId="0" borderId="8" xfId="0" applyNumberFormat="1" applyFont="1" applyFill="1" applyBorder="1" applyAlignment="1">
      <alignment horizontal="center" wrapText="1"/>
    </xf>
    <xf numFmtId="43" fontId="21" fillId="0" borderId="8" xfId="1" applyNumberFormat="1" applyFont="1" applyFill="1" applyBorder="1" applyAlignment="1">
      <alignment wrapText="1"/>
    </xf>
    <xf numFmtId="0" fontId="25" fillId="2" borderId="3" xfId="0" applyFont="1" applyFill="1" applyBorder="1" applyAlignment="1">
      <alignment horizontal="center" wrapText="1"/>
    </xf>
    <xf numFmtId="0" fontId="0" fillId="0" borderId="4" xfId="0" applyBorder="1" applyAlignment="1">
      <alignment wrapText="1"/>
    </xf>
    <xf numFmtId="0" fontId="0" fillId="0" borderId="5" xfId="0" applyBorder="1" applyAlignment="1">
      <alignment wrapText="1"/>
    </xf>
    <xf numFmtId="3" fontId="23" fillId="0" borderId="1" xfId="0" applyNumberFormat="1" applyFont="1" applyBorder="1" applyAlignment="1">
      <alignment horizontal="center" wrapText="1"/>
    </xf>
    <xf numFmtId="0" fontId="25" fillId="9" borderId="3" xfId="0" applyFont="1" applyFill="1" applyBorder="1" applyAlignment="1">
      <alignment horizontal="center" wrapText="1"/>
    </xf>
    <xf numFmtId="0" fontId="0" fillId="9" borderId="4" xfId="0" applyFill="1" applyBorder="1" applyAlignment="1">
      <alignment wrapText="1"/>
    </xf>
    <xf numFmtId="0" fontId="0" fillId="9" borderId="5" xfId="0" applyFill="1" applyBorder="1" applyAlignment="1">
      <alignment wrapText="1"/>
    </xf>
    <xf numFmtId="2" fontId="0" fillId="0" borderId="4" xfId="0" applyNumberFormat="1" applyBorder="1" applyAlignment="1">
      <alignment horizontal="right" wrapText="1"/>
    </xf>
    <xf numFmtId="2" fontId="0" fillId="0" borderId="5" xfId="0" applyNumberFormat="1" applyBorder="1" applyAlignment="1">
      <alignment horizontal="right" wrapText="1"/>
    </xf>
    <xf numFmtId="2" fontId="21" fillId="0" borderId="1" xfId="0" applyNumberFormat="1" applyFont="1" applyBorder="1" applyAlignment="1">
      <alignment horizontal="center" wrapText="1"/>
    </xf>
    <xf numFmtId="0" fontId="25" fillId="0" borderId="1" xfId="0" applyFont="1" applyBorder="1" applyAlignment="1">
      <alignment horizontal="left" vertical="top" wrapText="1"/>
    </xf>
    <xf numFmtId="0" fontId="22" fillId="0" borderId="1" xfId="0" applyFont="1" applyBorder="1" applyAlignment="1">
      <alignment vertical="top" wrapText="1"/>
    </xf>
    <xf numFmtId="0" fontId="22" fillId="0" borderId="1" xfId="0" applyFont="1" applyBorder="1" applyAlignment="1">
      <alignment horizontal="center" vertical="top" wrapText="1"/>
    </xf>
    <xf numFmtId="0" fontId="25" fillId="0" borderId="1" xfId="0" applyFont="1" applyBorder="1" applyAlignment="1">
      <alignment vertical="top"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25" fillId="0" borderId="5" xfId="0" applyFont="1" applyBorder="1" applyAlignment="1">
      <alignment horizontal="left" vertical="top" wrapText="1"/>
    </xf>
    <xf numFmtId="0" fontId="22"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left" vertical="top" wrapText="1"/>
    </xf>
    <xf numFmtId="0" fontId="22" fillId="0" borderId="1" xfId="0" applyFont="1" applyBorder="1" applyAlignment="1">
      <alignment horizontal="left" vertical="top"/>
    </xf>
    <xf numFmtId="0" fontId="22" fillId="0" borderId="1" xfId="0" applyFont="1" applyBorder="1" applyAlignment="1">
      <alignment vertical="top"/>
    </xf>
    <xf numFmtId="0" fontId="25" fillId="3" borderId="1" xfId="0" applyFont="1" applyFill="1" applyBorder="1" applyAlignment="1">
      <alignment horizontal="right" vertical="top" wrapText="1"/>
    </xf>
    <xf numFmtId="0" fontId="24" fillId="0" borderId="0" xfId="0" applyFont="1" applyAlignment="1">
      <alignment horizontal="center" vertical="center" wrapText="1"/>
    </xf>
    <xf numFmtId="0" fontId="25" fillId="3" borderId="3" xfId="0" applyFont="1" applyFill="1" applyBorder="1" applyAlignment="1">
      <alignment horizontal="left" vertical="top" wrapText="1"/>
    </xf>
    <xf numFmtId="0" fontId="25" fillId="3" borderId="4" xfId="0" applyFont="1" applyFill="1" applyBorder="1" applyAlignment="1">
      <alignment horizontal="left" vertical="top" wrapText="1"/>
    </xf>
    <xf numFmtId="0" fontId="25" fillId="3" borderId="5" xfId="0" applyFont="1" applyFill="1" applyBorder="1" applyAlignment="1">
      <alignment horizontal="left" vertical="top" wrapText="1"/>
    </xf>
    <xf numFmtId="43" fontId="21" fillId="0" borderId="7" xfId="0" applyNumberFormat="1" applyFont="1" applyFill="1" applyBorder="1" applyAlignment="1">
      <alignment horizontal="center" wrapText="1"/>
    </xf>
    <xf numFmtId="0" fontId="22" fillId="0" borderId="3" xfId="0" applyFont="1" applyBorder="1" applyAlignment="1">
      <alignment horizontal="left" vertical="top"/>
    </xf>
    <xf numFmtId="0" fontId="22" fillId="0" borderId="4" xfId="0" applyFont="1" applyBorder="1" applyAlignment="1">
      <alignment horizontal="left" vertical="top"/>
    </xf>
    <xf numFmtId="0" fontId="22" fillId="0" borderId="5" xfId="0" applyFont="1" applyBorder="1" applyAlignment="1">
      <alignment horizontal="left" vertical="top"/>
    </xf>
    <xf numFmtId="0" fontId="24" fillId="0" borderId="3" xfId="0" applyFont="1" applyBorder="1" applyAlignment="1">
      <alignment horizontal="center" vertical="top"/>
    </xf>
    <xf numFmtId="0" fontId="24" fillId="0" borderId="4" xfId="0" applyFont="1" applyBorder="1" applyAlignment="1">
      <alignment horizontal="center" vertical="top"/>
    </xf>
    <xf numFmtId="0" fontId="24" fillId="0" borderId="5" xfId="0" applyFont="1" applyBorder="1" applyAlignment="1">
      <alignment horizontal="center" vertical="top"/>
    </xf>
    <xf numFmtId="0" fontId="25" fillId="3" borderId="3" xfId="0" applyFont="1" applyFill="1" applyBorder="1" applyAlignment="1">
      <alignment horizontal="right" vertical="top" wrapText="1"/>
    </xf>
    <xf numFmtId="0" fontId="25" fillId="3" borderId="5" xfId="0" applyFont="1" applyFill="1" applyBorder="1" applyAlignment="1">
      <alignment horizontal="right" vertical="top" wrapText="1"/>
    </xf>
    <xf numFmtId="0" fontId="25" fillId="3" borderId="3" xfId="0" applyFont="1" applyFill="1" applyBorder="1" applyAlignment="1">
      <alignment horizontal="center" vertical="top" wrapText="1"/>
    </xf>
    <xf numFmtId="0" fontId="25" fillId="3" borderId="4" xfId="0" applyFont="1" applyFill="1" applyBorder="1" applyAlignment="1">
      <alignment horizontal="center" vertical="top" wrapText="1"/>
    </xf>
    <xf numFmtId="0" fontId="28" fillId="0" borderId="1" xfId="0" applyFont="1" applyBorder="1" applyAlignment="1">
      <alignment horizontal="center" vertical="center" wrapText="1"/>
    </xf>
    <xf numFmtId="0" fontId="25" fillId="6" borderId="5" xfId="0" applyFont="1" applyFill="1" applyBorder="1" applyAlignment="1">
      <alignment horizontal="center" vertical="top" wrapText="1"/>
    </xf>
    <xf numFmtId="0" fontId="22" fillId="0" borderId="9" xfId="0" applyFont="1" applyBorder="1" applyAlignment="1">
      <alignment horizontal="center" wrapText="1"/>
    </xf>
    <xf numFmtId="0" fontId="22" fillId="0" borderId="11" xfId="0" applyFont="1" applyBorder="1" applyAlignment="1">
      <alignment horizontal="center" wrapText="1"/>
    </xf>
    <xf numFmtId="170" fontId="22" fillId="7" borderId="3" xfId="1" applyNumberFormat="1" applyFont="1" applyFill="1" applyBorder="1" applyAlignment="1">
      <alignment horizontal="center"/>
    </xf>
    <xf numFmtId="170" fontId="22" fillId="7" borderId="5" xfId="1" applyNumberFormat="1" applyFont="1" applyFill="1" applyBorder="1" applyAlignment="1">
      <alignment horizontal="center"/>
    </xf>
    <xf numFmtId="170" fontId="22" fillId="7" borderId="3" xfId="1" applyNumberFormat="1" applyFont="1" applyFill="1" applyBorder="1" applyAlignment="1">
      <alignment horizontal="right"/>
    </xf>
    <xf numFmtId="170" fontId="22" fillId="7" borderId="5" xfId="1" applyNumberFormat="1" applyFont="1" applyFill="1" applyBorder="1" applyAlignment="1">
      <alignment horizontal="right"/>
    </xf>
    <xf numFmtId="172" fontId="22" fillId="7" borderId="3" xfId="0" applyNumberFormat="1" applyFont="1" applyFill="1" applyBorder="1" applyAlignment="1">
      <alignment horizontal="center" vertical="center" wrapText="1"/>
    </xf>
    <xf numFmtId="172" fontId="22" fillId="7" borderId="5" xfId="0" applyNumberFormat="1" applyFont="1" applyFill="1" applyBorder="1" applyAlignment="1">
      <alignment horizontal="center" vertical="center" wrapText="1"/>
    </xf>
    <xf numFmtId="4" fontId="22" fillId="2" borderId="1" xfId="0" applyNumberFormat="1" applyFont="1" applyFill="1" applyBorder="1" applyAlignment="1">
      <alignment horizontal="center" wrapText="1"/>
    </xf>
    <xf numFmtId="2" fontId="25" fillId="0" borderId="1" xfId="0" applyNumberFormat="1" applyFont="1" applyBorder="1" applyAlignment="1">
      <alignment horizontal="center" wrapText="1"/>
    </xf>
    <xf numFmtId="170" fontId="22" fillId="2" borderId="3" xfId="1" applyNumberFormat="1" applyFont="1" applyFill="1" applyBorder="1" applyAlignment="1">
      <alignment horizontal="center" vertical="center"/>
    </xf>
    <xf numFmtId="170" fontId="22" fillId="2" borderId="5" xfId="1" applyNumberFormat="1" applyFont="1" applyFill="1" applyBorder="1" applyAlignment="1">
      <alignment horizontal="center" vertical="center"/>
    </xf>
    <xf numFmtId="0" fontId="23" fillId="7" borderId="4" xfId="0" applyFont="1" applyFill="1" applyBorder="1" applyAlignment="1">
      <alignment horizontal="center" wrapText="1"/>
    </xf>
    <xf numFmtId="43" fontId="22" fillId="0" borderId="4" xfId="1" applyFont="1" applyFill="1" applyBorder="1" applyAlignment="1">
      <alignment vertical="center"/>
    </xf>
    <xf numFmtId="43" fontId="22" fillId="0" borderId="5" xfId="1" applyFont="1" applyFill="1" applyBorder="1" applyAlignment="1">
      <alignment vertical="center"/>
    </xf>
    <xf numFmtId="43" fontId="22" fillId="0" borderId="3" xfId="1" applyFont="1" applyFill="1" applyBorder="1" applyAlignment="1">
      <alignment horizontal="center" vertical="center"/>
    </xf>
    <xf numFmtId="43" fontId="22" fillId="0" borderId="5" xfId="1" applyFont="1" applyFill="1" applyBorder="1" applyAlignment="1">
      <alignment horizontal="center" vertical="center"/>
    </xf>
    <xf numFmtId="0" fontId="0" fillId="7" borderId="4" xfId="0" applyFill="1" applyBorder="1" applyAlignment="1">
      <alignment horizontal="left" wrapText="1"/>
    </xf>
    <xf numFmtId="0" fontId="0" fillId="7" borderId="5" xfId="0" applyFill="1" applyBorder="1" applyAlignment="1">
      <alignment horizontal="left" wrapText="1"/>
    </xf>
    <xf numFmtId="0" fontId="22" fillId="0" borderId="7" xfId="0" applyFont="1" applyFill="1" applyBorder="1" applyAlignment="1">
      <alignment horizontal="center" wrapText="1"/>
    </xf>
    <xf numFmtId="0" fontId="0" fillId="0" borderId="8" xfId="0" applyFill="1" applyBorder="1" applyAlignment="1">
      <alignment horizontal="center" wrapText="1"/>
    </xf>
    <xf numFmtId="0" fontId="0" fillId="7" borderId="12" xfId="0" applyFill="1" applyBorder="1" applyAlignment="1">
      <alignment horizontal="left" wrapText="1"/>
    </xf>
    <xf numFmtId="0" fontId="0" fillId="7" borderId="6" xfId="0" applyFill="1" applyBorder="1" applyAlignment="1">
      <alignment horizontal="left" wrapText="1"/>
    </xf>
    <xf numFmtId="0" fontId="0" fillId="7" borderId="13" xfId="0" applyFill="1" applyBorder="1" applyAlignment="1">
      <alignment horizontal="left" wrapText="1"/>
    </xf>
    <xf numFmtId="43" fontId="22" fillId="2" borderId="3" xfId="0" applyNumberFormat="1" applyFont="1" applyFill="1" applyBorder="1" applyAlignment="1">
      <alignment horizontal="center" wrapText="1"/>
    </xf>
    <xf numFmtId="43" fontId="22" fillId="2" borderId="5" xfId="0" applyNumberFormat="1" applyFont="1" applyFill="1" applyBorder="1" applyAlignment="1">
      <alignment horizontal="center" wrapText="1"/>
    </xf>
    <xf numFmtId="3" fontId="21" fillId="0" borderId="1" xfId="0" applyNumberFormat="1" applyFont="1" applyFill="1" applyBorder="1" applyAlignment="1">
      <alignment horizontal="center" wrapText="1"/>
    </xf>
    <xf numFmtId="43" fontId="21" fillId="0" borderId="1" xfId="1" applyNumberFormat="1" applyFont="1" applyFill="1" applyBorder="1" applyAlignment="1">
      <alignment horizontal="center" wrapText="1"/>
    </xf>
    <xf numFmtId="0" fontId="21" fillId="0" borderId="3" xfId="0" applyFont="1" applyFill="1" applyBorder="1" applyAlignment="1">
      <alignment horizontal="left" wrapText="1"/>
    </xf>
    <xf numFmtId="0" fontId="21" fillId="0" borderId="4" xfId="0" applyFont="1" applyFill="1" applyBorder="1" applyAlignment="1">
      <alignment horizontal="left" wrapText="1"/>
    </xf>
    <xf numFmtId="0" fontId="21" fillId="0" borderId="5" xfId="0" applyFont="1" applyFill="1" applyBorder="1" applyAlignment="1">
      <alignment horizontal="left" wrapText="1"/>
    </xf>
    <xf numFmtId="3" fontId="22" fillId="0" borderId="3" xfId="0" applyNumberFormat="1" applyFont="1" applyBorder="1" applyAlignment="1">
      <alignment horizontal="center" wrapText="1"/>
    </xf>
    <xf numFmtId="3" fontId="22" fillId="0" borderId="5" xfId="0" applyNumberFormat="1" applyFont="1" applyBorder="1" applyAlignment="1">
      <alignment horizontal="center" wrapText="1"/>
    </xf>
    <xf numFmtId="0" fontId="21" fillId="0" borderId="3" xfId="0" applyFont="1" applyBorder="1" applyAlignment="1">
      <alignment horizontal="left" wrapText="1"/>
    </xf>
    <xf numFmtId="0" fontId="21" fillId="0" borderId="4" xfId="0" applyFont="1" applyBorder="1" applyAlignment="1">
      <alignment horizontal="left" wrapText="1"/>
    </xf>
    <xf numFmtId="0" fontId="21" fillId="0" borderId="5" xfId="0" applyFont="1" applyBorder="1" applyAlignment="1">
      <alignment horizontal="left" wrapText="1"/>
    </xf>
    <xf numFmtId="43" fontId="21" fillId="0" borderId="1" xfId="1" applyNumberFormat="1" applyFont="1" applyBorder="1" applyAlignment="1">
      <alignment horizontal="center" wrapText="1"/>
    </xf>
    <xf numFmtId="0" fontId="25" fillId="0" borderId="4" xfId="0" applyFont="1" applyBorder="1" applyAlignment="1">
      <alignment vertical="top" wrapText="1"/>
    </xf>
    <xf numFmtId="0" fontId="25" fillId="0" borderId="5" xfId="0" applyFont="1" applyBorder="1" applyAlignment="1">
      <alignment vertical="top" wrapText="1"/>
    </xf>
    <xf numFmtId="43" fontId="22" fillId="0" borderId="1" xfId="1" applyFont="1" applyFill="1" applyBorder="1" applyAlignment="1">
      <alignment horizontal="center"/>
    </xf>
    <xf numFmtId="0" fontId="22" fillId="0" borderId="1" xfId="0" applyFont="1" applyBorder="1" applyAlignment="1">
      <alignment horizontal="left" vertical="top" wrapText="1"/>
    </xf>
    <xf numFmtId="43" fontId="5" fillId="0" borderId="0" xfId="0" applyNumberFormat="1" applyFont="1" applyAlignment="1">
      <alignment horizontal="center"/>
    </xf>
    <xf numFmtId="43" fontId="3" fillId="0" borderId="0" xfId="0" applyNumberFormat="1" applyFont="1" applyAlignment="1">
      <alignment horizontal="center"/>
    </xf>
    <xf numFmtId="0" fontId="3" fillId="0" borderId="1" xfId="0" applyFont="1" applyBorder="1" applyAlignment="1">
      <alignment horizontal="right" wrapText="1"/>
    </xf>
    <xf numFmtId="0" fontId="3" fillId="0" borderId="1" xfId="0" applyFont="1" applyBorder="1" applyAlignment="1">
      <alignment horizontal="center" wrapText="1"/>
    </xf>
    <xf numFmtId="43" fontId="3" fillId="0" borderId="4" xfId="1" applyFont="1" applyBorder="1" applyAlignment="1"/>
    <xf numFmtId="43" fontId="3" fillId="0" borderId="5" xfId="1" applyFont="1" applyBorder="1" applyAlignment="1"/>
    <xf numFmtId="0" fontId="3" fillId="0" borderId="1" xfId="0" applyFont="1" applyBorder="1" applyAlignment="1"/>
    <xf numFmtId="43" fontId="5" fillId="0" borderId="1" xfId="1" applyFont="1" applyBorder="1" applyAlignment="1">
      <alignment horizontal="center" wrapText="1"/>
    </xf>
    <xf numFmtId="0" fontId="7" fillId="0" borderId="1" xfId="0" applyFont="1" applyBorder="1" applyAlignment="1">
      <alignment horizontal="center" vertical="top"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0" fontId="3" fillId="0" borderId="5" xfId="0" applyFont="1" applyFill="1" applyBorder="1" applyAlignment="1">
      <alignment horizontal="left" wrapText="1"/>
    </xf>
    <xf numFmtId="0" fontId="3" fillId="0" borderId="3" xfId="0" applyFont="1" applyFill="1" applyBorder="1" applyAlignment="1">
      <alignment horizontal="center" wrapText="1"/>
    </xf>
    <xf numFmtId="0" fontId="3" fillId="0" borderId="5" xfId="0" applyFont="1" applyFill="1" applyBorder="1" applyAlignment="1">
      <alignment horizontal="center" wrapText="1"/>
    </xf>
    <xf numFmtId="43" fontId="3" fillId="0" borderId="1" xfId="1" applyFont="1" applyBorder="1" applyAlignment="1">
      <alignment horizontal="center" wrapText="1"/>
    </xf>
    <xf numFmtId="43" fontId="5" fillId="0" borderId="1" xfId="0" applyNumberFormat="1" applyFont="1" applyBorder="1" applyAlignment="1">
      <alignment horizontal="center" wrapText="1"/>
    </xf>
    <xf numFmtId="0" fontId="5" fillId="0" borderId="1" xfId="0" applyFont="1" applyBorder="1" applyAlignment="1">
      <alignment horizontal="center" wrapText="1"/>
    </xf>
    <xf numFmtId="0" fontId="2" fillId="0" borderId="0" xfId="0" applyFont="1" applyAlignment="1">
      <alignment horizontal="center"/>
    </xf>
    <xf numFmtId="0" fontId="3" fillId="0" borderId="1" xfId="0" applyFont="1" applyBorder="1" applyAlignment="1">
      <alignment horizontal="left" wrapText="1"/>
    </xf>
    <xf numFmtId="0" fontId="3" fillId="2" borderId="3"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3" xfId="0" applyFont="1" applyFill="1" applyBorder="1" applyAlignment="1">
      <alignment horizontal="center" wrapText="1"/>
    </xf>
    <xf numFmtId="0" fontId="3" fillId="2" borderId="5" xfId="0" applyFont="1" applyFill="1" applyBorder="1" applyAlignment="1">
      <alignment horizontal="center" wrapText="1"/>
    </xf>
    <xf numFmtId="43" fontId="3" fillId="2" borderId="4" xfId="1" applyFont="1" applyFill="1" applyBorder="1" applyAlignment="1"/>
    <xf numFmtId="43" fontId="3" fillId="2" borderId="5" xfId="1" applyFont="1" applyFill="1" applyBorder="1" applyAlignment="1"/>
    <xf numFmtId="0" fontId="3" fillId="0" borderId="3" xfId="0" applyFont="1" applyBorder="1" applyAlignment="1">
      <alignment horizontal="right" wrapText="1"/>
    </xf>
    <xf numFmtId="0" fontId="3" fillId="0" borderId="4" xfId="0" applyFont="1" applyBorder="1" applyAlignment="1">
      <alignment horizontal="right" wrapText="1"/>
    </xf>
    <xf numFmtId="0" fontId="3" fillId="0" borderId="5" xfId="0" applyFont="1" applyBorder="1" applyAlignment="1">
      <alignment horizontal="right" wrapText="1"/>
    </xf>
    <xf numFmtId="0" fontId="4" fillId="0" borderId="1" xfId="0" applyFont="1" applyBorder="1" applyAlignment="1">
      <alignment horizontal="right" wrapText="1"/>
    </xf>
    <xf numFmtId="0" fontId="4" fillId="0" borderId="3" xfId="0" applyFont="1" applyBorder="1" applyAlignment="1">
      <alignment horizontal="center" wrapText="1"/>
    </xf>
    <xf numFmtId="0" fontId="4" fillId="0" borderId="5" xfId="0" applyFont="1" applyBorder="1" applyAlignment="1">
      <alignment horizontal="center" wrapText="1"/>
    </xf>
    <xf numFmtId="43" fontId="5" fillId="0" borderId="1" xfId="0" applyNumberFormat="1" applyFont="1" applyBorder="1" applyAlignment="1"/>
    <xf numFmtId="0" fontId="5" fillId="0" borderId="1" xfId="0" applyFont="1" applyBorder="1" applyAlignment="1"/>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3" fillId="0" borderId="3" xfId="0" applyFont="1" applyBorder="1" applyAlignment="1">
      <alignment horizontal="center" wrapText="1"/>
    </xf>
    <xf numFmtId="0" fontId="3" fillId="0" borderId="5"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horizontal="left"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6"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center" wrapText="1"/>
    </xf>
    <xf numFmtId="0" fontId="3" fillId="0" borderId="11" xfId="0" applyFont="1" applyBorder="1" applyAlignment="1">
      <alignment horizontal="center" wrapText="1"/>
    </xf>
    <xf numFmtId="0" fontId="3" fillId="0" borderId="12" xfId="0" applyFont="1" applyBorder="1" applyAlignment="1">
      <alignment horizontal="center" wrapText="1"/>
    </xf>
    <xf numFmtId="0" fontId="3" fillId="0" borderId="13" xfId="0" applyFont="1" applyBorder="1" applyAlignment="1">
      <alignment horizontal="center" wrapText="1"/>
    </xf>
    <xf numFmtId="43" fontId="6" fillId="0" borderId="0" xfId="1" applyNumberFormat="1" applyFont="1" applyBorder="1" applyAlignment="1">
      <alignment horizontal="center" vertical="top"/>
    </xf>
    <xf numFmtId="0" fontId="7" fillId="0" borderId="7" xfId="0" applyFont="1" applyBorder="1" applyAlignment="1">
      <alignment horizontal="center"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xf numFmtId="0" fontId="7" fillId="0" borderId="12" xfId="0" applyFont="1" applyBorder="1" applyAlignment="1">
      <alignment horizontal="center" vertical="top" wrapText="1"/>
    </xf>
    <xf numFmtId="0" fontId="7" fillId="0" borderId="6" xfId="0" applyFont="1" applyBorder="1" applyAlignment="1">
      <alignment horizontal="center" vertical="top" wrapText="1"/>
    </xf>
    <xf numFmtId="0" fontId="7" fillId="0" borderId="13" xfId="0" applyFont="1" applyBorder="1" applyAlignment="1">
      <alignment horizontal="center" vertical="top" wrapText="1"/>
    </xf>
    <xf numFmtId="43" fontId="6" fillId="0" borderId="0" xfId="1" applyNumberFormat="1" applyFont="1" applyAlignment="1">
      <alignment horizontal="center" vertical="top"/>
    </xf>
    <xf numFmtId="0" fontId="3" fillId="0" borderId="1" xfId="0" applyFont="1" applyFill="1" applyBorder="1" applyAlignment="1">
      <alignment horizontal="left" wrapText="1"/>
    </xf>
    <xf numFmtId="0" fontId="3" fillId="0" borderId="4" xfId="0" applyFont="1" applyBorder="1" applyAlignment="1">
      <alignment horizontal="center" wrapText="1"/>
    </xf>
    <xf numFmtId="43" fontId="3" fillId="2" borderId="1" xfId="0" applyNumberFormat="1" applyFont="1" applyFill="1" applyBorder="1" applyAlignment="1">
      <alignment horizontal="center" wrapText="1"/>
    </xf>
    <xf numFmtId="0" fontId="3" fillId="2" borderId="1" xfId="0" applyFont="1" applyFill="1" applyBorder="1" applyAlignment="1">
      <alignment horizontal="center" wrapText="1"/>
    </xf>
    <xf numFmtId="3" fontId="3" fillId="0" borderId="1" xfId="0" applyNumberFormat="1" applyFont="1" applyBorder="1" applyAlignment="1">
      <alignment horizontal="center" wrapText="1"/>
    </xf>
    <xf numFmtId="2" fontId="3" fillId="0" borderId="1" xfId="0" applyNumberFormat="1" applyFont="1" applyBorder="1" applyAlignment="1">
      <alignment horizontal="center" wrapText="1"/>
    </xf>
    <xf numFmtId="0" fontId="2" fillId="0" borderId="0" xfId="0" applyFont="1" applyAlignment="1">
      <alignment horizont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166" fontId="3" fillId="0" borderId="1" xfId="0" applyNumberFormat="1" applyFont="1" applyBorder="1" applyAlignment="1">
      <alignment horizontal="center" wrapText="1"/>
    </xf>
    <xf numFmtId="43" fontId="5" fillId="0" borderId="1" xfId="1" applyFont="1" applyBorder="1" applyAlignment="1"/>
    <xf numFmtId="0" fontId="6" fillId="0" borderId="0" xfId="0" applyNumberFormat="1" applyFont="1" applyAlignment="1">
      <alignment horizontal="center" vertical="top" wrapText="1"/>
    </xf>
    <xf numFmtId="0" fontId="3" fillId="0" borderId="1" xfId="0" applyFont="1" applyBorder="1" applyAlignment="1">
      <alignment wrapText="1"/>
    </xf>
    <xf numFmtId="43" fontId="3" fillId="0" borderId="1" xfId="0" applyNumberFormat="1" applyFont="1" applyBorder="1" applyAlignment="1"/>
    <xf numFmtId="0" fontId="3" fillId="2" borderId="1" xfId="0" applyFont="1" applyFill="1" applyBorder="1" applyAlignment="1">
      <alignment wrapText="1"/>
    </xf>
    <xf numFmtId="169" fontId="3" fillId="2" borderId="1" xfId="1" applyNumberFormat="1" applyFont="1" applyFill="1" applyBorder="1" applyAlignment="1"/>
    <xf numFmtId="43" fontId="3" fillId="2" borderId="1" xfId="0" applyNumberFormat="1" applyFont="1" applyFill="1" applyBorder="1" applyAlignment="1"/>
    <xf numFmtId="169" fontId="3" fillId="0" borderId="1" xfId="1" applyNumberFormat="1" applyFont="1" applyBorder="1" applyAlignment="1"/>
    <xf numFmtId="0" fontId="3" fillId="0" borderId="1" xfId="0" applyFont="1" applyBorder="1" applyAlignment="1">
      <alignment horizontal="justify" wrapText="1"/>
    </xf>
    <xf numFmtId="0" fontId="3" fillId="0" borderId="1" xfId="0" applyFont="1" applyBorder="1" applyAlignment="1">
      <alignment horizontal="righ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center" vertical="top" wrapText="1"/>
    </xf>
    <xf numFmtId="3" fontId="3" fillId="2" borderId="1" xfId="0" applyNumberFormat="1" applyFont="1" applyFill="1" applyBorder="1" applyAlignment="1">
      <alignment horizontal="center" wrapText="1"/>
    </xf>
    <xf numFmtId="43" fontId="3" fillId="2" borderId="1" xfId="1" applyFont="1" applyFill="1" applyBorder="1" applyAlignment="1">
      <alignment horizont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2" fillId="0" borderId="0" xfId="0" applyFont="1" applyAlignment="1">
      <alignment horizontal="center" vertical="center" wrapText="1"/>
    </xf>
  </cellXfs>
  <cellStyles count="10">
    <cellStyle name="Обычный" xfId="0" builtinId="0"/>
    <cellStyle name="Обычный 2" xfId="4"/>
    <cellStyle name="Обычный 3" xfId="6"/>
    <cellStyle name="Обычный_1. Штатное + тарификация на 01.09.2011" xfId="3"/>
    <cellStyle name="Процентный" xfId="2" builtinId="5"/>
    <cellStyle name="Процентный 2" xfId="7"/>
    <cellStyle name="Финансовый" xfId="1" builtinId="3"/>
    <cellStyle name="Финансовый 2" xfId="5"/>
    <cellStyle name="Финансовый 3" xfId="8"/>
    <cellStyle name="Финансовый 3 2" xfId="9"/>
  </cellStyles>
  <dxfs count="0"/>
  <tableStyles count="0" defaultTableStyle="TableStyleMedium9" defaultPivotStyle="PivotStyleLight16"/>
  <colors>
    <mruColors>
      <color rgb="FFFF66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H128"/>
  <sheetViews>
    <sheetView topLeftCell="A75" workbookViewId="0">
      <selection activeCell="ES92" sqref="ES92:FE92"/>
    </sheetView>
  </sheetViews>
  <sheetFormatPr defaultColWidth="0.85546875" defaultRowHeight="11.25" x14ac:dyDescent="0.2"/>
  <cols>
    <col min="1" max="18" width="0.85546875" style="482"/>
    <col min="19" max="19" width="0.85546875" style="482" customWidth="1"/>
    <col min="20" max="60" width="0.85546875" style="482"/>
    <col min="61" max="61" width="6" style="482" customWidth="1"/>
    <col min="62" max="65" width="0.85546875" style="482"/>
    <col min="66" max="66" width="0.85546875" style="482" customWidth="1"/>
    <col min="67" max="68" width="0.85546875" style="482"/>
    <col min="69" max="69" width="0.7109375" style="482" customWidth="1"/>
    <col min="70" max="73" width="0.85546875" style="482" hidden="1" customWidth="1"/>
    <col min="74" max="81" width="0.85546875" style="482"/>
    <col min="82" max="83" width="0.85546875" style="482" customWidth="1"/>
    <col min="84" max="93" width="0.85546875" style="482"/>
    <col min="94" max="94" width="0.140625" style="482" customWidth="1"/>
    <col min="95" max="96" width="0.85546875" style="482" hidden="1" customWidth="1"/>
    <col min="97" max="104" width="0.85546875" style="482"/>
    <col min="105" max="105" width="3.85546875" style="482" customWidth="1"/>
    <col min="106" max="106" width="0.140625" style="482" customWidth="1"/>
    <col min="107" max="109" width="0.85546875" style="482" hidden="1" customWidth="1"/>
    <col min="110" max="118" width="0.85546875" style="482"/>
    <col min="119" max="119" width="2.42578125" style="482" customWidth="1"/>
    <col min="120" max="133" width="0.85546875" style="482"/>
    <col min="134" max="134" width="2.85546875" style="482" customWidth="1"/>
    <col min="135" max="145" width="0.85546875" style="482"/>
    <col min="146" max="146" width="3.5703125" style="482" customWidth="1"/>
    <col min="147" max="161" width="0.85546875" style="482"/>
    <col min="162" max="162" width="18.7109375" style="482" customWidth="1"/>
    <col min="163" max="163" width="16.7109375" style="482" customWidth="1"/>
    <col min="164" max="164" width="12.5703125" style="482" customWidth="1"/>
    <col min="165" max="274" width="0.85546875" style="482"/>
    <col min="275" max="275" width="0.85546875" style="482" customWidth="1"/>
    <col min="276" max="321" width="0.85546875" style="482"/>
    <col min="322" max="322" width="0.85546875" style="482" customWidth="1"/>
    <col min="323" max="324" width="0.85546875" style="482"/>
    <col min="325" max="325" width="0.7109375" style="482" customWidth="1"/>
    <col min="326" max="329" width="0" style="482" hidden="1" customWidth="1"/>
    <col min="330" max="337" width="0.85546875" style="482"/>
    <col min="338" max="339" width="0.85546875" style="482" customWidth="1"/>
    <col min="340" max="349" width="0.85546875" style="482"/>
    <col min="350" max="350" width="0.140625" style="482" customWidth="1"/>
    <col min="351" max="352" width="0" style="482" hidden="1" customWidth="1"/>
    <col min="353" max="360" width="0.85546875" style="482"/>
    <col min="361" max="361" width="3.85546875" style="482" customWidth="1"/>
    <col min="362" max="362" width="0.140625" style="482" customWidth="1"/>
    <col min="363" max="365" width="0" style="482" hidden="1" customWidth="1"/>
    <col min="366" max="374" width="0.85546875" style="482"/>
    <col min="375" max="375" width="2.42578125" style="482" customWidth="1"/>
    <col min="376" max="389" width="0.85546875" style="482"/>
    <col min="390" max="390" width="2.85546875" style="482" customWidth="1"/>
    <col min="391" max="401" width="0.85546875" style="482"/>
    <col min="402" max="402" width="3.5703125" style="482" customWidth="1"/>
    <col min="403" max="417" width="0.85546875" style="482"/>
    <col min="418" max="418" width="18.7109375" style="482" customWidth="1"/>
    <col min="419" max="530" width="0.85546875" style="482"/>
    <col min="531" max="531" width="0.85546875" style="482" customWidth="1"/>
    <col min="532" max="577" width="0.85546875" style="482"/>
    <col min="578" max="578" width="0.85546875" style="482" customWidth="1"/>
    <col min="579" max="580" width="0.85546875" style="482"/>
    <col min="581" max="581" width="0.7109375" style="482" customWidth="1"/>
    <col min="582" max="585" width="0" style="482" hidden="1" customWidth="1"/>
    <col min="586" max="593" width="0.85546875" style="482"/>
    <col min="594" max="595" width="0.85546875" style="482" customWidth="1"/>
    <col min="596" max="605" width="0.85546875" style="482"/>
    <col min="606" max="606" width="0.140625" style="482" customWidth="1"/>
    <col min="607" max="608" width="0" style="482" hidden="1" customWidth="1"/>
    <col min="609" max="616" width="0.85546875" style="482"/>
    <col min="617" max="617" width="3.85546875" style="482" customWidth="1"/>
    <col min="618" max="618" width="0.140625" style="482" customWidth="1"/>
    <col min="619" max="621" width="0" style="482" hidden="1" customWidth="1"/>
    <col min="622" max="630" width="0.85546875" style="482"/>
    <col min="631" max="631" width="2.42578125" style="482" customWidth="1"/>
    <col min="632" max="645" width="0.85546875" style="482"/>
    <col min="646" max="646" width="2.85546875" style="482" customWidth="1"/>
    <col min="647" max="657" width="0.85546875" style="482"/>
    <col min="658" max="658" width="3.5703125" style="482" customWidth="1"/>
    <col min="659" max="673" width="0.85546875" style="482"/>
    <col min="674" max="674" width="18.7109375" style="482" customWidth="1"/>
    <col min="675" max="786" width="0.85546875" style="482"/>
    <col min="787" max="787" width="0.85546875" style="482" customWidth="1"/>
    <col min="788" max="833" width="0.85546875" style="482"/>
    <col min="834" max="834" width="0.85546875" style="482" customWidth="1"/>
    <col min="835" max="836" width="0.85546875" style="482"/>
    <col min="837" max="837" width="0.7109375" style="482" customWidth="1"/>
    <col min="838" max="841" width="0" style="482" hidden="1" customWidth="1"/>
    <col min="842" max="849" width="0.85546875" style="482"/>
    <col min="850" max="851" width="0.85546875" style="482" customWidth="1"/>
    <col min="852" max="861" width="0.85546875" style="482"/>
    <col min="862" max="862" width="0.140625" style="482" customWidth="1"/>
    <col min="863" max="864" width="0" style="482" hidden="1" customWidth="1"/>
    <col min="865" max="872" width="0.85546875" style="482"/>
    <col min="873" max="873" width="3.85546875" style="482" customWidth="1"/>
    <col min="874" max="874" width="0.140625" style="482" customWidth="1"/>
    <col min="875" max="877" width="0" style="482" hidden="1" customWidth="1"/>
    <col min="878" max="886" width="0.85546875" style="482"/>
    <col min="887" max="887" width="2.42578125" style="482" customWidth="1"/>
    <col min="888" max="901" width="0.85546875" style="482"/>
    <col min="902" max="902" width="2.85546875" style="482" customWidth="1"/>
    <col min="903" max="913" width="0.85546875" style="482"/>
    <col min="914" max="914" width="3.5703125" style="482" customWidth="1"/>
    <col min="915" max="929" width="0.85546875" style="482"/>
    <col min="930" max="930" width="18.7109375" style="482" customWidth="1"/>
    <col min="931" max="1042" width="0.85546875" style="482"/>
    <col min="1043" max="1043" width="0.85546875" style="482" customWidth="1"/>
    <col min="1044" max="1089" width="0.85546875" style="482"/>
    <col min="1090" max="1090" width="0.85546875" style="482" customWidth="1"/>
    <col min="1091" max="1092" width="0.85546875" style="482"/>
    <col min="1093" max="1093" width="0.7109375" style="482" customWidth="1"/>
    <col min="1094" max="1097" width="0" style="482" hidden="1" customWidth="1"/>
    <col min="1098" max="1105" width="0.85546875" style="482"/>
    <col min="1106" max="1107" width="0.85546875" style="482" customWidth="1"/>
    <col min="1108" max="1117" width="0.85546875" style="482"/>
    <col min="1118" max="1118" width="0.140625" style="482" customWidth="1"/>
    <col min="1119" max="1120" width="0" style="482" hidden="1" customWidth="1"/>
    <col min="1121" max="1128" width="0.85546875" style="482"/>
    <col min="1129" max="1129" width="3.85546875" style="482" customWidth="1"/>
    <col min="1130" max="1130" width="0.140625" style="482" customWidth="1"/>
    <col min="1131" max="1133" width="0" style="482" hidden="1" customWidth="1"/>
    <col min="1134" max="1142" width="0.85546875" style="482"/>
    <col min="1143" max="1143" width="2.42578125" style="482" customWidth="1"/>
    <col min="1144" max="1157" width="0.85546875" style="482"/>
    <col min="1158" max="1158" width="2.85546875" style="482" customWidth="1"/>
    <col min="1159" max="1169" width="0.85546875" style="482"/>
    <col min="1170" max="1170" width="3.5703125" style="482" customWidth="1"/>
    <col min="1171" max="1185" width="0.85546875" style="482"/>
    <col min="1186" max="1186" width="18.7109375" style="482" customWidth="1"/>
    <col min="1187" max="1298" width="0.85546875" style="482"/>
    <col min="1299" max="1299" width="0.85546875" style="482" customWidth="1"/>
    <col min="1300" max="1345" width="0.85546875" style="482"/>
    <col min="1346" max="1346" width="0.85546875" style="482" customWidth="1"/>
    <col min="1347" max="1348" width="0.85546875" style="482"/>
    <col min="1349" max="1349" width="0.7109375" style="482" customWidth="1"/>
    <col min="1350" max="1353" width="0" style="482" hidden="1" customWidth="1"/>
    <col min="1354" max="1361" width="0.85546875" style="482"/>
    <col min="1362" max="1363" width="0.85546875" style="482" customWidth="1"/>
    <col min="1364" max="1373" width="0.85546875" style="482"/>
    <col min="1374" max="1374" width="0.140625" style="482" customWidth="1"/>
    <col min="1375" max="1376" width="0" style="482" hidden="1" customWidth="1"/>
    <col min="1377" max="1384" width="0.85546875" style="482"/>
    <col min="1385" max="1385" width="3.85546875" style="482" customWidth="1"/>
    <col min="1386" max="1386" width="0.140625" style="482" customWidth="1"/>
    <col min="1387" max="1389" width="0" style="482" hidden="1" customWidth="1"/>
    <col min="1390" max="1398" width="0.85546875" style="482"/>
    <col min="1399" max="1399" width="2.42578125" style="482" customWidth="1"/>
    <col min="1400" max="1413" width="0.85546875" style="482"/>
    <col min="1414" max="1414" width="2.85546875" style="482" customWidth="1"/>
    <col min="1415" max="1425" width="0.85546875" style="482"/>
    <col min="1426" max="1426" width="3.5703125" style="482" customWidth="1"/>
    <col min="1427" max="1441" width="0.85546875" style="482"/>
    <col min="1442" max="1442" width="18.7109375" style="482" customWidth="1"/>
    <col min="1443" max="1554" width="0.85546875" style="482"/>
    <col min="1555" max="1555" width="0.85546875" style="482" customWidth="1"/>
    <col min="1556" max="1601" width="0.85546875" style="482"/>
    <col min="1602" max="1602" width="0.85546875" style="482" customWidth="1"/>
    <col min="1603" max="1604" width="0.85546875" style="482"/>
    <col min="1605" max="1605" width="0.7109375" style="482" customWidth="1"/>
    <col min="1606" max="1609" width="0" style="482" hidden="1" customWidth="1"/>
    <col min="1610" max="1617" width="0.85546875" style="482"/>
    <col min="1618" max="1619" width="0.85546875" style="482" customWidth="1"/>
    <col min="1620" max="1629" width="0.85546875" style="482"/>
    <col min="1630" max="1630" width="0.140625" style="482" customWidth="1"/>
    <col min="1631" max="1632" width="0" style="482" hidden="1" customWidth="1"/>
    <col min="1633" max="1640" width="0.85546875" style="482"/>
    <col min="1641" max="1641" width="3.85546875" style="482" customWidth="1"/>
    <col min="1642" max="1642" width="0.140625" style="482" customWidth="1"/>
    <col min="1643" max="1645" width="0" style="482" hidden="1" customWidth="1"/>
    <col min="1646" max="1654" width="0.85546875" style="482"/>
    <col min="1655" max="1655" width="2.42578125" style="482" customWidth="1"/>
    <col min="1656" max="1669" width="0.85546875" style="482"/>
    <col min="1670" max="1670" width="2.85546875" style="482" customWidth="1"/>
    <col min="1671" max="1681" width="0.85546875" style="482"/>
    <col min="1682" max="1682" width="3.5703125" style="482" customWidth="1"/>
    <col min="1683" max="1697" width="0.85546875" style="482"/>
    <col min="1698" max="1698" width="18.7109375" style="482" customWidth="1"/>
    <col min="1699" max="1810" width="0.85546875" style="482"/>
    <col min="1811" max="1811" width="0.85546875" style="482" customWidth="1"/>
    <col min="1812" max="1857" width="0.85546875" style="482"/>
    <col min="1858" max="1858" width="0.85546875" style="482" customWidth="1"/>
    <col min="1859" max="1860" width="0.85546875" style="482"/>
    <col min="1861" max="1861" width="0.7109375" style="482" customWidth="1"/>
    <col min="1862" max="1865" width="0" style="482" hidden="1" customWidth="1"/>
    <col min="1866" max="1873" width="0.85546875" style="482"/>
    <col min="1874" max="1875" width="0.85546875" style="482" customWidth="1"/>
    <col min="1876" max="1885" width="0.85546875" style="482"/>
    <col min="1886" max="1886" width="0.140625" style="482" customWidth="1"/>
    <col min="1887" max="1888" width="0" style="482" hidden="1" customWidth="1"/>
    <col min="1889" max="1896" width="0.85546875" style="482"/>
    <col min="1897" max="1897" width="3.85546875" style="482" customWidth="1"/>
    <col min="1898" max="1898" width="0.140625" style="482" customWidth="1"/>
    <col min="1899" max="1901" width="0" style="482" hidden="1" customWidth="1"/>
    <col min="1902" max="1910" width="0.85546875" style="482"/>
    <col min="1911" max="1911" width="2.42578125" style="482" customWidth="1"/>
    <col min="1912" max="1925" width="0.85546875" style="482"/>
    <col min="1926" max="1926" width="2.85546875" style="482" customWidth="1"/>
    <col min="1927" max="1937" width="0.85546875" style="482"/>
    <col min="1938" max="1938" width="3.5703125" style="482" customWidth="1"/>
    <col min="1939" max="1953" width="0.85546875" style="482"/>
    <col min="1954" max="1954" width="18.7109375" style="482" customWidth="1"/>
    <col min="1955" max="2066" width="0.85546875" style="482"/>
    <col min="2067" max="2067" width="0.85546875" style="482" customWidth="1"/>
    <col min="2068" max="2113" width="0.85546875" style="482"/>
    <col min="2114" max="2114" width="0.85546875" style="482" customWidth="1"/>
    <col min="2115" max="2116" width="0.85546875" style="482"/>
    <col min="2117" max="2117" width="0.7109375" style="482" customWidth="1"/>
    <col min="2118" max="2121" width="0" style="482" hidden="1" customWidth="1"/>
    <col min="2122" max="2129" width="0.85546875" style="482"/>
    <col min="2130" max="2131" width="0.85546875" style="482" customWidth="1"/>
    <col min="2132" max="2141" width="0.85546875" style="482"/>
    <col min="2142" max="2142" width="0.140625" style="482" customWidth="1"/>
    <col min="2143" max="2144" width="0" style="482" hidden="1" customWidth="1"/>
    <col min="2145" max="2152" width="0.85546875" style="482"/>
    <col min="2153" max="2153" width="3.85546875" style="482" customWidth="1"/>
    <col min="2154" max="2154" width="0.140625" style="482" customWidth="1"/>
    <col min="2155" max="2157" width="0" style="482" hidden="1" customWidth="1"/>
    <col min="2158" max="2166" width="0.85546875" style="482"/>
    <col min="2167" max="2167" width="2.42578125" style="482" customWidth="1"/>
    <col min="2168" max="2181" width="0.85546875" style="482"/>
    <col min="2182" max="2182" width="2.85546875" style="482" customWidth="1"/>
    <col min="2183" max="2193" width="0.85546875" style="482"/>
    <col min="2194" max="2194" width="3.5703125" style="482" customWidth="1"/>
    <col min="2195" max="2209" width="0.85546875" style="482"/>
    <col min="2210" max="2210" width="18.7109375" style="482" customWidth="1"/>
    <col min="2211" max="2322" width="0.85546875" style="482"/>
    <col min="2323" max="2323" width="0.85546875" style="482" customWidth="1"/>
    <col min="2324" max="2369" width="0.85546875" style="482"/>
    <col min="2370" max="2370" width="0.85546875" style="482" customWidth="1"/>
    <col min="2371" max="2372" width="0.85546875" style="482"/>
    <col min="2373" max="2373" width="0.7109375" style="482" customWidth="1"/>
    <col min="2374" max="2377" width="0" style="482" hidden="1" customWidth="1"/>
    <col min="2378" max="2385" width="0.85546875" style="482"/>
    <col min="2386" max="2387" width="0.85546875" style="482" customWidth="1"/>
    <col min="2388" max="2397" width="0.85546875" style="482"/>
    <col min="2398" max="2398" width="0.140625" style="482" customWidth="1"/>
    <col min="2399" max="2400" width="0" style="482" hidden="1" customWidth="1"/>
    <col min="2401" max="2408" width="0.85546875" style="482"/>
    <col min="2409" max="2409" width="3.85546875" style="482" customWidth="1"/>
    <col min="2410" max="2410" width="0.140625" style="482" customWidth="1"/>
    <col min="2411" max="2413" width="0" style="482" hidden="1" customWidth="1"/>
    <col min="2414" max="2422" width="0.85546875" style="482"/>
    <col min="2423" max="2423" width="2.42578125" style="482" customWidth="1"/>
    <col min="2424" max="2437" width="0.85546875" style="482"/>
    <col min="2438" max="2438" width="2.85546875" style="482" customWidth="1"/>
    <col min="2439" max="2449" width="0.85546875" style="482"/>
    <col min="2450" max="2450" width="3.5703125" style="482" customWidth="1"/>
    <col min="2451" max="2465" width="0.85546875" style="482"/>
    <col min="2466" max="2466" width="18.7109375" style="482" customWidth="1"/>
    <col min="2467" max="2578" width="0.85546875" style="482"/>
    <col min="2579" max="2579" width="0.85546875" style="482" customWidth="1"/>
    <col min="2580" max="2625" width="0.85546875" style="482"/>
    <col min="2626" max="2626" width="0.85546875" style="482" customWidth="1"/>
    <col min="2627" max="2628" width="0.85546875" style="482"/>
    <col min="2629" max="2629" width="0.7109375" style="482" customWidth="1"/>
    <col min="2630" max="2633" width="0" style="482" hidden="1" customWidth="1"/>
    <col min="2634" max="2641" width="0.85546875" style="482"/>
    <col min="2642" max="2643" width="0.85546875" style="482" customWidth="1"/>
    <col min="2644" max="2653" width="0.85546875" style="482"/>
    <col min="2654" max="2654" width="0.140625" style="482" customWidth="1"/>
    <col min="2655" max="2656" width="0" style="482" hidden="1" customWidth="1"/>
    <col min="2657" max="2664" width="0.85546875" style="482"/>
    <col min="2665" max="2665" width="3.85546875" style="482" customWidth="1"/>
    <col min="2666" max="2666" width="0.140625" style="482" customWidth="1"/>
    <col min="2667" max="2669" width="0" style="482" hidden="1" customWidth="1"/>
    <col min="2670" max="2678" width="0.85546875" style="482"/>
    <col min="2679" max="2679" width="2.42578125" style="482" customWidth="1"/>
    <col min="2680" max="2693" width="0.85546875" style="482"/>
    <col min="2694" max="2694" width="2.85546875" style="482" customWidth="1"/>
    <col min="2695" max="2705" width="0.85546875" style="482"/>
    <col min="2706" max="2706" width="3.5703125" style="482" customWidth="1"/>
    <col min="2707" max="2721" width="0.85546875" style="482"/>
    <col min="2722" max="2722" width="18.7109375" style="482" customWidth="1"/>
    <col min="2723" max="2834" width="0.85546875" style="482"/>
    <col min="2835" max="2835" width="0.85546875" style="482" customWidth="1"/>
    <col min="2836" max="2881" width="0.85546875" style="482"/>
    <col min="2882" max="2882" width="0.85546875" style="482" customWidth="1"/>
    <col min="2883" max="2884" width="0.85546875" style="482"/>
    <col min="2885" max="2885" width="0.7109375" style="482" customWidth="1"/>
    <col min="2886" max="2889" width="0" style="482" hidden="1" customWidth="1"/>
    <col min="2890" max="2897" width="0.85546875" style="482"/>
    <col min="2898" max="2899" width="0.85546875" style="482" customWidth="1"/>
    <col min="2900" max="2909" width="0.85546875" style="482"/>
    <col min="2910" max="2910" width="0.140625" style="482" customWidth="1"/>
    <col min="2911" max="2912" width="0" style="482" hidden="1" customWidth="1"/>
    <col min="2913" max="2920" width="0.85546875" style="482"/>
    <col min="2921" max="2921" width="3.85546875" style="482" customWidth="1"/>
    <col min="2922" max="2922" width="0.140625" style="482" customWidth="1"/>
    <col min="2923" max="2925" width="0" style="482" hidden="1" customWidth="1"/>
    <col min="2926" max="2934" width="0.85546875" style="482"/>
    <col min="2935" max="2935" width="2.42578125" style="482" customWidth="1"/>
    <col min="2936" max="2949" width="0.85546875" style="482"/>
    <col min="2950" max="2950" width="2.85546875" style="482" customWidth="1"/>
    <col min="2951" max="2961" width="0.85546875" style="482"/>
    <col min="2962" max="2962" width="3.5703125" style="482" customWidth="1"/>
    <col min="2963" max="2977" width="0.85546875" style="482"/>
    <col min="2978" max="2978" width="18.7109375" style="482" customWidth="1"/>
    <col min="2979" max="3090" width="0.85546875" style="482"/>
    <col min="3091" max="3091" width="0.85546875" style="482" customWidth="1"/>
    <col min="3092" max="3137" width="0.85546875" style="482"/>
    <col min="3138" max="3138" width="0.85546875" style="482" customWidth="1"/>
    <col min="3139" max="3140" width="0.85546875" style="482"/>
    <col min="3141" max="3141" width="0.7109375" style="482" customWidth="1"/>
    <col min="3142" max="3145" width="0" style="482" hidden="1" customWidth="1"/>
    <col min="3146" max="3153" width="0.85546875" style="482"/>
    <col min="3154" max="3155" width="0.85546875" style="482" customWidth="1"/>
    <col min="3156" max="3165" width="0.85546875" style="482"/>
    <col min="3166" max="3166" width="0.140625" style="482" customWidth="1"/>
    <col min="3167" max="3168" width="0" style="482" hidden="1" customWidth="1"/>
    <col min="3169" max="3176" width="0.85546875" style="482"/>
    <col min="3177" max="3177" width="3.85546875" style="482" customWidth="1"/>
    <col min="3178" max="3178" width="0.140625" style="482" customWidth="1"/>
    <col min="3179" max="3181" width="0" style="482" hidden="1" customWidth="1"/>
    <col min="3182" max="3190" width="0.85546875" style="482"/>
    <col min="3191" max="3191" width="2.42578125" style="482" customWidth="1"/>
    <col min="3192" max="3205" width="0.85546875" style="482"/>
    <col min="3206" max="3206" width="2.85546875" style="482" customWidth="1"/>
    <col min="3207" max="3217" width="0.85546875" style="482"/>
    <col min="3218" max="3218" width="3.5703125" style="482" customWidth="1"/>
    <col min="3219" max="3233" width="0.85546875" style="482"/>
    <col min="3234" max="3234" width="18.7109375" style="482" customWidth="1"/>
    <col min="3235" max="3346" width="0.85546875" style="482"/>
    <col min="3347" max="3347" width="0.85546875" style="482" customWidth="1"/>
    <col min="3348" max="3393" width="0.85546875" style="482"/>
    <col min="3394" max="3394" width="0.85546875" style="482" customWidth="1"/>
    <col min="3395" max="3396" width="0.85546875" style="482"/>
    <col min="3397" max="3397" width="0.7109375" style="482" customWidth="1"/>
    <col min="3398" max="3401" width="0" style="482" hidden="1" customWidth="1"/>
    <col min="3402" max="3409" width="0.85546875" style="482"/>
    <col min="3410" max="3411" width="0.85546875" style="482" customWidth="1"/>
    <col min="3412" max="3421" width="0.85546875" style="482"/>
    <col min="3422" max="3422" width="0.140625" style="482" customWidth="1"/>
    <col min="3423" max="3424" width="0" style="482" hidden="1" customWidth="1"/>
    <col min="3425" max="3432" width="0.85546875" style="482"/>
    <col min="3433" max="3433" width="3.85546875" style="482" customWidth="1"/>
    <col min="3434" max="3434" width="0.140625" style="482" customWidth="1"/>
    <col min="3435" max="3437" width="0" style="482" hidden="1" customWidth="1"/>
    <col min="3438" max="3446" width="0.85546875" style="482"/>
    <col min="3447" max="3447" width="2.42578125" style="482" customWidth="1"/>
    <col min="3448" max="3461" width="0.85546875" style="482"/>
    <col min="3462" max="3462" width="2.85546875" style="482" customWidth="1"/>
    <col min="3463" max="3473" width="0.85546875" style="482"/>
    <col min="3474" max="3474" width="3.5703125" style="482" customWidth="1"/>
    <col min="3475" max="3489" width="0.85546875" style="482"/>
    <col min="3490" max="3490" width="18.7109375" style="482" customWidth="1"/>
    <col min="3491" max="3602" width="0.85546875" style="482"/>
    <col min="3603" max="3603" width="0.85546875" style="482" customWidth="1"/>
    <col min="3604" max="3649" width="0.85546875" style="482"/>
    <col min="3650" max="3650" width="0.85546875" style="482" customWidth="1"/>
    <col min="3651" max="3652" width="0.85546875" style="482"/>
    <col min="3653" max="3653" width="0.7109375" style="482" customWidth="1"/>
    <col min="3654" max="3657" width="0" style="482" hidden="1" customWidth="1"/>
    <col min="3658" max="3665" width="0.85546875" style="482"/>
    <col min="3666" max="3667" width="0.85546875" style="482" customWidth="1"/>
    <col min="3668" max="3677" width="0.85546875" style="482"/>
    <col min="3678" max="3678" width="0.140625" style="482" customWidth="1"/>
    <col min="3679" max="3680" width="0" style="482" hidden="1" customWidth="1"/>
    <col min="3681" max="3688" width="0.85546875" style="482"/>
    <col min="3689" max="3689" width="3.85546875" style="482" customWidth="1"/>
    <col min="3690" max="3690" width="0.140625" style="482" customWidth="1"/>
    <col min="3691" max="3693" width="0" style="482" hidden="1" customWidth="1"/>
    <col min="3694" max="3702" width="0.85546875" style="482"/>
    <col min="3703" max="3703" width="2.42578125" style="482" customWidth="1"/>
    <col min="3704" max="3717" width="0.85546875" style="482"/>
    <col min="3718" max="3718" width="2.85546875" style="482" customWidth="1"/>
    <col min="3719" max="3729" width="0.85546875" style="482"/>
    <col min="3730" max="3730" width="3.5703125" style="482" customWidth="1"/>
    <col min="3731" max="3745" width="0.85546875" style="482"/>
    <col min="3746" max="3746" width="18.7109375" style="482" customWidth="1"/>
    <col min="3747" max="3858" width="0.85546875" style="482"/>
    <col min="3859" max="3859" width="0.85546875" style="482" customWidth="1"/>
    <col min="3860" max="3905" width="0.85546875" style="482"/>
    <col min="3906" max="3906" width="0.85546875" style="482" customWidth="1"/>
    <col min="3907" max="3908" width="0.85546875" style="482"/>
    <col min="3909" max="3909" width="0.7109375" style="482" customWidth="1"/>
    <col min="3910" max="3913" width="0" style="482" hidden="1" customWidth="1"/>
    <col min="3914" max="3921" width="0.85546875" style="482"/>
    <col min="3922" max="3923" width="0.85546875" style="482" customWidth="1"/>
    <col min="3924" max="3933" width="0.85546875" style="482"/>
    <col min="3934" max="3934" width="0.140625" style="482" customWidth="1"/>
    <col min="3935" max="3936" width="0" style="482" hidden="1" customWidth="1"/>
    <col min="3937" max="3944" width="0.85546875" style="482"/>
    <col min="3945" max="3945" width="3.85546875" style="482" customWidth="1"/>
    <col min="3946" max="3946" width="0.140625" style="482" customWidth="1"/>
    <col min="3947" max="3949" width="0" style="482" hidden="1" customWidth="1"/>
    <col min="3950" max="3958" width="0.85546875" style="482"/>
    <col min="3959" max="3959" width="2.42578125" style="482" customWidth="1"/>
    <col min="3960" max="3973" width="0.85546875" style="482"/>
    <col min="3974" max="3974" width="2.85546875" style="482" customWidth="1"/>
    <col min="3975" max="3985" width="0.85546875" style="482"/>
    <col min="3986" max="3986" width="3.5703125" style="482" customWidth="1"/>
    <col min="3987" max="4001" width="0.85546875" style="482"/>
    <col min="4002" max="4002" width="18.7109375" style="482" customWidth="1"/>
    <col min="4003" max="4114" width="0.85546875" style="482"/>
    <col min="4115" max="4115" width="0.85546875" style="482" customWidth="1"/>
    <col min="4116" max="4161" width="0.85546875" style="482"/>
    <col min="4162" max="4162" width="0.85546875" style="482" customWidth="1"/>
    <col min="4163" max="4164" width="0.85546875" style="482"/>
    <col min="4165" max="4165" width="0.7109375" style="482" customWidth="1"/>
    <col min="4166" max="4169" width="0" style="482" hidden="1" customWidth="1"/>
    <col min="4170" max="4177" width="0.85546875" style="482"/>
    <col min="4178" max="4179" width="0.85546875" style="482" customWidth="1"/>
    <col min="4180" max="4189" width="0.85546875" style="482"/>
    <col min="4190" max="4190" width="0.140625" style="482" customWidth="1"/>
    <col min="4191" max="4192" width="0" style="482" hidden="1" customWidth="1"/>
    <col min="4193" max="4200" width="0.85546875" style="482"/>
    <col min="4201" max="4201" width="3.85546875" style="482" customWidth="1"/>
    <col min="4202" max="4202" width="0.140625" style="482" customWidth="1"/>
    <col min="4203" max="4205" width="0" style="482" hidden="1" customWidth="1"/>
    <col min="4206" max="4214" width="0.85546875" style="482"/>
    <col min="4215" max="4215" width="2.42578125" style="482" customWidth="1"/>
    <col min="4216" max="4229" width="0.85546875" style="482"/>
    <col min="4230" max="4230" width="2.85546875" style="482" customWidth="1"/>
    <col min="4231" max="4241" width="0.85546875" style="482"/>
    <col min="4242" max="4242" width="3.5703125" style="482" customWidth="1"/>
    <col min="4243" max="4257" width="0.85546875" style="482"/>
    <col min="4258" max="4258" width="18.7109375" style="482" customWidth="1"/>
    <col min="4259" max="4370" width="0.85546875" style="482"/>
    <col min="4371" max="4371" width="0.85546875" style="482" customWidth="1"/>
    <col min="4372" max="4417" width="0.85546875" style="482"/>
    <col min="4418" max="4418" width="0.85546875" style="482" customWidth="1"/>
    <col min="4419" max="4420" width="0.85546875" style="482"/>
    <col min="4421" max="4421" width="0.7109375" style="482" customWidth="1"/>
    <col min="4422" max="4425" width="0" style="482" hidden="1" customWidth="1"/>
    <col min="4426" max="4433" width="0.85546875" style="482"/>
    <col min="4434" max="4435" width="0.85546875" style="482" customWidth="1"/>
    <col min="4436" max="4445" width="0.85546875" style="482"/>
    <col min="4446" max="4446" width="0.140625" style="482" customWidth="1"/>
    <col min="4447" max="4448" width="0" style="482" hidden="1" customWidth="1"/>
    <col min="4449" max="4456" width="0.85546875" style="482"/>
    <col min="4457" max="4457" width="3.85546875" style="482" customWidth="1"/>
    <col min="4458" max="4458" width="0.140625" style="482" customWidth="1"/>
    <col min="4459" max="4461" width="0" style="482" hidden="1" customWidth="1"/>
    <col min="4462" max="4470" width="0.85546875" style="482"/>
    <col min="4471" max="4471" width="2.42578125" style="482" customWidth="1"/>
    <col min="4472" max="4485" width="0.85546875" style="482"/>
    <col min="4486" max="4486" width="2.85546875" style="482" customWidth="1"/>
    <col min="4487" max="4497" width="0.85546875" style="482"/>
    <col min="4498" max="4498" width="3.5703125" style="482" customWidth="1"/>
    <col min="4499" max="4513" width="0.85546875" style="482"/>
    <col min="4514" max="4514" width="18.7109375" style="482" customWidth="1"/>
    <col min="4515" max="4626" width="0.85546875" style="482"/>
    <col min="4627" max="4627" width="0.85546875" style="482" customWidth="1"/>
    <col min="4628" max="4673" width="0.85546875" style="482"/>
    <col min="4674" max="4674" width="0.85546875" style="482" customWidth="1"/>
    <col min="4675" max="4676" width="0.85546875" style="482"/>
    <col min="4677" max="4677" width="0.7109375" style="482" customWidth="1"/>
    <col min="4678" max="4681" width="0" style="482" hidden="1" customWidth="1"/>
    <col min="4682" max="4689" width="0.85546875" style="482"/>
    <col min="4690" max="4691" width="0.85546875" style="482" customWidth="1"/>
    <col min="4692" max="4701" width="0.85546875" style="482"/>
    <col min="4702" max="4702" width="0.140625" style="482" customWidth="1"/>
    <col min="4703" max="4704" width="0" style="482" hidden="1" customWidth="1"/>
    <col min="4705" max="4712" width="0.85546875" style="482"/>
    <col min="4713" max="4713" width="3.85546875" style="482" customWidth="1"/>
    <col min="4714" max="4714" width="0.140625" style="482" customWidth="1"/>
    <col min="4715" max="4717" width="0" style="482" hidden="1" customWidth="1"/>
    <col min="4718" max="4726" width="0.85546875" style="482"/>
    <col min="4727" max="4727" width="2.42578125" style="482" customWidth="1"/>
    <col min="4728" max="4741" width="0.85546875" style="482"/>
    <col min="4742" max="4742" width="2.85546875" style="482" customWidth="1"/>
    <col min="4743" max="4753" width="0.85546875" style="482"/>
    <col min="4754" max="4754" width="3.5703125" style="482" customWidth="1"/>
    <col min="4755" max="4769" width="0.85546875" style="482"/>
    <col min="4770" max="4770" width="18.7109375" style="482" customWidth="1"/>
    <col min="4771" max="4882" width="0.85546875" style="482"/>
    <col min="4883" max="4883" width="0.85546875" style="482" customWidth="1"/>
    <col min="4884" max="4929" width="0.85546875" style="482"/>
    <col min="4930" max="4930" width="0.85546875" style="482" customWidth="1"/>
    <col min="4931" max="4932" width="0.85546875" style="482"/>
    <col min="4933" max="4933" width="0.7109375" style="482" customWidth="1"/>
    <col min="4934" max="4937" width="0" style="482" hidden="1" customWidth="1"/>
    <col min="4938" max="4945" width="0.85546875" style="482"/>
    <col min="4946" max="4947" width="0.85546875" style="482" customWidth="1"/>
    <col min="4948" max="4957" width="0.85546875" style="482"/>
    <col min="4958" max="4958" width="0.140625" style="482" customWidth="1"/>
    <col min="4959" max="4960" width="0" style="482" hidden="1" customWidth="1"/>
    <col min="4961" max="4968" width="0.85546875" style="482"/>
    <col min="4969" max="4969" width="3.85546875" style="482" customWidth="1"/>
    <col min="4970" max="4970" width="0.140625" style="482" customWidth="1"/>
    <col min="4971" max="4973" width="0" style="482" hidden="1" customWidth="1"/>
    <col min="4974" max="4982" width="0.85546875" style="482"/>
    <col min="4983" max="4983" width="2.42578125" style="482" customWidth="1"/>
    <col min="4984" max="4997" width="0.85546875" style="482"/>
    <col min="4998" max="4998" width="2.85546875" style="482" customWidth="1"/>
    <col min="4999" max="5009" width="0.85546875" style="482"/>
    <col min="5010" max="5010" width="3.5703125" style="482" customWidth="1"/>
    <col min="5011" max="5025" width="0.85546875" style="482"/>
    <col min="5026" max="5026" width="18.7109375" style="482" customWidth="1"/>
    <col min="5027" max="5138" width="0.85546875" style="482"/>
    <col min="5139" max="5139" width="0.85546875" style="482" customWidth="1"/>
    <col min="5140" max="5185" width="0.85546875" style="482"/>
    <col min="5186" max="5186" width="0.85546875" style="482" customWidth="1"/>
    <col min="5187" max="5188" width="0.85546875" style="482"/>
    <col min="5189" max="5189" width="0.7109375" style="482" customWidth="1"/>
    <col min="5190" max="5193" width="0" style="482" hidden="1" customWidth="1"/>
    <col min="5194" max="5201" width="0.85546875" style="482"/>
    <col min="5202" max="5203" width="0.85546875" style="482" customWidth="1"/>
    <col min="5204" max="5213" width="0.85546875" style="482"/>
    <col min="5214" max="5214" width="0.140625" style="482" customWidth="1"/>
    <col min="5215" max="5216" width="0" style="482" hidden="1" customWidth="1"/>
    <col min="5217" max="5224" width="0.85546875" style="482"/>
    <col min="5225" max="5225" width="3.85546875" style="482" customWidth="1"/>
    <col min="5226" max="5226" width="0.140625" style="482" customWidth="1"/>
    <col min="5227" max="5229" width="0" style="482" hidden="1" customWidth="1"/>
    <col min="5230" max="5238" width="0.85546875" style="482"/>
    <col min="5239" max="5239" width="2.42578125" style="482" customWidth="1"/>
    <col min="5240" max="5253" width="0.85546875" style="482"/>
    <col min="5254" max="5254" width="2.85546875" style="482" customWidth="1"/>
    <col min="5255" max="5265" width="0.85546875" style="482"/>
    <col min="5266" max="5266" width="3.5703125" style="482" customWidth="1"/>
    <col min="5267" max="5281" width="0.85546875" style="482"/>
    <col min="5282" max="5282" width="18.7109375" style="482" customWidth="1"/>
    <col min="5283" max="5394" width="0.85546875" style="482"/>
    <col min="5395" max="5395" width="0.85546875" style="482" customWidth="1"/>
    <col min="5396" max="5441" width="0.85546875" style="482"/>
    <col min="5442" max="5442" width="0.85546875" style="482" customWidth="1"/>
    <col min="5443" max="5444" width="0.85546875" style="482"/>
    <col min="5445" max="5445" width="0.7109375" style="482" customWidth="1"/>
    <col min="5446" max="5449" width="0" style="482" hidden="1" customWidth="1"/>
    <col min="5450" max="5457" width="0.85546875" style="482"/>
    <col min="5458" max="5459" width="0.85546875" style="482" customWidth="1"/>
    <col min="5460" max="5469" width="0.85546875" style="482"/>
    <col min="5470" max="5470" width="0.140625" style="482" customWidth="1"/>
    <col min="5471" max="5472" width="0" style="482" hidden="1" customWidth="1"/>
    <col min="5473" max="5480" width="0.85546875" style="482"/>
    <col min="5481" max="5481" width="3.85546875" style="482" customWidth="1"/>
    <col min="5482" max="5482" width="0.140625" style="482" customWidth="1"/>
    <col min="5483" max="5485" width="0" style="482" hidden="1" customWidth="1"/>
    <col min="5486" max="5494" width="0.85546875" style="482"/>
    <col min="5495" max="5495" width="2.42578125" style="482" customWidth="1"/>
    <col min="5496" max="5509" width="0.85546875" style="482"/>
    <col min="5510" max="5510" width="2.85546875" style="482" customWidth="1"/>
    <col min="5511" max="5521" width="0.85546875" style="482"/>
    <col min="5522" max="5522" width="3.5703125" style="482" customWidth="1"/>
    <col min="5523" max="5537" width="0.85546875" style="482"/>
    <col min="5538" max="5538" width="18.7109375" style="482" customWidth="1"/>
    <col min="5539" max="5650" width="0.85546875" style="482"/>
    <col min="5651" max="5651" width="0.85546875" style="482" customWidth="1"/>
    <col min="5652" max="5697" width="0.85546875" style="482"/>
    <col min="5698" max="5698" width="0.85546875" style="482" customWidth="1"/>
    <col min="5699" max="5700" width="0.85546875" style="482"/>
    <col min="5701" max="5701" width="0.7109375" style="482" customWidth="1"/>
    <col min="5702" max="5705" width="0" style="482" hidden="1" customWidth="1"/>
    <col min="5706" max="5713" width="0.85546875" style="482"/>
    <col min="5714" max="5715" width="0.85546875" style="482" customWidth="1"/>
    <col min="5716" max="5725" width="0.85546875" style="482"/>
    <col min="5726" max="5726" width="0.140625" style="482" customWidth="1"/>
    <col min="5727" max="5728" width="0" style="482" hidden="1" customWidth="1"/>
    <col min="5729" max="5736" width="0.85546875" style="482"/>
    <col min="5737" max="5737" width="3.85546875" style="482" customWidth="1"/>
    <col min="5738" max="5738" width="0.140625" style="482" customWidth="1"/>
    <col min="5739" max="5741" width="0" style="482" hidden="1" customWidth="1"/>
    <col min="5742" max="5750" width="0.85546875" style="482"/>
    <col min="5751" max="5751" width="2.42578125" style="482" customWidth="1"/>
    <col min="5752" max="5765" width="0.85546875" style="482"/>
    <col min="5766" max="5766" width="2.85546875" style="482" customWidth="1"/>
    <col min="5767" max="5777" width="0.85546875" style="482"/>
    <col min="5778" max="5778" width="3.5703125" style="482" customWidth="1"/>
    <col min="5779" max="5793" width="0.85546875" style="482"/>
    <col min="5794" max="5794" width="18.7109375" style="482" customWidth="1"/>
    <col min="5795" max="5906" width="0.85546875" style="482"/>
    <col min="5907" max="5907" width="0.85546875" style="482" customWidth="1"/>
    <col min="5908" max="5953" width="0.85546875" style="482"/>
    <col min="5954" max="5954" width="0.85546875" style="482" customWidth="1"/>
    <col min="5955" max="5956" width="0.85546875" style="482"/>
    <col min="5957" max="5957" width="0.7109375" style="482" customWidth="1"/>
    <col min="5958" max="5961" width="0" style="482" hidden="1" customWidth="1"/>
    <col min="5962" max="5969" width="0.85546875" style="482"/>
    <col min="5970" max="5971" width="0.85546875" style="482" customWidth="1"/>
    <col min="5972" max="5981" width="0.85546875" style="482"/>
    <col min="5982" max="5982" width="0.140625" style="482" customWidth="1"/>
    <col min="5983" max="5984" width="0" style="482" hidden="1" customWidth="1"/>
    <col min="5985" max="5992" width="0.85546875" style="482"/>
    <col min="5993" max="5993" width="3.85546875" style="482" customWidth="1"/>
    <col min="5994" max="5994" width="0.140625" style="482" customWidth="1"/>
    <col min="5995" max="5997" width="0" style="482" hidden="1" customWidth="1"/>
    <col min="5998" max="6006" width="0.85546875" style="482"/>
    <col min="6007" max="6007" width="2.42578125" style="482" customWidth="1"/>
    <col min="6008" max="6021" width="0.85546875" style="482"/>
    <col min="6022" max="6022" width="2.85546875" style="482" customWidth="1"/>
    <col min="6023" max="6033" width="0.85546875" style="482"/>
    <col min="6034" max="6034" width="3.5703125" style="482" customWidth="1"/>
    <col min="6035" max="6049" width="0.85546875" style="482"/>
    <col min="6050" max="6050" width="18.7109375" style="482" customWidth="1"/>
    <col min="6051" max="6162" width="0.85546875" style="482"/>
    <col min="6163" max="6163" width="0.85546875" style="482" customWidth="1"/>
    <col min="6164" max="6209" width="0.85546875" style="482"/>
    <col min="6210" max="6210" width="0.85546875" style="482" customWidth="1"/>
    <col min="6211" max="6212" width="0.85546875" style="482"/>
    <col min="6213" max="6213" width="0.7109375" style="482" customWidth="1"/>
    <col min="6214" max="6217" width="0" style="482" hidden="1" customWidth="1"/>
    <col min="6218" max="6225" width="0.85546875" style="482"/>
    <col min="6226" max="6227" width="0.85546875" style="482" customWidth="1"/>
    <col min="6228" max="6237" width="0.85546875" style="482"/>
    <col min="6238" max="6238" width="0.140625" style="482" customWidth="1"/>
    <col min="6239" max="6240" width="0" style="482" hidden="1" customWidth="1"/>
    <col min="6241" max="6248" width="0.85546875" style="482"/>
    <col min="6249" max="6249" width="3.85546875" style="482" customWidth="1"/>
    <col min="6250" max="6250" width="0.140625" style="482" customWidth="1"/>
    <col min="6251" max="6253" width="0" style="482" hidden="1" customWidth="1"/>
    <col min="6254" max="6262" width="0.85546875" style="482"/>
    <col min="6263" max="6263" width="2.42578125" style="482" customWidth="1"/>
    <col min="6264" max="6277" width="0.85546875" style="482"/>
    <col min="6278" max="6278" width="2.85546875" style="482" customWidth="1"/>
    <col min="6279" max="6289" width="0.85546875" style="482"/>
    <col min="6290" max="6290" width="3.5703125" style="482" customWidth="1"/>
    <col min="6291" max="6305" width="0.85546875" style="482"/>
    <col min="6306" max="6306" width="18.7109375" style="482" customWidth="1"/>
    <col min="6307" max="6418" width="0.85546875" style="482"/>
    <col min="6419" max="6419" width="0.85546875" style="482" customWidth="1"/>
    <col min="6420" max="6465" width="0.85546875" style="482"/>
    <col min="6466" max="6466" width="0.85546875" style="482" customWidth="1"/>
    <col min="6467" max="6468" width="0.85546875" style="482"/>
    <col min="6469" max="6469" width="0.7109375" style="482" customWidth="1"/>
    <col min="6470" max="6473" width="0" style="482" hidden="1" customWidth="1"/>
    <col min="6474" max="6481" width="0.85546875" style="482"/>
    <col min="6482" max="6483" width="0.85546875" style="482" customWidth="1"/>
    <col min="6484" max="6493" width="0.85546875" style="482"/>
    <col min="6494" max="6494" width="0.140625" style="482" customWidth="1"/>
    <col min="6495" max="6496" width="0" style="482" hidden="1" customWidth="1"/>
    <col min="6497" max="6504" width="0.85546875" style="482"/>
    <col min="6505" max="6505" width="3.85546875" style="482" customWidth="1"/>
    <col min="6506" max="6506" width="0.140625" style="482" customWidth="1"/>
    <col min="6507" max="6509" width="0" style="482" hidden="1" customWidth="1"/>
    <col min="6510" max="6518" width="0.85546875" style="482"/>
    <col min="6519" max="6519" width="2.42578125" style="482" customWidth="1"/>
    <col min="6520" max="6533" width="0.85546875" style="482"/>
    <col min="6534" max="6534" width="2.85546875" style="482" customWidth="1"/>
    <col min="6535" max="6545" width="0.85546875" style="482"/>
    <col min="6546" max="6546" width="3.5703125" style="482" customWidth="1"/>
    <col min="6547" max="6561" width="0.85546875" style="482"/>
    <col min="6562" max="6562" width="18.7109375" style="482" customWidth="1"/>
    <col min="6563" max="6674" width="0.85546875" style="482"/>
    <col min="6675" max="6675" width="0.85546875" style="482" customWidth="1"/>
    <col min="6676" max="6721" width="0.85546875" style="482"/>
    <col min="6722" max="6722" width="0.85546875" style="482" customWidth="1"/>
    <col min="6723" max="6724" width="0.85546875" style="482"/>
    <col min="6725" max="6725" width="0.7109375" style="482" customWidth="1"/>
    <col min="6726" max="6729" width="0" style="482" hidden="1" customWidth="1"/>
    <col min="6730" max="6737" width="0.85546875" style="482"/>
    <col min="6738" max="6739" width="0.85546875" style="482" customWidth="1"/>
    <col min="6740" max="6749" width="0.85546875" style="482"/>
    <col min="6750" max="6750" width="0.140625" style="482" customWidth="1"/>
    <col min="6751" max="6752" width="0" style="482" hidden="1" customWidth="1"/>
    <col min="6753" max="6760" width="0.85546875" style="482"/>
    <col min="6761" max="6761" width="3.85546875" style="482" customWidth="1"/>
    <col min="6762" max="6762" width="0.140625" style="482" customWidth="1"/>
    <col min="6763" max="6765" width="0" style="482" hidden="1" customWidth="1"/>
    <col min="6766" max="6774" width="0.85546875" style="482"/>
    <col min="6775" max="6775" width="2.42578125" style="482" customWidth="1"/>
    <col min="6776" max="6789" width="0.85546875" style="482"/>
    <col min="6790" max="6790" width="2.85546875" style="482" customWidth="1"/>
    <col min="6791" max="6801" width="0.85546875" style="482"/>
    <col min="6802" max="6802" width="3.5703125" style="482" customWidth="1"/>
    <col min="6803" max="6817" width="0.85546875" style="482"/>
    <col min="6818" max="6818" width="18.7109375" style="482" customWidth="1"/>
    <col min="6819" max="6930" width="0.85546875" style="482"/>
    <col min="6931" max="6931" width="0.85546875" style="482" customWidth="1"/>
    <col min="6932" max="6977" width="0.85546875" style="482"/>
    <col min="6978" max="6978" width="0.85546875" style="482" customWidth="1"/>
    <col min="6979" max="6980" width="0.85546875" style="482"/>
    <col min="6981" max="6981" width="0.7109375" style="482" customWidth="1"/>
    <col min="6982" max="6985" width="0" style="482" hidden="1" customWidth="1"/>
    <col min="6986" max="6993" width="0.85546875" style="482"/>
    <col min="6994" max="6995" width="0.85546875" style="482" customWidth="1"/>
    <col min="6996" max="7005" width="0.85546875" style="482"/>
    <col min="7006" max="7006" width="0.140625" style="482" customWidth="1"/>
    <col min="7007" max="7008" width="0" style="482" hidden="1" customWidth="1"/>
    <col min="7009" max="7016" width="0.85546875" style="482"/>
    <col min="7017" max="7017" width="3.85546875" style="482" customWidth="1"/>
    <col min="7018" max="7018" width="0.140625" style="482" customWidth="1"/>
    <col min="7019" max="7021" width="0" style="482" hidden="1" customWidth="1"/>
    <col min="7022" max="7030" width="0.85546875" style="482"/>
    <col min="7031" max="7031" width="2.42578125" style="482" customWidth="1"/>
    <col min="7032" max="7045" width="0.85546875" style="482"/>
    <col min="7046" max="7046" width="2.85546875" style="482" customWidth="1"/>
    <col min="7047" max="7057" width="0.85546875" style="482"/>
    <col min="7058" max="7058" width="3.5703125" style="482" customWidth="1"/>
    <col min="7059" max="7073" width="0.85546875" style="482"/>
    <col min="7074" max="7074" width="18.7109375" style="482" customWidth="1"/>
    <col min="7075" max="7186" width="0.85546875" style="482"/>
    <col min="7187" max="7187" width="0.85546875" style="482" customWidth="1"/>
    <col min="7188" max="7233" width="0.85546875" style="482"/>
    <col min="7234" max="7234" width="0.85546875" style="482" customWidth="1"/>
    <col min="7235" max="7236" width="0.85546875" style="482"/>
    <col min="7237" max="7237" width="0.7109375" style="482" customWidth="1"/>
    <col min="7238" max="7241" width="0" style="482" hidden="1" customWidth="1"/>
    <col min="7242" max="7249" width="0.85546875" style="482"/>
    <col min="7250" max="7251" width="0.85546875" style="482" customWidth="1"/>
    <col min="7252" max="7261" width="0.85546875" style="482"/>
    <col min="7262" max="7262" width="0.140625" style="482" customWidth="1"/>
    <col min="7263" max="7264" width="0" style="482" hidden="1" customWidth="1"/>
    <col min="7265" max="7272" width="0.85546875" style="482"/>
    <col min="7273" max="7273" width="3.85546875" style="482" customWidth="1"/>
    <col min="7274" max="7274" width="0.140625" style="482" customWidth="1"/>
    <col min="7275" max="7277" width="0" style="482" hidden="1" customWidth="1"/>
    <col min="7278" max="7286" width="0.85546875" style="482"/>
    <col min="7287" max="7287" width="2.42578125" style="482" customWidth="1"/>
    <col min="7288" max="7301" width="0.85546875" style="482"/>
    <col min="7302" max="7302" width="2.85546875" style="482" customWidth="1"/>
    <col min="7303" max="7313" width="0.85546875" style="482"/>
    <col min="7314" max="7314" width="3.5703125" style="482" customWidth="1"/>
    <col min="7315" max="7329" width="0.85546875" style="482"/>
    <col min="7330" max="7330" width="18.7109375" style="482" customWidth="1"/>
    <col min="7331" max="7442" width="0.85546875" style="482"/>
    <col min="7443" max="7443" width="0.85546875" style="482" customWidth="1"/>
    <col min="7444" max="7489" width="0.85546875" style="482"/>
    <col min="7490" max="7490" width="0.85546875" style="482" customWidth="1"/>
    <col min="7491" max="7492" width="0.85546875" style="482"/>
    <col min="7493" max="7493" width="0.7109375" style="482" customWidth="1"/>
    <col min="7494" max="7497" width="0" style="482" hidden="1" customWidth="1"/>
    <col min="7498" max="7505" width="0.85546875" style="482"/>
    <col min="7506" max="7507" width="0.85546875" style="482" customWidth="1"/>
    <col min="7508" max="7517" width="0.85546875" style="482"/>
    <col min="7518" max="7518" width="0.140625" style="482" customWidth="1"/>
    <col min="7519" max="7520" width="0" style="482" hidden="1" customWidth="1"/>
    <col min="7521" max="7528" width="0.85546875" style="482"/>
    <col min="7529" max="7529" width="3.85546875" style="482" customWidth="1"/>
    <col min="7530" max="7530" width="0.140625" style="482" customWidth="1"/>
    <col min="7531" max="7533" width="0" style="482" hidden="1" customWidth="1"/>
    <col min="7534" max="7542" width="0.85546875" style="482"/>
    <col min="7543" max="7543" width="2.42578125" style="482" customWidth="1"/>
    <col min="7544" max="7557" width="0.85546875" style="482"/>
    <col min="7558" max="7558" width="2.85546875" style="482" customWidth="1"/>
    <col min="7559" max="7569" width="0.85546875" style="482"/>
    <col min="7570" max="7570" width="3.5703125" style="482" customWidth="1"/>
    <col min="7571" max="7585" width="0.85546875" style="482"/>
    <col min="7586" max="7586" width="18.7109375" style="482" customWidth="1"/>
    <col min="7587" max="7698" width="0.85546875" style="482"/>
    <col min="7699" max="7699" width="0.85546875" style="482" customWidth="1"/>
    <col min="7700" max="7745" width="0.85546875" style="482"/>
    <col min="7746" max="7746" width="0.85546875" style="482" customWidth="1"/>
    <col min="7747" max="7748" width="0.85546875" style="482"/>
    <col min="7749" max="7749" width="0.7109375" style="482" customWidth="1"/>
    <col min="7750" max="7753" width="0" style="482" hidden="1" customWidth="1"/>
    <col min="7754" max="7761" width="0.85546875" style="482"/>
    <col min="7762" max="7763" width="0.85546875" style="482" customWidth="1"/>
    <col min="7764" max="7773" width="0.85546875" style="482"/>
    <col min="7774" max="7774" width="0.140625" style="482" customWidth="1"/>
    <col min="7775" max="7776" width="0" style="482" hidden="1" customWidth="1"/>
    <col min="7777" max="7784" width="0.85546875" style="482"/>
    <col min="7785" max="7785" width="3.85546875" style="482" customWidth="1"/>
    <col min="7786" max="7786" width="0.140625" style="482" customWidth="1"/>
    <col min="7787" max="7789" width="0" style="482" hidden="1" customWidth="1"/>
    <col min="7790" max="7798" width="0.85546875" style="482"/>
    <col min="7799" max="7799" width="2.42578125" style="482" customWidth="1"/>
    <col min="7800" max="7813" width="0.85546875" style="482"/>
    <col min="7814" max="7814" width="2.85546875" style="482" customWidth="1"/>
    <col min="7815" max="7825" width="0.85546875" style="482"/>
    <col min="7826" max="7826" width="3.5703125" style="482" customWidth="1"/>
    <col min="7827" max="7841" width="0.85546875" style="482"/>
    <col min="7842" max="7842" width="18.7109375" style="482" customWidth="1"/>
    <col min="7843" max="7954" width="0.85546875" style="482"/>
    <col min="7955" max="7955" width="0.85546875" style="482" customWidth="1"/>
    <col min="7956" max="8001" width="0.85546875" style="482"/>
    <col min="8002" max="8002" width="0.85546875" style="482" customWidth="1"/>
    <col min="8003" max="8004" width="0.85546875" style="482"/>
    <col min="8005" max="8005" width="0.7109375" style="482" customWidth="1"/>
    <col min="8006" max="8009" width="0" style="482" hidden="1" customWidth="1"/>
    <col min="8010" max="8017" width="0.85546875" style="482"/>
    <col min="8018" max="8019" width="0.85546875" style="482" customWidth="1"/>
    <col min="8020" max="8029" width="0.85546875" style="482"/>
    <col min="8030" max="8030" width="0.140625" style="482" customWidth="1"/>
    <col min="8031" max="8032" width="0" style="482" hidden="1" customWidth="1"/>
    <col min="8033" max="8040" width="0.85546875" style="482"/>
    <col min="8041" max="8041" width="3.85546875" style="482" customWidth="1"/>
    <col min="8042" max="8042" width="0.140625" style="482" customWidth="1"/>
    <col min="8043" max="8045" width="0" style="482" hidden="1" customWidth="1"/>
    <col min="8046" max="8054" width="0.85546875" style="482"/>
    <col min="8055" max="8055" width="2.42578125" style="482" customWidth="1"/>
    <col min="8056" max="8069" width="0.85546875" style="482"/>
    <col min="8070" max="8070" width="2.85546875" style="482" customWidth="1"/>
    <col min="8071" max="8081" width="0.85546875" style="482"/>
    <col min="8082" max="8082" width="3.5703125" style="482" customWidth="1"/>
    <col min="8083" max="8097" width="0.85546875" style="482"/>
    <col min="8098" max="8098" width="18.7109375" style="482" customWidth="1"/>
    <col min="8099" max="8210" width="0.85546875" style="482"/>
    <col min="8211" max="8211" width="0.85546875" style="482" customWidth="1"/>
    <col min="8212" max="8257" width="0.85546875" style="482"/>
    <col min="8258" max="8258" width="0.85546875" style="482" customWidth="1"/>
    <col min="8259" max="8260" width="0.85546875" style="482"/>
    <col min="8261" max="8261" width="0.7109375" style="482" customWidth="1"/>
    <col min="8262" max="8265" width="0" style="482" hidden="1" customWidth="1"/>
    <col min="8266" max="8273" width="0.85546875" style="482"/>
    <col min="8274" max="8275" width="0.85546875" style="482" customWidth="1"/>
    <col min="8276" max="8285" width="0.85546875" style="482"/>
    <col min="8286" max="8286" width="0.140625" style="482" customWidth="1"/>
    <col min="8287" max="8288" width="0" style="482" hidden="1" customWidth="1"/>
    <col min="8289" max="8296" width="0.85546875" style="482"/>
    <col min="8297" max="8297" width="3.85546875" style="482" customWidth="1"/>
    <col min="8298" max="8298" width="0.140625" style="482" customWidth="1"/>
    <col min="8299" max="8301" width="0" style="482" hidden="1" customWidth="1"/>
    <col min="8302" max="8310" width="0.85546875" style="482"/>
    <col min="8311" max="8311" width="2.42578125" style="482" customWidth="1"/>
    <col min="8312" max="8325" width="0.85546875" style="482"/>
    <col min="8326" max="8326" width="2.85546875" style="482" customWidth="1"/>
    <col min="8327" max="8337" width="0.85546875" style="482"/>
    <col min="8338" max="8338" width="3.5703125" style="482" customWidth="1"/>
    <col min="8339" max="8353" width="0.85546875" style="482"/>
    <col min="8354" max="8354" width="18.7109375" style="482" customWidth="1"/>
    <col min="8355" max="8466" width="0.85546875" style="482"/>
    <col min="8467" max="8467" width="0.85546875" style="482" customWidth="1"/>
    <col min="8468" max="8513" width="0.85546875" style="482"/>
    <col min="8514" max="8514" width="0.85546875" style="482" customWidth="1"/>
    <col min="8515" max="8516" width="0.85546875" style="482"/>
    <col min="8517" max="8517" width="0.7109375" style="482" customWidth="1"/>
    <col min="8518" max="8521" width="0" style="482" hidden="1" customWidth="1"/>
    <col min="8522" max="8529" width="0.85546875" style="482"/>
    <col min="8530" max="8531" width="0.85546875" style="482" customWidth="1"/>
    <col min="8532" max="8541" width="0.85546875" style="482"/>
    <col min="8542" max="8542" width="0.140625" style="482" customWidth="1"/>
    <col min="8543" max="8544" width="0" style="482" hidden="1" customWidth="1"/>
    <col min="8545" max="8552" width="0.85546875" style="482"/>
    <col min="8553" max="8553" width="3.85546875" style="482" customWidth="1"/>
    <col min="8554" max="8554" width="0.140625" style="482" customWidth="1"/>
    <col min="8555" max="8557" width="0" style="482" hidden="1" customWidth="1"/>
    <col min="8558" max="8566" width="0.85546875" style="482"/>
    <col min="8567" max="8567" width="2.42578125" style="482" customWidth="1"/>
    <col min="8568" max="8581" width="0.85546875" style="482"/>
    <col min="8582" max="8582" width="2.85546875" style="482" customWidth="1"/>
    <col min="8583" max="8593" width="0.85546875" style="482"/>
    <col min="8594" max="8594" width="3.5703125" style="482" customWidth="1"/>
    <col min="8595" max="8609" width="0.85546875" style="482"/>
    <col min="8610" max="8610" width="18.7109375" style="482" customWidth="1"/>
    <col min="8611" max="8722" width="0.85546875" style="482"/>
    <col min="8723" max="8723" width="0.85546875" style="482" customWidth="1"/>
    <col min="8724" max="8769" width="0.85546875" style="482"/>
    <col min="8770" max="8770" width="0.85546875" style="482" customWidth="1"/>
    <col min="8771" max="8772" width="0.85546875" style="482"/>
    <col min="8773" max="8773" width="0.7109375" style="482" customWidth="1"/>
    <col min="8774" max="8777" width="0" style="482" hidden="1" customWidth="1"/>
    <col min="8778" max="8785" width="0.85546875" style="482"/>
    <col min="8786" max="8787" width="0.85546875" style="482" customWidth="1"/>
    <col min="8788" max="8797" width="0.85546875" style="482"/>
    <col min="8798" max="8798" width="0.140625" style="482" customWidth="1"/>
    <col min="8799" max="8800" width="0" style="482" hidden="1" customWidth="1"/>
    <col min="8801" max="8808" width="0.85546875" style="482"/>
    <col min="8809" max="8809" width="3.85546875" style="482" customWidth="1"/>
    <col min="8810" max="8810" width="0.140625" style="482" customWidth="1"/>
    <col min="8811" max="8813" width="0" style="482" hidden="1" customWidth="1"/>
    <col min="8814" max="8822" width="0.85546875" style="482"/>
    <col min="8823" max="8823" width="2.42578125" style="482" customWidth="1"/>
    <col min="8824" max="8837" width="0.85546875" style="482"/>
    <col min="8838" max="8838" width="2.85546875" style="482" customWidth="1"/>
    <col min="8839" max="8849" width="0.85546875" style="482"/>
    <col min="8850" max="8850" width="3.5703125" style="482" customWidth="1"/>
    <col min="8851" max="8865" width="0.85546875" style="482"/>
    <col min="8866" max="8866" width="18.7109375" style="482" customWidth="1"/>
    <col min="8867" max="8978" width="0.85546875" style="482"/>
    <col min="8979" max="8979" width="0.85546875" style="482" customWidth="1"/>
    <col min="8980" max="9025" width="0.85546875" style="482"/>
    <col min="9026" max="9026" width="0.85546875" style="482" customWidth="1"/>
    <col min="9027" max="9028" width="0.85546875" style="482"/>
    <col min="9029" max="9029" width="0.7109375" style="482" customWidth="1"/>
    <col min="9030" max="9033" width="0" style="482" hidden="1" customWidth="1"/>
    <col min="9034" max="9041" width="0.85546875" style="482"/>
    <col min="9042" max="9043" width="0.85546875" style="482" customWidth="1"/>
    <col min="9044" max="9053" width="0.85546875" style="482"/>
    <col min="9054" max="9054" width="0.140625" style="482" customWidth="1"/>
    <col min="9055" max="9056" width="0" style="482" hidden="1" customWidth="1"/>
    <col min="9057" max="9064" width="0.85546875" style="482"/>
    <col min="9065" max="9065" width="3.85546875" style="482" customWidth="1"/>
    <col min="9066" max="9066" width="0.140625" style="482" customWidth="1"/>
    <col min="9067" max="9069" width="0" style="482" hidden="1" customWidth="1"/>
    <col min="9070" max="9078" width="0.85546875" style="482"/>
    <col min="9079" max="9079" width="2.42578125" style="482" customWidth="1"/>
    <col min="9080" max="9093" width="0.85546875" style="482"/>
    <col min="9094" max="9094" width="2.85546875" style="482" customWidth="1"/>
    <col min="9095" max="9105" width="0.85546875" style="482"/>
    <col min="9106" max="9106" width="3.5703125" style="482" customWidth="1"/>
    <col min="9107" max="9121" width="0.85546875" style="482"/>
    <col min="9122" max="9122" width="18.7109375" style="482" customWidth="1"/>
    <col min="9123" max="9234" width="0.85546875" style="482"/>
    <col min="9235" max="9235" width="0.85546875" style="482" customWidth="1"/>
    <col min="9236" max="9281" width="0.85546875" style="482"/>
    <col min="9282" max="9282" width="0.85546875" style="482" customWidth="1"/>
    <col min="9283" max="9284" width="0.85546875" style="482"/>
    <col min="9285" max="9285" width="0.7109375" style="482" customWidth="1"/>
    <col min="9286" max="9289" width="0" style="482" hidden="1" customWidth="1"/>
    <col min="9290" max="9297" width="0.85546875" style="482"/>
    <col min="9298" max="9299" width="0.85546875" style="482" customWidth="1"/>
    <col min="9300" max="9309" width="0.85546875" style="482"/>
    <col min="9310" max="9310" width="0.140625" style="482" customWidth="1"/>
    <col min="9311" max="9312" width="0" style="482" hidden="1" customWidth="1"/>
    <col min="9313" max="9320" width="0.85546875" style="482"/>
    <col min="9321" max="9321" width="3.85546875" style="482" customWidth="1"/>
    <col min="9322" max="9322" width="0.140625" style="482" customWidth="1"/>
    <col min="9323" max="9325" width="0" style="482" hidden="1" customWidth="1"/>
    <col min="9326" max="9334" width="0.85546875" style="482"/>
    <col min="9335" max="9335" width="2.42578125" style="482" customWidth="1"/>
    <col min="9336" max="9349" width="0.85546875" style="482"/>
    <col min="9350" max="9350" width="2.85546875" style="482" customWidth="1"/>
    <col min="9351" max="9361" width="0.85546875" style="482"/>
    <col min="9362" max="9362" width="3.5703125" style="482" customWidth="1"/>
    <col min="9363" max="9377" width="0.85546875" style="482"/>
    <col min="9378" max="9378" width="18.7109375" style="482" customWidth="1"/>
    <col min="9379" max="9490" width="0.85546875" style="482"/>
    <col min="9491" max="9491" width="0.85546875" style="482" customWidth="1"/>
    <col min="9492" max="9537" width="0.85546875" style="482"/>
    <col min="9538" max="9538" width="0.85546875" style="482" customWidth="1"/>
    <col min="9539" max="9540" width="0.85546875" style="482"/>
    <col min="9541" max="9541" width="0.7109375" style="482" customWidth="1"/>
    <col min="9542" max="9545" width="0" style="482" hidden="1" customWidth="1"/>
    <col min="9546" max="9553" width="0.85546875" style="482"/>
    <col min="9554" max="9555" width="0.85546875" style="482" customWidth="1"/>
    <col min="9556" max="9565" width="0.85546875" style="482"/>
    <col min="9566" max="9566" width="0.140625" style="482" customWidth="1"/>
    <col min="9567" max="9568" width="0" style="482" hidden="1" customWidth="1"/>
    <col min="9569" max="9576" width="0.85546875" style="482"/>
    <col min="9577" max="9577" width="3.85546875" style="482" customWidth="1"/>
    <col min="9578" max="9578" width="0.140625" style="482" customWidth="1"/>
    <col min="9579" max="9581" width="0" style="482" hidden="1" customWidth="1"/>
    <col min="9582" max="9590" width="0.85546875" style="482"/>
    <col min="9591" max="9591" width="2.42578125" style="482" customWidth="1"/>
    <col min="9592" max="9605" width="0.85546875" style="482"/>
    <col min="9606" max="9606" width="2.85546875" style="482" customWidth="1"/>
    <col min="9607" max="9617" width="0.85546875" style="482"/>
    <col min="9618" max="9618" width="3.5703125" style="482" customWidth="1"/>
    <col min="9619" max="9633" width="0.85546875" style="482"/>
    <col min="9634" max="9634" width="18.7109375" style="482" customWidth="1"/>
    <col min="9635" max="9746" width="0.85546875" style="482"/>
    <col min="9747" max="9747" width="0.85546875" style="482" customWidth="1"/>
    <col min="9748" max="9793" width="0.85546875" style="482"/>
    <col min="9794" max="9794" width="0.85546875" style="482" customWidth="1"/>
    <col min="9795" max="9796" width="0.85546875" style="482"/>
    <col min="9797" max="9797" width="0.7109375" style="482" customWidth="1"/>
    <col min="9798" max="9801" width="0" style="482" hidden="1" customWidth="1"/>
    <col min="9802" max="9809" width="0.85546875" style="482"/>
    <col min="9810" max="9811" width="0.85546875" style="482" customWidth="1"/>
    <col min="9812" max="9821" width="0.85546875" style="482"/>
    <col min="9822" max="9822" width="0.140625" style="482" customWidth="1"/>
    <col min="9823" max="9824" width="0" style="482" hidden="1" customWidth="1"/>
    <col min="9825" max="9832" width="0.85546875" style="482"/>
    <col min="9833" max="9833" width="3.85546875" style="482" customWidth="1"/>
    <col min="9834" max="9834" width="0.140625" style="482" customWidth="1"/>
    <col min="9835" max="9837" width="0" style="482" hidden="1" customWidth="1"/>
    <col min="9838" max="9846" width="0.85546875" style="482"/>
    <col min="9847" max="9847" width="2.42578125" style="482" customWidth="1"/>
    <col min="9848" max="9861" width="0.85546875" style="482"/>
    <col min="9862" max="9862" width="2.85546875" style="482" customWidth="1"/>
    <col min="9863" max="9873" width="0.85546875" style="482"/>
    <col min="9874" max="9874" width="3.5703125" style="482" customWidth="1"/>
    <col min="9875" max="9889" width="0.85546875" style="482"/>
    <col min="9890" max="9890" width="18.7109375" style="482" customWidth="1"/>
    <col min="9891" max="10002" width="0.85546875" style="482"/>
    <col min="10003" max="10003" width="0.85546875" style="482" customWidth="1"/>
    <col min="10004" max="10049" width="0.85546875" style="482"/>
    <col min="10050" max="10050" width="0.85546875" style="482" customWidth="1"/>
    <col min="10051" max="10052" width="0.85546875" style="482"/>
    <col min="10053" max="10053" width="0.7109375" style="482" customWidth="1"/>
    <col min="10054" max="10057" width="0" style="482" hidden="1" customWidth="1"/>
    <col min="10058" max="10065" width="0.85546875" style="482"/>
    <col min="10066" max="10067" width="0.85546875" style="482" customWidth="1"/>
    <col min="10068" max="10077" width="0.85546875" style="482"/>
    <col min="10078" max="10078" width="0.140625" style="482" customWidth="1"/>
    <col min="10079" max="10080" width="0" style="482" hidden="1" customWidth="1"/>
    <col min="10081" max="10088" width="0.85546875" style="482"/>
    <col min="10089" max="10089" width="3.85546875" style="482" customWidth="1"/>
    <col min="10090" max="10090" width="0.140625" style="482" customWidth="1"/>
    <col min="10091" max="10093" width="0" style="482" hidden="1" customWidth="1"/>
    <col min="10094" max="10102" width="0.85546875" style="482"/>
    <col min="10103" max="10103" width="2.42578125" style="482" customWidth="1"/>
    <col min="10104" max="10117" width="0.85546875" style="482"/>
    <col min="10118" max="10118" width="2.85546875" style="482" customWidth="1"/>
    <col min="10119" max="10129" width="0.85546875" style="482"/>
    <col min="10130" max="10130" width="3.5703125" style="482" customWidth="1"/>
    <col min="10131" max="10145" width="0.85546875" style="482"/>
    <col min="10146" max="10146" width="18.7109375" style="482" customWidth="1"/>
    <col min="10147" max="10258" width="0.85546875" style="482"/>
    <col min="10259" max="10259" width="0.85546875" style="482" customWidth="1"/>
    <col min="10260" max="10305" width="0.85546875" style="482"/>
    <col min="10306" max="10306" width="0.85546875" style="482" customWidth="1"/>
    <col min="10307" max="10308" width="0.85546875" style="482"/>
    <col min="10309" max="10309" width="0.7109375" style="482" customWidth="1"/>
    <col min="10310" max="10313" width="0" style="482" hidden="1" customWidth="1"/>
    <col min="10314" max="10321" width="0.85546875" style="482"/>
    <col min="10322" max="10323" width="0.85546875" style="482" customWidth="1"/>
    <col min="10324" max="10333" width="0.85546875" style="482"/>
    <col min="10334" max="10334" width="0.140625" style="482" customWidth="1"/>
    <col min="10335" max="10336" width="0" style="482" hidden="1" customWidth="1"/>
    <col min="10337" max="10344" width="0.85546875" style="482"/>
    <col min="10345" max="10345" width="3.85546875" style="482" customWidth="1"/>
    <col min="10346" max="10346" width="0.140625" style="482" customWidth="1"/>
    <col min="10347" max="10349" width="0" style="482" hidden="1" customWidth="1"/>
    <col min="10350" max="10358" width="0.85546875" style="482"/>
    <col min="10359" max="10359" width="2.42578125" style="482" customWidth="1"/>
    <col min="10360" max="10373" width="0.85546875" style="482"/>
    <col min="10374" max="10374" width="2.85546875" style="482" customWidth="1"/>
    <col min="10375" max="10385" width="0.85546875" style="482"/>
    <col min="10386" max="10386" width="3.5703125" style="482" customWidth="1"/>
    <col min="10387" max="10401" width="0.85546875" style="482"/>
    <col min="10402" max="10402" width="18.7109375" style="482" customWidth="1"/>
    <col min="10403" max="10514" width="0.85546875" style="482"/>
    <col min="10515" max="10515" width="0.85546875" style="482" customWidth="1"/>
    <col min="10516" max="10561" width="0.85546875" style="482"/>
    <col min="10562" max="10562" width="0.85546875" style="482" customWidth="1"/>
    <col min="10563" max="10564" width="0.85546875" style="482"/>
    <col min="10565" max="10565" width="0.7109375" style="482" customWidth="1"/>
    <col min="10566" max="10569" width="0" style="482" hidden="1" customWidth="1"/>
    <col min="10570" max="10577" width="0.85546875" style="482"/>
    <col min="10578" max="10579" width="0.85546875" style="482" customWidth="1"/>
    <col min="10580" max="10589" width="0.85546875" style="482"/>
    <col min="10590" max="10590" width="0.140625" style="482" customWidth="1"/>
    <col min="10591" max="10592" width="0" style="482" hidden="1" customWidth="1"/>
    <col min="10593" max="10600" width="0.85546875" style="482"/>
    <col min="10601" max="10601" width="3.85546875" style="482" customWidth="1"/>
    <col min="10602" max="10602" width="0.140625" style="482" customWidth="1"/>
    <col min="10603" max="10605" width="0" style="482" hidden="1" customWidth="1"/>
    <col min="10606" max="10614" width="0.85546875" style="482"/>
    <col min="10615" max="10615" width="2.42578125" style="482" customWidth="1"/>
    <col min="10616" max="10629" width="0.85546875" style="482"/>
    <col min="10630" max="10630" width="2.85546875" style="482" customWidth="1"/>
    <col min="10631" max="10641" width="0.85546875" style="482"/>
    <col min="10642" max="10642" width="3.5703125" style="482" customWidth="1"/>
    <col min="10643" max="10657" width="0.85546875" style="482"/>
    <col min="10658" max="10658" width="18.7109375" style="482" customWidth="1"/>
    <col min="10659" max="10770" width="0.85546875" style="482"/>
    <col min="10771" max="10771" width="0.85546875" style="482" customWidth="1"/>
    <col min="10772" max="10817" width="0.85546875" style="482"/>
    <col min="10818" max="10818" width="0.85546875" style="482" customWidth="1"/>
    <col min="10819" max="10820" width="0.85546875" style="482"/>
    <col min="10821" max="10821" width="0.7109375" style="482" customWidth="1"/>
    <col min="10822" max="10825" width="0" style="482" hidden="1" customWidth="1"/>
    <col min="10826" max="10833" width="0.85546875" style="482"/>
    <col min="10834" max="10835" width="0.85546875" style="482" customWidth="1"/>
    <col min="10836" max="10845" width="0.85546875" style="482"/>
    <col min="10846" max="10846" width="0.140625" style="482" customWidth="1"/>
    <col min="10847" max="10848" width="0" style="482" hidden="1" customWidth="1"/>
    <col min="10849" max="10856" width="0.85546875" style="482"/>
    <col min="10857" max="10857" width="3.85546875" style="482" customWidth="1"/>
    <col min="10858" max="10858" width="0.140625" style="482" customWidth="1"/>
    <col min="10859" max="10861" width="0" style="482" hidden="1" customWidth="1"/>
    <col min="10862" max="10870" width="0.85546875" style="482"/>
    <col min="10871" max="10871" width="2.42578125" style="482" customWidth="1"/>
    <col min="10872" max="10885" width="0.85546875" style="482"/>
    <col min="10886" max="10886" width="2.85546875" style="482" customWidth="1"/>
    <col min="10887" max="10897" width="0.85546875" style="482"/>
    <col min="10898" max="10898" width="3.5703125" style="482" customWidth="1"/>
    <col min="10899" max="10913" width="0.85546875" style="482"/>
    <col min="10914" max="10914" width="18.7109375" style="482" customWidth="1"/>
    <col min="10915" max="11026" width="0.85546875" style="482"/>
    <col min="11027" max="11027" width="0.85546875" style="482" customWidth="1"/>
    <col min="11028" max="11073" width="0.85546875" style="482"/>
    <col min="11074" max="11074" width="0.85546875" style="482" customWidth="1"/>
    <col min="11075" max="11076" width="0.85546875" style="482"/>
    <col min="11077" max="11077" width="0.7109375" style="482" customWidth="1"/>
    <col min="11078" max="11081" width="0" style="482" hidden="1" customWidth="1"/>
    <col min="11082" max="11089" width="0.85546875" style="482"/>
    <col min="11090" max="11091" width="0.85546875" style="482" customWidth="1"/>
    <col min="11092" max="11101" width="0.85546875" style="482"/>
    <col min="11102" max="11102" width="0.140625" style="482" customWidth="1"/>
    <col min="11103" max="11104" width="0" style="482" hidden="1" customWidth="1"/>
    <col min="11105" max="11112" width="0.85546875" style="482"/>
    <col min="11113" max="11113" width="3.85546875" style="482" customWidth="1"/>
    <col min="11114" max="11114" width="0.140625" style="482" customWidth="1"/>
    <col min="11115" max="11117" width="0" style="482" hidden="1" customWidth="1"/>
    <col min="11118" max="11126" width="0.85546875" style="482"/>
    <col min="11127" max="11127" width="2.42578125" style="482" customWidth="1"/>
    <col min="11128" max="11141" width="0.85546875" style="482"/>
    <col min="11142" max="11142" width="2.85546875" style="482" customWidth="1"/>
    <col min="11143" max="11153" width="0.85546875" style="482"/>
    <col min="11154" max="11154" width="3.5703125" style="482" customWidth="1"/>
    <col min="11155" max="11169" width="0.85546875" style="482"/>
    <col min="11170" max="11170" width="18.7109375" style="482" customWidth="1"/>
    <col min="11171" max="11282" width="0.85546875" style="482"/>
    <col min="11283" max="11283" width="0.85546875" style="482" customWidth="1"/>
    <col min="11284" max="11329" width="0.85546875" style="482"/>
    <col min="11330" max="11330" width="0.85546875" style="482" customWidth="1"/>
    <col min="11331" max="11332" width="0.85546875" style="482"/>
    <col min="11333" max="11333" width="0.7109375" style="482" customWidth="1"/>
    <col min="11334" max="11337" width="0" style="482" hidden="1" customWidth="1"/>
    <col min="11338" max="11345" width="0.85546875" style="482"/>
    <col min="11346" max="11347" width="0.85546875" style="482" customWidth="1"/>
    <col min="11348" max="11357" width="0.85546875" style="482"/>
    <col min="11358" max="11358" width="0.140625" style="482" customWidth="1"/>
    <col min="11359" max="11360" width="0" style="482" hidden="1" customWidth="1"/>
    <col min="11361" max="11368" width="0.85546875" style="482"/>
    <col min="11369" max="11369" width="3.85546875" style="482" customWidth="1"/>
    <col min="11370" max="11370" width="0.140625" style="482" customWidth="1"/>
    <col min="11371" max="11373" width="0" style="482" hidden="1" customWidth="1"/>
    <col min="11374" max="11382" width="0.85546875" style="482"/>
    <col min="11383" max="11383" width="2.42578125" style="482" customWidth="1"/>
    <col min="11384" max="11397" width="0.85546875" style="482"/>
    <col min="11398" max="11398" width="2.85546875" style="482" customWidth="1"/>
    <col min="11399" max="11409" width="0.85546875" style="482"/>
    <col min="11410" max="11410" width="3.5703125" style="482" customWidth="1"/>
    <col min="11411" max="11425" width="0.85546875" style="482"/>
    <col min="11426" max="11426" width="18.7109375" style="482" customWidth="1"/>
    <col min="11427" max="11538" width="0.85546875" style="482"/>
    <col min="11539" max="11539" width="0.85546875" style="482" customWidth="1"/>
    <col min="11540" max="11585" width="0.85546875" style="482"/>
    <col min="11586" max="11586" width="0.85546875" style="482" customWidth="1"/>
    <col min="11587" max="11588" width="0.85546875" style="482"/>
    <col min="11589" max="11589" width="0.7109375" style="482" customWidth="1"/>
    <col min="11590" max="11593" width="0" style="482" hidden="1" customWidth="1"/>
    <col min="11594" max="11601" width="0.85546875" style="482"/>
    <col min="11602" max="11603" width="0.85546875" style="482" customWidth="1"/>
    <col min="11604" max="11613" width="0.85546875" style="482"/>
    <col min="11614" max="11614" width="0.140625" style="482" customWidth="1"/>
    <col min="11615" max="11616" width="0" style="482" hidden="1" customWidth="1"/>
    <col min="11617" max="11624" width="0.85546875" style="482"/>
    <col min="11625" max="11625" width="3.85546875" style="482" customWidth="1"/>
    <col min="11626" max="11626" width="0.140625" style="482" customWidth="1"/>
    <col min="11627" max="11629" width="0" style="482" hidden="1" customWidth="1"/>
    <col min="11630" max="11638" width="0.85546875" style="482"/>
    <col min="11639" max="11639" width="2.42578125" style="482" customWidth="1"/>
    <col min="11640" max="11653" width="0.85546875" style="482"/>
    <col min="11654" max="11654" width="2.85546875" style="482" customWidth="1"/>
    <col min="11655" max="11665" width="0.85546875" style="482"/>
    <col min="11666" max="11666" width="3.5703125" style="482" customWidth="1"/>
    <col min="11667" max="11681" width="0.85546875" style="482"/>
    <col min="11682" max="11682" width="18.7109375" style="482" customWidth="1"/>
    <col min="11683" max="11794" width="0.85546875" style="482"/>
    <col min="11795" max="11795" width="0.85546875" style="482" customWidth="1"/>
    <col min="11796" max="11841" width="0.85546875" style="482"/>
    <col min="11842" max="11842" width="0.85546875" style="482" customWidth="1"/>
    <col min="11843" max="11844" width="0.85546875" style="482"/>
    <col min="11845" max="11845" width="0.7109375" style="482" customWidth="1"/>
    <col min="11846" max="11849" width="0" style="482" hidden="1" customWidth="1"/>
    <col min="11850" max="11857" width="0.85546875" style="482"/>
    <col min="11858" max="11859" width="0.85546875" style="482" customWidth="1"/>
    <col min="11860" max="11869" width="0.85546875" style="482"/>
    <col min="11870" max="11870" width="0.140625" style="482" customWidth="1"/>
    <col min="11871" max="11872" width="0" style="482" hidden="1" customWidth="1"/>
    <col min="11873" max="11880" width="0.85546875" style="482"/>
    <col min="11881" max="11881" width="3.85546875" style="482" customWidth="1"/>
    <col min="11882" max="11882" width="0.140625" style="482" customWidth="1"/>
    <col min="11883" max="11885" width="0" style="482" hidden="1" customWidth="1"/>
    <col min="11886" max="11894" width="0.85546875" style="482"/>
    <col min="11895" max="11895" width="2.42578125" style="482" customWidth="1"/>
    <col min="11896" max="11909" width="0.85546875" style="482"/>
    <col min="11910" max="11910" width="2.85546875" style="482" customWidth="1"/>
    <col min="11911" max="11921" width="0.85546875" style="482"/>
    <col min="11922" max="11922" width="3.5703125" style="482" customWidth="1"/>
    <col min="11923" max="11937" width="0.85546875" style="482"/>
    <col min="11938" max="11938" width="18.7109375" style="482" customWidth="1"/>
    <col min="11939" max="12050" width="0.85546875" style="482"/>
    <col min="12051" max="12051" width="0.85546875" style="482" customWidth="1"/>
    <col min="12052" max="12097" width="0.85546875" style="482"/>
    <col min="12098" max="12098" width="0.85546875" style="482" customWidth="1"/>
    <col min="12099" max="12100" width="0.85546875" style="482"/>
    <col min="12101" max="12101" width="0.7109375" style="482" customWidth="1"/>
    <col min="12102" max="12105" width="0" style="482" hidden="1" customWidth="1"/>
    <col min="12106" max="12113" width="0.85546875" style="482"/>
    <col min="12114" max="12115" width="0.85546875" style="482" customWidth="1"/>
    <col min="12116" max="12125" width="0.85546875" style="482"/>
    <col min="12126" max="12126" width="0.140625" style="482" customWidth="1"/>
    <col min="12127" max="12128" width="0" style="482" hidden="1" customWidth="1"/>
    <col min="12129" max="12136" width="0.85546875" style="482"/>
    <col min="12137" max="12137" width="3.85546875" style="482" customWidth="1"/>
    <col min="12138" max="12138" width="0.140625" style="482" customWidth="1"/>
    <col min="12139" max="12141" width="0" style="482" hidden="1" customWidth="1"/>
    <col min="12142" max="12150" width="0.85546875" style="482"/>
    <col min="12151" max="12151" width="2.42578125" style="482" customWidth="1"/>
    <col min="12152" max="12165" width="0.85546875" style="482"/>
    <col min="12166" max="12166" width="2.85546875" style="482" customWidth="1"/>
    <col min="12167" max="12177" width="0.85546875" style="482"/>
    <col min="12178" max="12178" width="3.5703125" style="482" customWidth="1"/>
    <col min="12179" max="12193" width="0.85546875" style="482"/>
    <col min="12194" max="12194" width="18.7109375" style="482" customWidth="1"/>
    <col min="12195" max="12306" width="0.85546875" style="482"/>
    <col min="12307" max="12307" width="0.85546875" style="482" customWidth="1"/>
    <col min="12308" max="12353" width="0.85546875" style="482"/>
    <col min="12354" max="12354" width="0.85546875" style="482" customWidth="1"/>
    <col min="12355" max="12356" width="0.85546875" style="482"/>
    <col min="12357" max="12357" width="0.7109375" style="482" customWidth="1"/>
    <col min="12358" max="12361" width="0" style="482" hidden="1" customWidth="1"/>
    <col min="12362" max="12369" width="0.85546875" style="482"/>
    <col min="12370" max="12371" width="0.85546875" style="482" customWidth="1"/>
    <col min="12372" max="12381" width="0.85546875" style="482"/>
    <col min="12382" max="12382" width="0.140625" style="482" customWidth="1"/>
    <col min="12383" max="12384" width="0" style="482" hidden="1" customWidth="1"/>
    <col min="12385" max="12392" width="0.85546875" style="482"/>
    <col min="12393" max="12393" width="3.85546875" style="482" customWidth="1"/>
    <col min="12394" max="12394" width="0.140625" style="482" customWidth="1"/>
    <col min="12395" max="12397" width="0" style="482" hidden="1" customWidth="1"/>
    <col min="12398" max="12406" width="0.85546875" style="482"/>
    <col min="12407" max="12407" width="2.42578125" style="482" customWidth="1"/>
    <col min="12408" max="12421" width="0.85546875" style="482"/>
    <col min="12422" max="12422" width="2.85546875" style="482" customWidth="1"/>
    <col min="12423" max="12433" width="0.85546875" style="482"/>
    <col min="12434" max="12434" width="3.5703125" style="482" customWidth="1"/>
    <col min="12435" max="12449" width="0.85546875" style="482"/>
    <col min="12450" max="12450" width="18.7109375" style="482" customWidth="1"/>
    <col min="12451" max="12562" width="0.85546875" style="482"/>
    <col min="12563" max="12563" width="0.85546875" style="482" customWidth="1"/>
    <col min="12564" max="12609" width="0.85546875" style="482"/>
    <col min="12610" max="12610" width="0.85546875" style="482" customWidth="1"/>
    <col min="12611" max="12612" width="0.85546875" style="482"/>
    <col min="12613" max="12613" width="0.7109375" style="482" customWidth="1"/>
    <col min="12614" max="12617" width="0" style="482" hidden="1" customWidth="1"/>
    <col min="12618" max="12625" width="0.85546875" style="482"/>
    <col min="12626" max="12627" width="0.85546875" style="482" customWidth="1"/>
    <col min="12628" max="12637" width="0.85546875" style="482"/>
    <col min="12638" max="12638" width="0.140625" style="482" customWidth="1"/>
    <col min="12639" max="12640" width="0" style="482" hidden="1" customWidth="1"/>
    <col min="12641" max="12648" width="0.85546875" style="482"/>
    <col min="12649" max="12649" width="3.85546875" style="482" customWidth="1"/>
    <col min="12650" max="12650" width="0.140625" style="482" customWidth="1"/>
    <col min="12651" max="12653" width="0" style="482" hidden="1" customWidth="1"/>
    <col min="12654" max="12662" width="0.85546875" style="482"/>
    <col min="12663" max="12663" width="2.42578125" style="482" customWidth="1"/>
    <col min="12664" max="12677" width="0.85546875" style="482"/>
    <col min="12678" max="12678" width="2.85546875" style="482" customWidth="1"/>
    <col min="12679" max="12689" width="0.85546875" style="482"/>
    <col min="12690" max="12690" width="3.5703125" style="482" customWidth="1"/>
    <col min="12691" max="12705" width="0.85546875" style="482"/>
    <col min="12706" max="12706" width="18.7109375" style="482" customWidth="1"/>
    <col min="12707" max="12818" width="0.85546875" style="482"/>
    <col min="12819" max="12819" width="0.85546875" style="482" customWidth="1"/>
    <col min="12820" max="12865" width="0.85546875" style="482"/>
    <col min="12866" max="12866" width="0.85546875" style="482" customWidth="1"/>
    <col min="12867" max="12868" width="0.85546875" style="482"/>
    <col min="12869" max="12869" width="0.7109375" style="482" customWidth="1"/>
    <col min="12870" max="12873" width="0" style="482" hidden="1" customWidth="1"/>
    <col min="12874" max="12881" width="0.85546875" style="482"/>
    <col min="12882" max="12883" width="0.85546875" style="482" customWidth="1"/>
    <col min="12884" max="12893" width="0.85546875" style="482"/>
    <col min="12894" max="12894" width="0.140625" style="482" customWidth="1"/>
    <col min="12895" max="12896" width="0" style="482" hidden="1" customWidth="1"/>
    <col min="12897" max="12904" width="0.85546875" style="482"/>
    <col min="12905" max="12905" width="3.85546875" style="482" customWidth="1"/>
    <col min="12906" max="12906" width="0.140625" style="482" customWidth="1"/>
    <col min="12907" max="12909" width="0" style="482" hidden="1" customWidth="1"/>
    <col min="12910" max="12918" width="0.85546875" style="482"/>
    <col min="12919" max="12919" width="2.42578125" style="482" customWidth="1"/>
    <col min="12920" max="12933" width="0.85546875" style="482"/>
    <col min="12934" max="12934" width="2.85546875" style="482" customWidth="1"/>
    <col min="12935" max="12945" width="0.85546875" style="482"/>
    <col min="12946" max="12946" width="3.5703125" style="482" customWidth="1"/>
    <col min="12947" max="12961" width="0.85546875" style="482"/>
    <col min="12962" max="12962" width="18.7109375" style="482" customWidth="1"/>
    <col min="12963" max="13074" width="0.85546875" style="482"/>
    <col min="13075" max="13075" width="0.85546875" style="482" customWidth="1"/>
    <col min="13076" max="13121" width="0.85546875" style="482"/>
    <col min="13122" max="13122" width="0.85546875" style="482" customWidth="1"/>
    <col min="13123" max="13124" width="0.85546875" style="482"/>
    <col min="13125" max="13125" width="0.7109375" style="482" customWidth="1"/>
    <col min="13126" max="13129" width="0" style="482" hidden="1" customWidth="1"/>
    <col min="13130" max="13137" width="0.85546875" style="482"/>
    <col min="13138" max="13139" width="0.85546875" style="482" customWidth="1"/>
    <col min="13140" max="13149" width="0.85546875" style="482"/>
    <col min="13150" max="13150" width="0.140625" style="482" customWidth="1"/>
    <col min="13151" max="13152" width="0" style="482" hidden="1" customWidth="1"/>
    <col min="13153" max="13160" width="0.85546875" style="482"/>
    <col min="13161" max="13161" width="3.85546875" style="482" customWidth="1"/>
    <col min="13162" max="13162" width="0.140625" style="482" customWidth="1"/>
    <col min="13163" max="13165" width="0" style="482" hidden="1" customWidth="1"/>
    <col min="13166" max="13174" width="0.85546875" style="482"/>
    <col min="13175" max="13175" width="2.42578125" style="482" customWidth="1"/>
    <col min="13176" max="13189" width="0.85546875" style="482"/>
    <col min="13190" max="13190" width="2.85546875" style="482" customWidth="1"/>
    <col min="13191" max="13201" width="0.85546875" style="482"/>
    <col min="13202" max="13202" width="3.5703125" style="482" customWidth="1"/>
    <col min="13203" max="13217" width="0.85546875" style="482"/>
    <col min="13218" max="13218" width="18.7109375" style="482" customWidth="1"/>
    <col min="13219" max="13330" width="0.85546875" style="482"/>
    <col min="13331" max="13331" width="0.85546875" style="482" customWidth="1"/>
    <col min="13332" max="13377" width="0.85546875" style="482"/>
    <col min="13378" max="13378" width="0.85546875" style="482" customWidth="1"/>
    <col min="13379" max="13380" width="0.85546875" style="482"/>
    <col min="13381" max="13381" width="0.7109375" style="482" customWidth="1"/>
    <col min="13382" max="13385" width="0" style="482" hidden="1" customWidth="1"/>
    <col min="13386" max="13393" width="0.85546875" style="482"/>
    <col min="13394" max="13395" width="0.85546875" style="482" customWidth="1"/>
    <col min="13396" max="13405" width="0.85546875" style="482"/>
    <col min="13406" max="13406" width="0.140625" style="482" customWidth="1"/>
    <col min="13407" max="13408" width="0" style="482" hidden="1" customWidth="1"/>
    <col min="13409" max="13416" width="0.85546875" style="482"/>
    <col min="13417" max="13417" width="3.85546875" style="482" customWidth="1"/>
    <col min="13418" max="13418" width="0.140625" style="482" customWidth="1"/>
    <col min="13419" max="13421" width="0" style="482" hidden="1" customWidth="1"/>
    <col min="13422" max="13430" width="0.85546875" style="482"/>
    <col min="13431" max="13431" width="2.42578125" style="482" customWidth="1"/>
    <col min="13432" max="13445" width="0.85546875" style="482"/>
    <col min="13446" max="13446" width="2.85546875" style="482" customWidth="1"/>
    <col min="13447" max="13457" width="0.85546875" style="482"/>
    <col min="13458" max="13458" width="3.5703125" style="482" customWidth="1"/>
    <col min="13459" max="13473" width="0.85546875" style="482"/>
    <col min="13474" max="13474" width="18.7109375" style="482" customWidth="1"/>
    <col min="13475" max="13586" width="0.85546875" style="482"/>
    <col min="13587" max="13587" width="0.85546875" style="482" customWidth="1"/>
    <col min="13588" max="13633" width="0.85546875" style="482"/>
    <col min="13634" max="13634" width="0.85546875" style="482" customWidth="1"/>
    <col min="13635" max="13636" width="0.85546875" style="482"/>
    <col min="13637" max="13637" width="0.7109375" style="482" customWidth="1"/>
    <col min="13638" max="13641" width="0" style="482" hidden="1" customWidth="1"/>
    <col min="13642" max="13649" width="0.85546875" style="482"/>
    <col min="13650" max="13651" width="0.85546875" style="482" customWidth="1"/>
    <col min="13652" max="13661" width="0.85546875" style="482"/>
    <col min="13662" max="13662" width="0.140625" style="482" customWidth="1"/>
    <col min="13663" max="13664" width="0" style="482" hidden="1" customWidth="1"/>
    <col min="13665" max="13672" width="0.85546875" style="482"/>
    <col min="13673" max="13673" width="3.85546875" style="482" customWidth="1"/>
    <col min="13674" max="13674" width="0.140625" style="482" customWidth="1"/>
    <col min="13675" max="13677" width="0" style="482" hidden="1" customWidth="1"/>
    <col min="13678" max="13686" width="0.85546875" style="482"/>
    <col min="13687" max="13687" width="2.42578125" style="482" customWidth="1"/>
    <col min="13688" max="13701" width="0.85546875" style="482"/>
    <col min="13702" max="13702" width="2.85546875" style="482" customWidth="1"/>
    <col min="13703" max="13713" width="0.85546875" style="482"/>
    <col min="13714" max="13714" width="3.5703125" style="482" customWidth="1"/>
    <col min="13715" max="13729" width="0.85546875" style="482"/>
    <col min="13730" max="13730" width="18.7109375" style="482" customWidth="1"/>
    <col min="13731" max="13842" width="0.85546875" style="482"/>
    <col min="13843" max="13843" width="0.85546875" style="482" customWidth="1"/>
    <col min="13844" max="13889" width="0.85546875" style="482"/>
    <col min="13890" max="13890" width="0.85546875" style="482" customWidth="1"/>
    <col min="13891" max="13892" width="0.85546875" style="482"/>
    <col min="13893" max="13893" width="0.7109375" style="482" customWidth="1"/>
    <col min="13894" max="13897" width="0" style="482" hidden="1" customWidth="1"/>
    <col min="13898" max="13905" width="0.85546875" style="482"/>
    <col min="13906" max="13907" width="0.85546875" style="482" customWidth="1"/>
    <col min="13908" max="13917" width="0.85546875" style="482"/>
    <col min="13918" max="13918" width="0.140625" style="482" customWidth="1"/>
    <col min="13919" max="13920" width="0" style="482" hidden="1" customWidth="1"/>
    <col min="13921" max="13928" width="0.85546875" style="482"/>
    <col min="13929" max="13929" width="3.85546875" style="482" customWidth="1"/>
    <col min="13930" max="13930" width="0.140625" style="482" customWidth="1"/>
    <col min="13931" max="13933" width="0" style="482" hidden="1" customWidth="1"/>
    <col min="13934" max="13942" width="0.85546875" style="482"/>
    <col min="13943" max="13943" width="2.42578125" style="482" customWidth="1"/>
    <col min="13944" max="13957" width="0.85546875" style="482"/>
    <col min="13958" max="13958" width="2.85546875" style="482" customWidth="1"/>
    <col min="13959" max="13969" width="0.85546875" style="482"/>
    <col min="13970" max="13970" width="3.5703125" style="482" customWidth="1"/>
    <col min="13971" max="13985" width="0.85546875" style="482"/>
    <col min="13986" max="13986" width="18.7109375" style="482" customWidth="1"/>
    <col min="13987" max="14098" width="0.85546875" style="482"/>
    <col min="14099" max="14099" width="0.85546875" style="482" customWidth="1"/>
    <col min="14100" max="14145" width="0.85546875" style="482"/>
    <col min="14146" max="14146" width="0.85546875" style="482" customWidth="1"/>
    <col min="14147" max="14148" width="0.85546875" style="482"/>
    <col min="14149" max="14149" width="0.7109375" style="482" customWidth="1"/>
    <col min="14150" max="14153" width="0" style="482" hidden="1" customWidth="1"/>
    <col min="14154" max="14161" width="0.85546875" style="482"/>
    <col min="14162" max="14163" width="0.85546875" style="482" customWidth="1"/>
    <col min="14164" max="14173" width="0.85546875" style="482"/>
    <col min="14174" max="14174" width="0.140625" style="482" customWidth="1"/>
    <col min="14175" max="14176" width="0" style="482" hidden="1" customWidth="1"/>
    <col min="14177" max="14184" width="0.85546875" style="482"/>
    <col min="14185" max="14185" width="3.85546875" style="482" customWidth="1"/>
    <col min="14186" max="14186" width="0.140625" style="482" customWidth="1"/>
    <col min="14187" max="14189" width="0" style="482" hidden="1" customWidth="1"/>
    <col min="14190" max="14198" width="0.85546875" style="482"/>
    <col min="14199" max="14199" width="2.42578125" style="482" customWidth="1"/>
    <col min="14200" max="14213" width="0.85546875" style="482"/>
    <col min="14214" max="14214" width="2.85546875" style="482" customWidth="1"/>
    <col min="14215" max="14225" width="0.85546875" style="482"/>
    <col min="14226" max="14226" width="3.5703125" style="482" customWidth="1"/>
    <col min="14227" max="14241" width="0.85546875" style="482"/>
    <col min="14242" max="14242" width="18.7109375" style="482" customWidth="1"/>
    <col min="14243" max="14354" width="0.85546875" style="482"/>
    <col min="14355" max="14355" width="0.85546875" style="482" customWidth="1"/>
    <col min="14356" max="14401" width="0.85546875" style="482"/>
    <col min="14402" max="14402" width="0.85546875" style="482" customWidth="1"/>
    <col min="14403" max="14404" width="0.85546875" style="482"/>
    <col min="14405" max="14405" width="0.7109375" style="482" customWidth="1"/>
    <col min="14406" max="14409" width="0" style="482" hidden="1" customWidth="1"/>
    <col min="14410" max="14417" width="0.85546875" style="482"/>
    <col min="14418" max="14419" width="0.85546875" style="482" customWidth="1"/>
    <col min="14420" max="14429" width="0.85546875" style="482"/>
    <col min="14430" max="14430" width="0.140625" style="482" customWidth="1"/>
    <col min="14431" max="14432" width="0" style="482" hidden="1" customWidth="1"/>
    <col min="14433" max="14440" width="0.85546875" style="482"/>
    <col min="14441" max="14441" width="3.85546875" style="482" customWidth="1"/>
    <col min="14442" max="14442" width="0.140625" style="482" customWidth="1"/>
    <col min="14443" max="14445" width="0" style="482" hidden="1" customWidth="1"/>
    <col min="14446" max="14454" width="0.85546875" style="482"/>
    <col min="14455" max="14455" width="2.42578125" style="482" customWidth="1"/>
    <col min="14456" max="14469" width="0.85546875" style="482"/>
    <col min="14470" max="14470" width="2.85546875" style="482" customWidth="1"/>
    <col min="14471" max="14481" width="0.85546875" style="482"/>
    <col min="14482" max="14482" width="3.5703125" style="482" customWidth="1"/>
    <col min="14483" max="14497" width="0.85546875" style="482"/>
    <col min="14498" max="14498" width="18.7109375" style="482" customWidth="1"/>
    <col min="14499" max="14610" width="0.85546875" style="482"/>
    <col min="14611" max="14611" width="0.85546875" style="482" customWidth="1"/>
    <col min="14612" max="14657" width="0.85546875" style="482"/>
    <col min="14658" max="14658" width="0.85546875" style="482" customWidth="1"/>
    <col min="14659" max="14660" width="0.85546875" style="482"/>
    <col min="14661" max="14661" width="0.7109375" style="482" customWidth="1"/>
    <col min="14662" max="14665" width="0" style="482" hidden="1" customWidth="1"/>
    <col min="14666" max="14673" width="0.85546875" style="482"/>
    <col min="14674" max="14675" width="0.85546875" style="482" customWidth="1"/>
    <col min="14676" max="14685" width="0.85546875" style="482"/>
    <col min="14686" max="14686" width="0.140625" style="482" customWidth="1"/>
    <col min="14687" max="14688" width="0" style="482" hidden="1" customWidth="1"/>
    <col min="14689" max="14696" width="0.85546875" style="482"/>
    <col min="14697" max="14697" width="3.85546875" style="482" customWidth="1"/>
    <col min="14698" max="14698" width="0.140625" style="482" customWidth="1"/>
    <col min="14699" max="14701" width="0" style="482" hidden="1" customWidth="1"/>
    <col min="14702" max="14710" width="0.85546875" style="482"/>
    <col min="14711" max="14711" width="2.42578125" style="482" customWidth="1"/>
    <col min="14712" max="14725" width="0.85546875" style="482"/>
    <col min="14726" max="14726" width="2.85546875" style="482" customWidth="1"/>
    <col min="14727" max="14737" width="0.85546875" style="482"/>
    <col min="14738" max="14738" width="3.5703125" style="482" customWidth="1"/>
    <col min="14739" max="14753" width="0.85546875" style="482"/>
    <col min="14754" max="14754" width="18.7109375" style="482" customWidth="1"/>
    <col min="14755" max="14866" width="0.85546875" style="482"/>
    <col min="14867" max="14867" width="0.85546875" style="482" customWidth="1"/>
    <col min="14868" max="14913" width="0.85546875" style="482"/>
    <col min="14914" max="14914" width="0.85546875" style="482" customWidth="1"/>
    <col min="14915" max="14916" width="0.85546875" style="482"/>
    <col min="14917" max="14917" width="0.7109375" style="482" customWidth="1"/>
    <col min="14918" max="14921" width="0" style="482" hidden="1" customWidth="1"/>
    <col min="14922" max="14929" width="0.85546875" style="482"/>
    <col min="14930" max="14931" width="0.85546875" style="482" customWidth="1"/>
    <col min="14932" max="14941" width="0.85546875" style="482"/>
    <col min="14942" max="14942" width="0.140625" style="482" customWidth="1"/>
    <col min="14943" max="14944" width="0" style="482" hidden="1" customWidth="1"/>
    <col min="14945" max="14952" width="0.85546875" style="482"/>
    <col min="14953" max="14953" width="3.85546875" style="482" customWidth="1"/>
    <col min="14954" max="14954" width="0.140625" style="482" customWidth="1"/>
    <col min="14955" max="14957" width="0" style="482" hidden="1" customWidth="1"/>
    <col min="14958" max="14966" width="0.85546875" style="482"/>
    <col min="14967" max="14967" width="2.42578125" style="482" customWidth="1"/>
    <col min="14968" max="14981" width="0.85546875" style="482"/>
    <col min="14982" max="14982" width="2.85546875" style="482" customWidth="1"/>
    <col min="14983" max="14993" width="0.85546875" style="482"/>
    <col min="14994" max="14994" width="3.5703125" style="482" customWidth="1"/>
    <col min="14995" max="15009" width="0.85546875" style="482"/>
    <col min="15010" max="15010" width="18.7109375" style="482" customWidth="1"/>
    <col min="15011" max="15122" width="0.85546875" style="482"/>
    <col min="15123" max="15123" width="0.85546875" style="482" customWidth="1"/>
    <col min="15124" max="15169" width="0.85546875" style="482"/>
    <col min="15170" max="15170" width="0.85546875" style="482" customWidth="1"/>
    <col min="15171" max="15172" width="0.85546875" style="482"/>
    <col min="15173" max="15173" width="0.7109375" style="482" customWidth="1"/>
    <col min="15174" max="15177" width="0" style="482" hidden="1" customWidth="1"/>
    <col min="15178" max="15185" width="0.85546875" style="482"/>
    <col min="15186" max="15187" width="0.85546875" style="482" customWidth="1"/>
    <col min="15188" max="15197" width="0.85546875" style="482"/>
    <col min="15198" max="15198" width="0.140625" style="482" customWidth="1"/>
    <col min="15199" max="15200" width="0" style="482" hidden="1" customWidth="1"/>
    <col min="15201" max="15208" width="0.85546875" style="482"/>
    <col min="15209" max="15209" width="3.85546875" style="482" customWidth="1"/>
    <col min="15210" max="15210" width="0.140625" style="482" customWidth="1"/>
    <col min="15211" max="15213" width="0" style="482" hidden="1" customWidth="1"/>
    <col min="15214" max="15222" width="0.85546875" style="482"/>
    <col min="15223" max="15223" width="2.42578125" style="482" customWidth="1"/>
    <col min="15224" max="15237" width="0.85546875" style="482"/>
    <col min="15238" max="15238" width="2.85546875" style="482" customWidth="1"/>
    <col min="15239" max="15249" width="0.85546875" style="482"/>
    <col min="15250" max="15250" width="3.5703125" style="482" customWidth="1"/>
    <col min="15251" max="15265" width="0.85546875" style="482"/>
    <col min="15266" max="15266" width="18.7109375" style="482" customWidth="1"/>
    <col min="15267" max="15378" width="0.85546875" style="482"/>
    <col min="15379" max="15379" width="0.85546875" style="482" customWidth="1"/>
    <col min="15380" max="15425" width="0.85546875" style="482"/>
    <col min="15426" max="15426" width="0.85546875" style="482" customWidth="1"/>
    <col min="15427" max="15428" width="0.85546875" style="482"/>
    <col min="15429" max="15429" width="0.7109375" style="482" customWidth="1"/>
    <col min="15430" max="15433" width="0" style="482" hidden="1" customWidth="1"/>
    <col min="15434" max="15441" width="0.85546875" style="482"/>
    <col min="15442" max="15443" width="0.85546875" style="482" customWidth="1"/>
    <col min="15444" max="15453" width="0.85546875" style="482"/>
    <col min="15454" max="15454" width="0.140625" style="482" customWidth="1"/>
    <col min="15455" max="15456" width="0" style="482" hidden="1" customWidth="1"/>
    <col min="15457" max="15464" width="0.85546875" style="482"/>
    <col min="15465" max="15465" width="3.85546875" style="482" customWidth="1"/>
    <col min="15466" max="15466" width="0.140625" style="482" customWidth="1"/>
    <col min="15467" max="15469" width="0" style="482" hidden="1" customWidth="1"/>
    <col min="15470" max="15478" width="0.85546875" style="482"/>
    <col min="15479" max="15479" width="2.42578125" style="482" customWidth="1"/>
    <col min="15480" max="15493" width="0.85546875" style="482"/>
    <col min="15494" max="15494" width="2.85546875" style="482" customWidth="1"/>
    <col min="15495" max="15505" width="0.85546875" style="482"/>
    <col min="15506" max="15506" width="3.5703125" style="482" customWidth="1"/>
    <col min="15507" max="15521" width="0.85546875" style="482"/>
    <col min="15522" max="15522" width="18.7109375" style="482" customWidth="1"/>
    <col min="15523" max="15634" width="0.85546875" style="482"/>
    <col min="15635" max="15635" width="0.85546875" style="482" customWidth="1"/>
    <col min="15636" max="15681" width="0.85546875" style="482"/>
    <col min="15682" max="15682" width="0.85546875" style="482" customWidth="1"/>
    <col min="15683" max="15684" width="0.85546875" style="482"/>
    <col min="15685" max="15685" width="0.7109375" style="482" customWidth="1"/>
    <col min="15686" max="15689" width="0" style="482" hidden="1" customWidth="1"/>
    <col min="15690" max="15697" width="0.85546875" style="482"/>
    <col min="15698" max="15699" width="0.85546875" style="482" customWidth="1"/>
    <col min="15700" max="15709" width="0.85546875" style="482"/>
    <col min="15710" max="15710" width="0.140625" style="482" customWidth="1"/>
    <col min="15711" max="15712" width="0" style="482" hidden="1" customWidth="1"/>
    <col min="15713" max="15720" width="0.85546875" style="482"/>
    <col min="15721" max="15721" width="3.85546875" style="482" customWidth="1"/>
    <col min="15722" max="15722" width="0.140625" style="482" customWidth="1"/>
    <col min="15723" max="15725" width="0" style="482" hidden="1" customWidth="1"/>
    <col min="15726" max="15734" width="0.85546875" style="482"/>
    <col min="15735" max="15735" width="2.42578125" style="482" customWidth="1"/>
    <col min="15736" max="15749" width="0.85546875" style="482"/>
    <col min="15750" max="15750" width="2.85546875" style="482" customWidth="1"/>
    <col min="15751" max="15761" width="0.85546875" style="482"/>
    <col min="15762" max="15762" width="3.5703125" style="482" customWidth="1"/>
    <col min="15763" max="15777" width="0.85546875" style="482"/>
    <col min="15778" max="15778" width="18.7109375" style="482" customWidth="1"/>
    <col min="15779" max="15890" width="0.85546875" style="482"/>
    <col min="15891" max="15891" width="0.85546875" style="482" customWidth="1"/>
    <col min="15892" max="15937" width="0.85546875" style="482"/>
    <col min="15938" max="15938" width="0.85546875" style="482" customWidth="1"/>
    <col min="15939" max="15940" width="0.85546875" style="482"/>
    <col min="15941" max="15941" width="0.7109375" style="482" customWidth="1"/>
    <col min="15942" max="15945" width="0" style="482" hidden="1" customWidth="1"/>
    <col min="15946" max="15953" width="0.85546875" style="482"/>
    <col min="15954" max="15955" width="0.85546875" style="482" customWidth="1"/>
    <col min="15956" max="15965" width="0.85546875" style="482"/>
    <col min="15966" max="15966" width="0.140625" style="482" customWidth="1"/>
    <col min="15967" max="15968" width="0" style="482" hidden="1" customWidth="1"/>
    <col min="15969" max="15976" width="0.85546875" style="482"/>
    <col min="15977" max="15977" width="3.85546875" style="482" customWidth="1"/>
    <col min="15978" max="15978" width="0.140625" style="482" customWidth="1"/>
    <col min="15979" max="15981" width="0" style="482" hidden="1" customWidth="1"/>
    <col min="15982" max="15990" width="0.85546875" style="482"/>
    <col min="15991" max="15991" width="2.42578125" style="482" customWidth="1"/>
    <col min="15992" max="16005" width="0.85546875" style="482"/>
    <col min="16006" max="16006" width="2.85546875" style="482" customWidth="1"/>
    <col min="16007" max="16017" width="0.85546875" style="482"/>
    <col min="16018" max="16018" width="3.5703125" style="482" customWidth="1"/>
    <col min="16019" max="16033" width="0.85546875" style="482"/>
    <col min="16034" max="16034" width="18.7109375" style="482" customWidth="1"/>
    <col min="16035" max="16146" width="0.85546875" style="482"/>
    <col min="16147" max="16147" width="0.85546875" style="482" customWidth="1"/>
    <col min="16148" max="16193" width="0.85546875" style="482"/>
    <col min="16194" max="16194" width="0.85546875" style="482" customWidth="1"/>
    <col min="16195" max="16196" width="0.85546875" style="482"/>
    <col min="16197" max="16197" width="0.7109375" style="482" customWidth="1"/>
    <col min="16198" max="16201" width="0" style="482" hidden="1" customWidth="1"/>
    <col min="16202" max="16209" width="0.85546875" style="482"/>
    <col min="16210" max="16211" width="0.85546875" style="482" customWidth="1"/>
    <col min="16212" max="16221" width="0.85546875" style="482"/>
    <col min="16222" max="16222" width="0.140625" style="482" customWidth="1"/>
    <col min="16223" max="16224" width="0" style="482" hidden="1" customWidth="1"/>
    <col min="16225" max="16232" width="0.85546875" style="482"/>
    <col min="16233" max="16233" width="3.85546875" style="482" customWidth="1"/>
    <col min="16234" max="16234" width="0.140625" style="482" customWidth="1"/>
    <col min="16235" max="16237" width="0" style="482" hidden="1" customWidth="1"/>
    <col min="16238" max="16246" width="0.85546875" style="482"/>
    <col min="16247" max="16247" width="2.42578125" style="482" customWidth="1"/>
    <col min="16248" max="16261" width="0.85546875" style="482"/>
    <col min="16262" max="16262" width="2.85546875" style="482" customWidth="1"/>
    <col min="16263" max="16273" width="0.85546875" style="482"/>
    <col min="16274" max="16274" width="3.5703125" style="482" customWidth="1"/>
    <col min="16275" max="16289" width="0.85546875" style="482"/>
    <col min="16290" max="16290" width="18.7109375" style="482" customWidth="1"/>
    <col min="16291" max="16384" width="0.85546875" style="482"/>
  </cols>
  <sheetData>
    <row r="1" spans="45:161" s="481" customFormat="1" ht="10.5" x14ac:dyDescent="0.2">
      <c r="DB1" s="950" t="s">
        <v>786</v>
      </c>
      <c r="DC1" s="950"/>
      <c r="DD1" s="950"/>
      <c r="DE1" s="950"/>
      <c r="DF1" s="950"/>
      <c r="DG1" s="950"/>
      <c r="DH1" s="950"/>
      <c r="DI1" s="950"/>
      <c r="DJ1" s="950"/>
      <c r="DK1" s="950"/>
      <c r="DL1" s="950"/>
      <c r="DM1" s="950"/>
      <c r="DN1" s="950"/>
      <c r="DO1" s="950"/>
      <c r="DP1" s="950"/>
      <c r="DQ1" s="950"/>
      <c r="DR1" s="950"/>
      <c r="DS1" s="950"/>
      <c r="DT1" s="950"/>
      <c r="DU1" s="950"/>
      <c r="DV1" s="950"/>
      <c r="DW1" s="950"/>
      <c r="DX1" s="950"/>
      <c r="DY1" s="950"/>
      <c r="DZ1" s="950"/>
      <c r="EA1" s="950"/>
      <c r="EB1" s="950"/>
      <c r="EC1" s="950"/>
      <c r="ED1" s="950"/>
      <c r="EE1" s="950"/>
      <c r="EF1" s="950"/>
      <c r="EG1" s="950"/>
      <c r="EH1" s="950"/>
      <c r="EI1" s="950"/>
      <c r="EJ1" s="950"/>
      <c r="EK1" s="950"/>
      <c r="EL1" s="950"/>
      <c r="EM1" s="950"/>
      <c r="EN1" s="950"/>
      <c r="EO1" s="950"/>
      <c r="EP1" s="950"/>
      <c r="EQ1" s="950"/>
      <c r="ER1" s="950"/>
      <c r="ES1" s="950"/>
      <c r="ET1" s="950"/>
      <c r="EU1" s="950"/>
      <c r="EV1" s="950"/>
      <c r="EW1" s="950"/>
      <c r="EX1" s="950"/>
      <c r="EY1" s="950"/>
      <c r="EZ1" s="950"/>
      <c r="FA1" s="950"/>
      <c r="FB1" s="950"/>
      <c r="FC1" s="950"/>
      <c r="FD1" s="950"/>
      <c r="FE1" s="950"/>
    </row>
    <row r="2" spans="45:161" s="481" customFormat="1" ht="39.950000000000003" customHeight="1" x14ac:dyDescent="0.2">
      <c r="DB2" s="951" t="s">
        <v>787</v>
      </c>
      <c r="DC2" s="951"/>
      <c r="DD2" s="951"/>
      <c r="DE2" s="951"/>
      <c r="DF2" s="951"/>
      <c r="DG2" s="951"/>
      <c r="DH2" s="951"/>
      <c r="DI2" s="951"/>
      <c r="DJ2" s="951"/>
      <c r="DK2" s="951"/>
      <c r="DL2" s="951"/>
      <c r="DM2" s="951"/>
      <c r="DN2" s="951"/>
      <c r="DO2" s="951"/>
      <c r="DP2" s="951"/>
      <c r="DQ2" s="951"/>
      <c r="DR2" s="951"/>
      <c r="DS2" s="951"/>
      <c r="DT2" s="951"/>
      <c r="DU2" s="951"/>
      <c r="DV2" s="951"/>
      <c r="DW2" s="951"/>
      <c r="DX2" s="951"/>
      <c r="DY2" s="951"/>
      <c r="DZ2" s="951"/>
      <c r="EA2" s="951"/>
      <c r="EB2" s="951"/>
      <c r="EC2" s="951"/>
      <c r="ED2" s="951"/>
      <c r="EE2" s="951"/>
      <c r="EF2" s="951"/>
      <c r="EG2" s="951"/>
      <c r="EH2" s="951"/>
      <c r="EI2" s="951"/>
      <c r="EJ2" s="951"/>
      <c r="EK2" s="951"/>
      <c r="EL2" s="951"/>
      <c r="EM2" s="951"/>
      <c r="EN2" s="951"/>
      <c r="EO2" s="951"/>
      <c r="EP2" s="951"/>
      <c r="EQ2" s="951"/>
      <c r="ER2" s="951"/>
      <c r="ES2" s="951"/>
      <c r="ET2" s="951"/>
      <c r="EU2" s="951"/>
      <c r="EV2" s="951"/>
      <c r="EW2" s="951"/>
      <c r="EX2" s="951"/>
      <c r="EY2" s="951"/>
      <c r="EZ2" s="951"/>
      <c r="FA2" s="951"/>
      <c r="FB2" s="951"/>
      <c r="FC2" s="951"/>
      <c r="FD2" s="951"/>
      <c r="FE2" s="951"/>
    </row>
    <row r="3" spans="45:161" ht="23.45" customHeight="1" x14ac:dyDescent="0.2">
      <c r="DB3" s="952" t="s">
        <v>788</v>
      </c>
      <c r="DC3" s="953"/>
      <c r="DD3" s="953"/>
      <c r="DE3" s="953"/>
      <c r="DF3" s="953"/>
      <c r="DG3" s="953"/>
      <c r="DH3" s="953"/>
      <c r="DI3" s="953"/>
      <c r="DJ3" s="953"/>
      <c r="DK3" s="953"/>
      <c r="DL3" s="953"/>
      <c r="DM3" s="953"/>
      <c r="DN3" s="953"/>
      <c r="DO3" s="953"/>
      <c r="DP3" s="953"/>
      <c r="DQ3" s="953"/>
      <c r="DR3" s="953"/>
      <c r="DS3" s="953"/>
      <c r="DT3" s="953"/>
      <c r="DU3" s="953"/>
      <c r="DV3" s="953"/>
      <c r="DW3" s="953"/>
      <c r="DX3" s="953"/>
      <c r="DY3" s="953"/>
      <c r="DZ3" s="953"/>
      <c r="EA3" s="953"/>
      <c r="EB3" s="953"/>
      <c r="EC3" s="953"/>
      <c r="ED3" s="953"/>
      <c r="EE3" s="953"/>
      <c r="EF3" s="953"/>
      <c r="EG3" s="953"/>
      <c r="EH3" s="953"/>
      <c r="EI3" s="953"/>
      <c r="EJ3" s="953"/>
      <c r="EK3" s="953"/>
      <c r="EL3" s="953"/>
      <c r="EM3" s="953"/>
      <c r="EN3" s="953"/>
      <c r="EO3" s="953"/>
      <c r="EP3" s="953"/>
      <c r="EQ3" s="953"/>
      <c r="ER3" s="953"/>
      <c r="ES3" s="953"/>
      <c r="ET3" s="953"/>
      <c r="EU3" s="953"/>
      <c r="EV3" s="953"/>
      <c r="EW3" s="953"/>
      <c r="EX3" s="953"/>
      <c r="EY3" s="953"/>
      <c r="EZ3" s="953"/>
      <c r="FA3" s="953"/>
      <c r="FB3" s="953"/>
      <c r="FC3" s="953"/>
      <c r="FD3" s="953"/>
      <c r="FE3" s="953"/>
    </row>
    <row r="4" spans="45:161" ht="4.5" customHeight="1" x14ac:dyDescent="0.2"/>
    <row r="5" spans="45:161" s="481" customFormat="1" ht="10.5" customHeight="1" x14ac:dyDescent="0.2">
      <c r="DB5" s="950" t="s">
        <v>789</v>
      </c>
      <c r="DC5" s="950"/>
      <c r="DD5" s="950"/>
      <c r="DE5" s="950"/>
      <c r="DF5" s="950"/>
      <c r="DG5" s="950"/>
      <c r="DH5" s="950"/>
      <c r="DI5" s="950"/>
      <c r="DJ5" s="950"/>
      <c r="DK5" s="950"/>
      <c r="DL5" s="950"/>
      <c r="DM5" s="950"/>
      <c r="DN5" s="950"/>
      <c r="DO5" s="950"/>
      <c r="DP5" s="950"/>
      <c r="DQ5" s="950"/>
      <c r="DR5" s="950"/>
      <c r="DS5" s="950"/>
      <c r="DT5" s="950"/>
      <c r="DU5" s="950"/>
      <c r="DV5" s="950"/>
      <c r="DW5" s="950"/>
      <c r="DX5" s="950"/>
      <c r="DY5" s="950"/>
      <c r="DZ5" s="950"/>
      <c r="EA5" s="950"/>
      <c r="EB5" s="950"/>
      <c r="EC5" s="950"/>
      <c r="ED5" s="950"/>
      <c r="EE5" s="950"/>
      <c r="EF5" s="950"/>
      <c r="EG5" s="950"/>
      <c r="EH5" s="950"/>
      <c r="EI5" s="950"/>
      <c r="EJ5" s="950"/>
      <c r="EK5" s="950"/>
      <c r="EL5" s="950"/>
      <c r="EM5" s="950"/>
      <c r="EN5" s="950"/>
      <c r="EO5" s="950"/>
      <c r="EP5" s="950"/>
      <c r="EQ5" s="950"/>
      <c r="ER5" s="950"/>
      <c r="ES5" s="950"/>
      <c r="ET5" s="950"/>
      <c r="EU5" s="950"/>
      <c r="EV5" s="950"/>
      <c r="EW5" s="950"/>
      <c r="EX5" s="950"/>
      <c r="EY5" s="950"/>
      <c r="EZ5" s="950"/>
      <c r="FA5" s="950"/>
      <c r="FB5" s="950"/>
      <c r="FC5" s="950"/>
      <c r="FD5" s="950"/>
      <c r="FE5" s="950"/>
    </row>
    <row r="6" spans="45:161" ht="6" customHeight="1" x14ac:dyDescent="0.2"/>
    <row r="7" spans="45:161" s="481" customFormat="1" ht="12" x14ac:dyDescent="0.2">
      <c r="DW7" s="946" t="s">
        <v>790</v>
      </c>
      <c r="DX7" s="946"/>
      <c r="DY7" s="946"/>
      <c r="DZ7" s="946"/>
      <c r="EA7" s="946"/>
      <c r="EB7" s="946"/>
      <c r="EC7" s="946"/>
      <c r="ED7" s="946"/>
      <c r="EE7" s="946"/>
      <c r="EF7" s="946"/>
      <c r="EG7" s="946"/>
      <c r="EH7" s="946"/>
      <c r="EI7" s="946"/>
      <c r="EJ7" s="946"/>
      <c r="EK7" s="946"/>
      <c r="EL7" s="946"/>
      <c r="EM7" s="946"/>
      <c r="EN7" s="946"/>
      <c r="EO7" s="946"/>
      <c r="EP7" s="946"/>
      <c r="EQ7" s="946"/>
      <c r="ER7" s="946"/>
      <c r="ES7" s="946"/>
      <c r="ET7" s="946"/>
      <c r="EU7" s="946"/>
      <c r="EV7" s="946"/>
      <c r="EW7" s="946"/>
      <c r="EX7" s="946"/>
      <c r="EY7" s="946"/>
      <c r="EZ7" s="946"/>
      <c r="FA7" s="946"/>
      <c r="FB7" s="946"/>
      <c r="FC7" s="946"/>
      <c r="FD7" s="946"/>
      <c r="FE7" s="946"/>
    </row>
    <row r="8" spans="45:161" s="481" customFormat="1" ht="12.75" customHeight="1" x14ac:dyDescent="0.2">
      <c r="DN8" s="946" t="s">
        <v>1211</v>
      </c>
      <c r="DO8" s="946"/>
      <c r="DP8" s="946"/>
      <c r="DQ8" s="946"/>
      <c r="DR8" s="946"/>
      <c r="DS8" s="946"/>
      <c r="DT8" s="946"/>
      <c r="DU8" s="946"/>
      <c r="DV8" s="946"/>
      <c r="DW8" s="946"/>
      <c r="DX8" s="946"/>
      <c r="DY8" s="946"/>
      <c r="DZ8" s="946"/>
      <c r="EA8" s="946"/>
      <c r="EB8" s="946"/>
      <c r="EC8" s="946"/>
      <c r="ED8" s="946"/>
      <c r="EE8" s="946"/>
      <c r="EF8" s="946"/>
      <c r="EG8" s="946"/>
      <c r="EH8" s="946"/>
      <c r="EI8" s="946"/>
      <c r="EJ8" s="946"/>
      <c r="EK8" s="946"/>
      <c r="EL8" s="946"/>
      <c r="EM8" s="946"/>
      <c r="EN8" s="946"/>
      <c r="EO8" s="946"/>
      <c r="EP8" s="946"/>
      <c r="EQ8" s="946"/>
      <c r="ER8" s="946"/>
      <c r="ES8" s="946"/>
      <c r="ET8" s="946"/>
      <c r="EU8" s="946"/>
      <c r="EV8" s="946"/>
      <c r="EW8" s="946"/>
      <c r="EX8" s="946"/>
      <c r="EY8" s="946"/>
      <c r="EZ8" s="946"/>
      <c r="FA8" s="946"/>
      <c r="FB8" s="946"/>
      <c r="FC8" s="946"/>
      <c r="FD8" s="946"/>
      <c r="FE8" s="946"/>
    </row>
    <row r="9" spans="45:161" s="483" customFormat="1" ht="10.5" customHeight="1" x14ac:dyDescent="0.15">
      <c r="DN9" s="945" t="s">
        <v>791</v>
      </c>
      <c r="DO9" s="945"/>
      <c r="DP9" s="945"/>
      <c r="DQ9" s="945"/>
      <c r="DR9" s="945"/>
      <c r="DS9" s="945"/>
      <c r="DT9" s="945"/>
      <c r="DU9" s="945"/>
      <c r="DV9" s="945"/>
      <c r="DW9" s="945"/>
      <c r="DX9" s="945"/>
      <c r="DY9" s="945"/>
      <c r="DZ9" s="945"/>
      <c r="EA9" s="945"/>
      <c r="EB9" s="945"/>
      <c r="EC9" s="945"/>
      <c r="ED9" s="945"/>
      <c r="EE9" s="945"/>
      <c r="EF9" s="945"/>
      <c r="EG9" s="945"/>
      <c r="EH9" s="945"/>
      <c r="EI9" s="945"/>
      <c r="EJ9" s="945"/>
      <c r="EK9" s="945"/>
      <c r="EL9" s="945"/>
      <c r="EM9" s="945"/>
      <c r="EN9" s="945"/>
      <c r="EO9" s="945"/>
      <c r="EP9" s="945"/>
      <c r="EQ9" s="945"/>
      <c r="ER9" s="945"/>
      <c r="ES9" s="945"/>
      <c r="ET9" s="945"/>
      <c r="EU9" s="945"/>
      <c r="EV9" s="945"/>
      <c r="EW9" s="945"/>
      <c r="EX9" s="945"/>
      <c r="EY9" s="945"/>
      <c r="EZ9" s="945"/>
      <c r="FA9" s="945"/>
      <c r="FB9" s="945"/>
      <c r="FC9" s="945"/>
      <c r="FD9" s="945"/>
      <c r="FE9" s="945"/>
    </row>
    <row r="10" spans="45:161" s="481" customFormat="1" ht="12.75" customHeight="1" x14ac:dyDescent="0.2">
      <c r="DO10" s="946" t="s">
        <v>792</v>
      </c>
      <c r="DP10" s="946"/>
      <c r="DQ10" s="946"/>
      <c r="DR10" s="946"/>
      <c r="DS10" s="946"/>
      <c r="DT10" s="946"/>
      <c r="DU10" s="946"/>
      <c r="DV10" s="946"/>
      <c r="DW10" s="946"/>
      <c r="DX10" s="946"/>
      <c r="DY10" s="946"/>
      <c r="DZ10" s="946"/>
      <c r="EA10" s="946"/>
      <c r="EB10" s="946"/>
      <c r="EC10" s="946"/>
      <c r="ED10" s="946"/>
      <c r="EE10" s="946"/>
      <c r="EF10" s="946"/>
      <c r="EG10" s="946"/>
      <c r="EH10" s="946"/>
      <c r="EI10" s="946"/>
      <c r="EJ10" s="946"/>
      <c r="EK10" s="946"/>
      <c r="EL10" s="946"/>
      <c r="EM10" s="946"/>
      <c r="EN10" s="946"/>
      <c r="EO10" s="946"/>
      <c r="EP10" s="946"/>
      <c r="EQ10" s="946"/>
      <c r="ER10" s="946"/>
      <c r="ES10" s="946"/>
      <c r="ET10" s="946"/>
      <c r="EU10" s="946"/>
      <c r="EV10" s="946"/>
      <c r="EW10" s="946"/>
      <c r="EX10" s="946"/>
      <c r="EY10" s="946"/>
      <c r="EZ10" s="946"/>
      <c r="FA10" s="946"/>
      <c r="FB10" s="946"/>
      <c r="FC10" s="946"/>
      <c r="FD10" s="946"/>
      <c r="FE10" s="946"/>
    </row>
    <row r="11" spans="45:161" s="483" customFormat="1" ht="10.5" customHeight="1" x14ac:dyDescent="0.15">
      <c r="DO11" s="945" t="s">
        <v>793</v>
      </c>
      <c r="DP11" s="945"/>
      <c r="DQ11" s="945"/>
      <c r="DR11" s="945"/>
      <c r="DS11" s="945"/>
      <c r="DT11" s="945"/>
      <c r="DU11" s="945"/>
      <c r="DV11" s="945"/>
      <c r="DW11" s="945"/>
      <c r="DX11" s="945"/>
      <c r="DY11" s="945"/>
      <c r="DZ11" s="945"/>
      <c r="EA11" s="945"/>
      <c r="EB11" s="945"/>
      <c r="EC11" s="945"/>
      <c r="ED11" s="945"/>
      <c r="EE11" s="945"/>
      <c r="EF11" s="945"/>
      <c r="EG11" s="945"/>
      <c r="EH11" s="945"/>
      <c r="EI11" s="945"/>
      <c r="EJ11" s="945"/>
      <c r="EK11" s="945"/>
      <c r="EL11" s="945"/>
      <c r="EM11" s="945"/>
      <c r="EN11" s="945"/>
      <c r="EO11" s="945"/>
      <c r="EP11" s="945"/>
      <c r="EQ11" s="945"/>
      <c r="ER11" s="945"/>
      <c r="ES11" s="945"/>
      <c r="ET11" s="945"/>
      <c r="EU11" s="945"/>
      <c r="EV11" s="945"/>
      <c r="EW11" s="945"/>
      <c r="EX11" s="945"/>
      <c r="EY11" s="945"/>
      <c r="EZ11" s="945"/>
      <c r="FA11" s="945"/>
      <c r="FB11" s="945"/>
      <c r="FC11" s="945"/>
      <c r="FD11" s="945"/>
      <c r="FE11" s="945"/>
    </row>
    <row r="12" spans="45:161" s="481" customFormat="1" ht="20.25" customHeight="1" x14ac:dyDescent="0.2">
      <c r="DP12" s="947"/>
      <c r="DQ12" s="947"/>
      <c r="DR12" s="947"/>
      <c r="DS12" s="947"/>
      <c r="DT12" s="947"/>
      <c r="DU12" s="947"/>
      <c r="DV12" s="947"/>
      <c r="DW12" s="947"/>
      <c r="DX12" s="947"/>
      <c r="DY12" s="947"/>
      <c r="DZ12" s="947"/>
      <c r="EA12" s="947"/>
      <c r="EB12" s="947"/>
      <c r="EC12" s="947"/>
      <c r="ED12" s="947"/>
      <c r="EE12" s="947"/>
      <c r="EF12" s="947"/>
      <c r="EG12" s="947"/>
      <c r="EH12" s="947"/>
      <c r="EI12" s="947"/>
      <c r="EJ12" s="484"/>
      <c r="EK12" s="484"/>
      <c r="EL12" s="948" t="s">
        <v>1212</v>
      </c>
      <c r="EM12" s="948"/>
      <c r="EN12" s="948"/>
      <c r="EO12" s="948"/>
      <c r="EP12" s="948"/>
      <c r="EQ12" s="948"/>
      <c r="ER12" s="948"/>
      <c r="ES12" s="948"/>
      <c r="ET12" s="948"/>
      <c r="EU12" s="948"/>
      <c r="EV12" s="948"/>
      <c r="EW12" s="948"/>
      <c r="EX12" s="948"/>
      <c r="EY12" s="948"/>
      <c r="EZ12" s="948"/>
      <c r="FA12" s="948"/>
      <c r="FB12" s="948"/>
      <c r="FC12" s="948"/>
      <c r="FD12" s="948"/>
      <c r="FE12" s="948"/>
    </row>
    <row r="13" spans="45:161" s="483" customFormat="1" ht="10.5" customHeight="1" x14ac:dyDescent="0.15">
      <c r="DW13" s="945" t="s">
        <v>272</v>
      </c>
      <c r="DX13" s="945"/>
      <c r="DY13" s="945"/>
      <c r="DZ13" s="945"/>
      <c r="EA13" s="945"/>
      <c r="EB13" s="945"/>
      <c r="EC13" s="945"/>
      <c r="ED13" s="945"/>
      <c r="EE13" s="945"/>
      <c r="EF13" s="945"/>
      <c r="EG13" s="945"/>
      <c r="EH13" s="945"/>
      <c r="EI13" s="945"/>
      <c r="EJ13" s="485"/>
      <c r="EK13" s="485"/>
      <c r="EL13" s="949" t="s">
        <v>273</v>
      </c>
      <c r="EM13" s="949"/>
      <c r="EN13" s="949"/>
      <c r="EO13" s="949"/>
      <c r="EP13" s="949"/>
      <c r="EQ13" s="949"/>
      <c r="ER13" s="949"/>
      <c r="ES13" s="949"/>
      <c r="ET13" s="949"/>
      <c r="EU13" s="949"/>
      <c r="EV13" s="949"/>
      <c r="EW13" s="949"/>
      <c r="EX13" s="949"/>
      <c r="EY13" s="949"/>
      <c r="EZ13" s="949"/>
      <c r="FA13" s="949"/>
      <c r="FB13" s="949"/>
      <c r="FC13" s="949"/>
      <c r="FD13" s="949"/>
      <c r="FE13" s="949"/>
    </row>
    <row r="14" spans="45:161" s="481" customFormat="1" ht="12" x14ac:dyDescent="0.2">
      <c r="DW14" s="941" t="s">
        <v>794</v>
      </c>
      <c r="DX14" s="941"/>
      <c r="DY14" s="942"/>
      <c r="DZ14" s="942"/>
      <c r="EA14" s="942"/>
      <c r="EB14" s="938" t="s">
        <v>794</v>
      </c>
      <c r="EC14" s="938"/>
      <c r="ED14" s="484"/>
      <c r="EE14" s="942"/>
      <c r="EF14" s="942"/>
      <c r="EG14" s="942"/>
      <c r="EH14" s="942"/>
      <c r="EI14" s="942"/>
      <c r="EJ14" s="942"/>
      <c r="EK14" s="942"/>
      <c r="EL14" s="942"/>
      <c r="EM14" s="942"/>
      <c r="EN14" s="942"/>
      <c r="EO14" s="942"/>
      <c r="EP14" s="942"/>
      <c r="EQ14" s="942"/>
      <c r="ER14" s="942"/>
      <c r="ES14" s="942"/>
      <c r="ET14" s="941">
        <v>20</v>
      </c>
      <c r="EU14" s="941"/>
      <c r="EV14" s="941"/>
      <c r="EW14" s="943"/>
      <c r="EX14" s="943"/>
      <c r="EY14" s="943"/>
      <c r="EZ14" s="938" t="s">
        <v>795</v>
      </c>
      <c r="FA14" s="938"/>
      <c r="FB14" s="938"/>
      <c r="FC14" s="484"/>
      <c r="FD14" s="484"/>
      <c r="FE14" s="484"/>
    </row>
    <row r="15" spans="45:161" ht="6" customHeight="1" x14ac:dyDescent="0.2"/>
    <row r="16" spans="45:161" s="487" customFormat="1" ht="12.75" customHeight="1" x14ac:dyDescent="0.2">
      <c r="AS16" s="523"/>
      <c r="AT16" s="523"/>
      <c r="AU16" s="523"/>
      <c r="AV16" s="944" t="s">
        <v>1087</v>
      </c>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row>
    <row r="17" spans="1:161" s="487" customFormat="1" ht="14.25" x14ac:dyDescent="0.2">
      <c r="AY17" s="939" t="s">
        <v>797</v>
      </c>
      <c r="AZ17" s="939"/>
      <c r="BA17" s="939"/>
      <c r="BB17" s="939"/>
      <c r="BC17" s="939"/>
      <c r="BD17" s="939"/>
      <c r="BE17" s="939"/>
      <c r="BF17" s="940" t="s">
        <v>799</v>
      </c>
      <c r="BG17" s="940"/>
      <c r="BH17" s="940"/>
      <c r="BI17" s="939" t="s">
        <v>798</v>
      </c>
      <c r="BJ17" s="939"/>
      <c r="BK17" s="939"/>
      <c r="BL17" s="939"/>
      <c r="BM17" s="939"/>
      <c r="BN17" s="939"/>
      <c r="BO17" s="939"/>
      <c r="BP17" s="939"/>
      <c r="BQ17" s="939"/>
      <c r="BR17" s="939"/>
      <c r="BS17" s="939"/>
      <c r="BT17" s="939"/>
      <c r="BU17" s="939"/>
      <c r="BV17" s="939"/>
      <c r="BW17" s="939"/>
      <c r="BX17" s="939"/>
      <c r="BY17" s="939"/>
      <c r="BZ17" s="939"/>
      <c r="CA17" s="939"/>
      <c r="CB17" s="939"/>
      <c r="CC17" s="939"/>
      <c r="CD17" s="939"/>
      <c r="CE17" s="940" t="s">
        <v>801</v>
      </c>
      <c r="CF17" s="940"/>
      <c r="CG17" s="940"/>
      <c r="CH17" s="939" t="s">
        <v>800</v>
      </c>
      <c r="CI17" s="939"/>
      <c r="CJ17" s="939"/>
      <c r="CK17" s="939"/>
      <c r="CL17" s="939"/>
      <c r="CM17" s="940" t="s">
        <v>1088</v>
      </c>
      <c r="CN17" s="940"/>
      <c r="CO17" s="940"/>
      <c r="CP17" s="930" t="s">
        <v>802</v>
      </c>
      <c r="CQ17" s="930"/>
      <c r="CR17" s="930"/>
      <c r="CS17" s="930"/>
      <c r="CT17" s="930"/>
      <c r="CU17" s="930"/>
      <c r="CV17" s="930"/>
      <c r="CW17" s="930"/>
      <c r="CX17" s="930"/>
      <c r="ES17" s="931" t="s">
        <v>803</v>
      </c>
      <c r="ET17" s="907"/>
      <c r="EU17" s="907"/>
      <c r="EV17" s="907"/>
      <c r="EW17" s="907"/>
      <c r="EX17" s="907"/>
      <c r="EY17" s="907"/>
      <c r="EZ17" s="907"/>
      <c r="FA17" s="907"/>
      <c r="FB17" s="907"/>
      <c r="FC17" s="907"/>
      <c r="FD17" s="907"/>
      <c r="FE17" s="908"/>
    </row>
    <row r="18" spans="1:161" ht="9" customHeight="1" thickBot="1" x14ac:dyDescent="0.25">
      <c r="ES18" s="932"/>
      <c r="ET18" s="909"/>
      <c r="EU18" s="909"/>
      <c r="EV18" s="909"/>
      <c r="EW18" s="909"/>
      <c r="EX18" s="909"/>
      <c r="EY18" s="909"/>
      <c r="EZ18" s="909"/>
      <c r="FA18" s="909"/>
      <c r="FB18" s="909"/>
      <c r="FC18" s="909"/>
      <c r="FD18" s="909"/>
      <c r="FE18" s="910"/>
    </row>
    <row r="19" spans="1:161" ht="12.75" customHeight="1" x14ac:dyDescent="0.2">
      <c r="BG19" s="933" t="s">
        <v>804</v>
      </c>
      <c r="BH19" s="933"/>
      <c r="BI19" s="933"/>
      <c r="BJ19" s="933"/>
      <c r="BK19" s="817"/>
      <c r="BL19" s="817"/>
      <c r="BM19" s="817"/>
      <c r="BN19" s="902" t="s">
        <v>794</v>
      </c>
      <c r="BO19" s="902"/>
      <c r="BQ19" s="817"/>
      <c r="BR19" s="817"/>
      <c r="BS19" s="817"/>
      <c r="BT19" s="817"/>
      <c r="BU19" s="817"/>
      <c r="BV19" s="817"/>
      <c r="BW19" s="817"/>
      <c r="BX19" s="817"/>
      <c r="BY19" s="817"/>
      <c r="BZ19" s="817"/>
      <c r="CA19" s="817"/>
      <c r="CB19" s="817"/>
      <c r="CC19" s="817"/>
      <c r="CD19" s="817"/>
      <c r="CE19" s="817"/>
      <c r="CF19" s="933">
        <v>20</v>
      </c>
      <c r="CG19" s="933"/>
      <c r="CH19" s="933"/>
      <c r="CI19" s="934"/>
      <c r="CJ19" s="934"/>
      <c r="CK19" s="934"/>
      <c r="CL19" s="902" t="s">
        <v>805</v>
      </c>
      <c r="CM19" s="902"/>
      <c r="CN19" s="902"/>
      <c r="CO19" s="902"/>
      <c r="EQ19" s="489" t="s">
        <v>254</v>
      </c>
      <c r="ES19" s="935"/>
      <c r="ET19" s="936"/>
      <c r="EU19" s="936"/>
      <c r="EV19" s="936"/>
      <c r="EW19" s="936"/>
      <c r="EX19" s="936"/>
      <c r="EY19" s="936"/>
      <c r="EZ19" s="936"/>
      <c r="FA19" s="936"/>
      <c r="FB19" s="936"/>
      <c r="FC19" s="936"/>
      <c r="FD19" s="936"/>
      <c r="FE19" s="937"/>
    </row>
    <row r="20" spans="1:161" ht="16.5" customHeight="1" x14ac:dyDescent="0.2">
      <c r="A20" s="902" t="s">
        <v>806</v>
      </c>
      <c r="B20" s="902"/>
      <c r="C20" s="902"/>
      <c r="D20" s="902"/>
      <c r="E20" s="902"/>
      <c r="F20" s="902"/>
      <c r="G20" s="902"/>
      <c r="H20" s="902"/>
      <c r="I20" s="902"/>
      <c r="J20" s="902"/>
      <c r="K20" s="902"/>
      <c r="L20" s="902"/>
      <c r="M20" s="902"/>
      <c r="N20" s="902"/>
      <c r="O20" s="902"/>
      <c r="P20" s="902"/>
      <c r="Q20" s="902"/>
      <c r="R20" s="902"/>
      <c r="S20" s="902"/>
      <c r="T20" s="902"/>
      <c r="U20" s="902"/>
      <c r="V20" s="902"/>
      <c r="W20" s="902"/>
      <c r="X20" s="902"/>
      <c r="Y20" s="902"/>
      <c r="Z20" s="902"/>
      <c r="AA20" s="902"/>
      <c r="EQ20" s="489" t="s">
        <v>379</v>
      </c>
      <c r="ES20" s="782"/>
      <c r="ET20" s="783"/>
      <c r="EU20" s="783"/>
      <c r="EV20" s="783"/>
      <c r="EW20" s="783"/>
      <c r="EX20" s="783"/>
      <c r="EY20" s="783"/>
      <c r="EZ20" s="783"/>
      <c r="FA20" s="783"/>
      <c r="FB20" s="783"/>
      <c r="FC20" s="783"/>
      <c r="FD20" s="783"/>
      <c r="FE20" s="904"/>
    </row>
    <row r="21" spans="1:161" ht="11.25" customHeight="1" x14ac:dyDescent="0.2">
      <c r="A21" s="482" t="s">
        <v>807</v>
      </c>
      <c r="AB21" s="903" t="s">
        <v>808</v>
      </c>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3"/>
      <c r="AY21" s="903"/>
      <c r="AZ21" s="903"/>
      <c r="BA21" s="903"/>
      <c r="BB21" s="903"/>
      <c r="BC21" s="903"/>
      <c r="BD21" s="903"/>
      <c r="BE21" s="903"/>
      <c r="BF21" s="903"/>
      <c r="BG21" s="903"/>
      <c r="BH21" s="903"/>
      <c r="BI21" s="903"/>
      <c r="BJ21" s="903"/>
      <c r="BK21" s="903"/>
      <c r="BL21" s="903"/>
      <c r="BM21" s="903"/>
      <c r="BN21" s="903"/>
      <c r="BO21" s="903"/>
      <c r="BP21" s="903"/>
      <c r="BQ21" s="903"/>
      <c r="BR21" s="903"/>
      <c r="BS21" s="903"/>
      <c r="BT21" s="903"/>
      <c r="BU21" s="903"/>
      <c r="BV21" s="903"/>
      <c r="BW21" s="903"/>
      <c r="BX21" s="903"/>
      <c r="BY21" s="903"/>
      <c r="BZ21" s="903"/>
      <c r="CA21" s="903"/>
      <c r="CB21" s="903"/>
      <c r="CC21" s="903"/>
      <c r="CD21" s="903"/>
      <c r="CE21" s="903"/>
      <c r="CF21" s="903"/>
      <c r="CG21" s="903"/>
      <c r="CH21" s="903"/>
      <c r="CI21" s="903"/>
      <c r="CJ21" s="903"/>
      <c r="CK21" s="903"/>
      <c r="CL21" s="903"/>
      <c r="CM21" s="903"/>
      <c r="CN21" s="903"/>
      <c r="CO21" s="903"/>
      <c r="CP21" s="903"/>
      <c r="CQ21" s="903"/>
      <c r="CR21" s="903"/>
      <c r="CS21" s="903"/>
      <c r="CT21" s="903"/>
      <c r="CU21" s="903"/>
      <c r="CV21" s="903"/>
      <c r="CW21" s="903"/>
      <c r="CX21" s="903"/>
      <c r="CY21" s="903"/>
      <c r="CZ21" s="903"/>
      <c r="DA21" s="903"/>
      <c r="DB21" s="903"/>
      <c r="DC21" s="903"/>
      <c r="DD21" s="903"/>
      <c r="DE21" s="903"/>
      <c r="DF21" s="903"/>
      <c r="DG21" s="903"/>
      <c r="DH21" s="903"/>
      <c r="DI21" s="903"/>
      <c r="DJ21" s="903"/>
      <c r="DK21" s="903"/>
      <c r="DL21" s="903"/>
      <c r="DM21" s="903"/>
      <c r="DN21" s="903"/>
      <c r="DO21" s="903"/>
      <c r="DP21" s="903"/>
      <c r="EQ21" s="489" t="s">
        <v>380</v>
      </c>
      <c r="ES21" s="782"/>
      <c r="ET21" s="783"/>
      <c r="EU21" s="783"/>
      <c r="EV21" s="783"/>
      <c r="EW21" s="783"/>
      <c r="EX21" s="783"/>
      <c r="EY21" s="783"/>
      <c r="EZ21" s="783"/>
      <c r="FA21" s="783"/>
      <c r="FB21" s="783"/>
      <c r="FC21" s="783"/>
      <c r="FD21" s="783"/>
      <c r="FE21" s="904"/>
    </row>
    <row r="22" spans="1:161" x14ac:dyDescent="0.2">
      <c r="EQ22" s="489" t="s">
        <v>379</v>
      </c>
      <c r="ES22" s="782"/>
      <c r="ET22" s="783"/>
      <c r="EU22" s="783"/>
      <c r="EV22" s="783"/>
      <c r="EW22" s="783"/>
      <c r="EX22" s="783"/>
      <c r="EY22" s="783"/>
      <c r="EZ22" s="783"/>
      <c r="FA22" s="783"/>
      <c r="FB22" s="783"/>
      <c r="FC22" s="783"/>
      <c r="FD22" s="783"/>
      <c r="FE22" s="904"/>
    </row>
    <row r="23" spans="1:161" x14ac:dyDescent="0.2">
      <c r="EQ23" s="489" t="s">
        <v>381</v>
      </c>
      <c r="ES23" s="782" t="s">
        <v>809</v>
      </c>
      <c r="ET23" s="783"/>
      <c r="EU23" s="783"/>
      <c r="EV23" s="783"/>
      <c r="EW23" s="783"/>
      <c r="EX23" s="783"/>
      <c r="EY23" s="783"/>
      <c r="EZ23" s="783"/>
      <c r="FA23" s="783"/>
      <c r="FB23" s="783"/>
      <c r="FC23" s="783"/>
      <c r="FD23" s="783"/>
      <c r="FE23" s="904"/>
    </row>
    <row r="24" spans="1:161" x14ac:dyDescent="0.2">
      <c r="A24" s="902" t="s">
        <v>810</v>
      </c>
      <c r="B24" s="902"/>
      <c r="C24" s="902"/>
      <c r="D24" s="902"/>
      <c r="E24" s="902"/>
      <c r="F24" s="902"/>
      <c r="G24" s="902"/>
      <c r="H24" s="902"/>
      <c r="I24" s="902"/>
      <c r="J24" s="902"/>
      <c r="K24" s="902"/>
      <c r="L24" s="902"/>
      <c r="M24" s="902"/>
      <c r="N24" s="902"/>
      <c r="O24" s="902"/>
      <c r="P24" s="902"/>
      <c r="Q24" s="902"/>
      <c r="R24" s="902"/>
      <c r="S24" s="902"/>
      <c r="T24" s="902"/>
      <c r="U24" s="902"/>
      <c r="V24" s="902"/>
      <c r="W24" s="902"/>
      <c r="X24" s="902"/>
      <c r="Y24" s="902"/>
      <c r="Z24" s="902"/>
      <c r="AA24" s="902"/>
      <c r="AB24" s="903" t="s">
        <v>811</v>
      </c>
      <c r="AC24" s="903"/>
      <c r="AD24" s="903"/>
      <c r="AE24" s="903"/>
      <c r="AF24" s="903"/>
      <c r="AG24" s="903"/>
      <c r="AH24" s="903"/>
      <c r="AI24" s="903"/>
      <c r="AJ24" s="903"/>
      <c r="AK24" s="903"/>
      <c r="AL24" s="903"/>
      <c r="AM24" s="903"/>
      <c r="AN24" s="903"/>
      <c r="AO24" s="903"/>
      <c r="AP24" s="903"/>
      <c r="AQ24" s="903"/>
      <c r="AR24" s="903"/>
      <c r="AS24" s="903"/>
      <c r="AT24" s="903"/>
      <c r="AU24" s="903"/>
      <c r="AV24" s="903"/>
      <c r="AW24" s="903"/>
      <c r="AX24" s="903"/>
      <c r="AY24" s="903"/>
      <c r="AZ24" s="903"/>
      <c r="BA24" s="903"/>
      <c r="BB24" s="903"/>
      <c r="BC24" s="903"/>
      <c r="BD24" s="903"/>
      <c r="BE24" s="903"/>
      <c r="BF24" s="903"/>
      <c r="BG24" s="903"/>
      <c r="BH24" s="903"/>
      <c r="BI24" s="903"/>
      <c r="BJ24" s="903"/>
      <c r="BK24" s="903"/>
      <c r="BL24" s="903"/>
      <c r="BM24" s="903"/>
      <c r="BN24" s="903"/>
      <c r="BO24" s="903"/>
      <c r="BP24" s="903"/>
      <c r="BQ24" s="903"/>
      <c r="BR24" s="903"/>
      <c r="BS24" s="903"/>
      <c r="BT24" s="903"/>
      <c r="BU24" s="903"/>
      <c r="BV24" s="903"/>
      <c r="BW24" s="903"/>
      <c r="BX24" s="903"/>
      <c r="BY24" s="903"/>
      <c r="BZ24" s="903"/>
      <c r="CA24" s="903"/>
      <c r="CB24" s="903"/>
      <c r="CC24" s="903"/>
      <c r="CD24" s="903"/>
      <c r="CE24" s="903"/>
      <c r="CF24" s="903"/>
      <c r="CG24" s="903"/>
      <c r="CH24" s="903"/>
      <c r="CI24" s="903"/>
      <c r="CJ24" s="903"/>
      <c r="CK24" s="903"/>
      <c r="CL24" s="903"/>
      <c r="CM24" s="903"/>
      <c r="CN24" s="903"/>
      <c r="CO24" s="903"/>
      <c r="CP24" s="903"/>
      <c r="CQ24" s="903"/>
      <c r="CR24" s="903"/>
      <c r="CS24" s="903"/>
      <c r="CT24" s="903"/>
      <c r="CU24" s="903"/>
      <c r="CV24" s="903"/>
      <c r="CW24" s="903"/>
      <c r="CX24" s="903"/>
      <c r="CY24" s="903"/>
      <c r="CZ24" s="903"/>
      <c r="DA24" s="903"/>
      <c r="DB24" s="903"/>
      <c r="DC24" s="903"/>
      <c r="DD24" s="903"/>
      <c r="DE24" s="903"/>
      <c r="DF24" s="903"/>
      <c r="DG24" s="903"/>
      <c r="DH24" s="903"/>
      <c r="DI24" s="903"/>
      <c r="DJ24" s="903"/>
      <c r="DK24" s="903"/>
      <c r="DL24" s="903"/>
      <c r="DM24" s="903"/>
      <c r="DN24" s="903"/>
      <c r="DO24" s="903"/>
      <c r="DP24" s="903"/>
      <c r="EQ24" s="489" t="s">
        <v>382</v>
      </c>
      <c r="ES24" s="782" t="s">
        <v>812</v>
      </c>
      <c r="ET24" s="783"/>
      <c r="EU24" s="783"/>
      <c r="EV24" s="783"/>
      <c r="EW24" s="783"/>
      <c r="EX24" s="783"/>
      <c r="EY24" s="783"/>
      <c r="EZ24" s="783"/>
      <c r="FA24" s="783"/>
      <c r="FB24" s="783"/>
      <c r="FC24" s="783"/>
      <c r="FD24" s="783"/>
      <c r="FE24" s="904"/>
    </row>
    <row r="25" spans="1:161" ht="13.5" customHeight="1" thickBot="1" x14ac:dyDescent="0.25">
      <c r="A25" s="482" t="s">
        <v>813</v>
      </c>
      <c r="EQ25" s="489" t="s">
        <v>255</v>
      </c>
      <c r="ES25" s="772" t="s">
        <v>814</v>
      </c>
      <c r="ET25" s="773"/>
      <c r="EU25" s="773"/>
      <c r="EV25" s="773"/>
      <c r="EW25" s="773"/>
      <c r="EX25" s="773"/>
      <c r="EY25" s="773"/>
      <c r="EZ25" s="773"/>
      <c r="FA25" s="773"/>
      <c r="FB25" s="773"/>
      <c r="FC25" s="773"/>
      <c r="FD25" s="773"/>
      <c r="FE25" s="905"/>
    </row>
    <row r="26" spans="1:161" ht="6" customHeight="1" x14ac:dyDescent="0.2"/>
    <row r="27" spans="1:161" s="490" customFormat="1" ht="12" customHeight="1" x14ac:dyDescent="0.15">
      <c r="A27" s="906" t="s">
        <v>815</v>
      </c>
      <c r="B27" s="906"/>
      <c r="C27" s="906"/>
      <c r="D27" s="906"/>
      <c r="E27" s="906"/>
      <c r="F27" s="906"/>
      <c r="G27" s="906"/>
      <c r="H27" s="906"/>
      <c r="I27" s="906"/>
      <c r="J27" s="906"/>
      <c r="K27" s="906"/>
      <c r="L27" s="906"/>
      <c r="M27" s="906"/>
      <c r="N27" s="906"/>
      <c r="O27" s="906"/>
      <c r="P27" s="906"/>
      <c r="Q27" s="906"/>
      <c r="R27" s="906"/>
      <c r="S27" s="906"/>
      <c r="T27" s="906"/>
      <c r="U27" s="906"/>
      <c r="V27" s="906"/>
      <c r="W27" s="906"/>
      <c r="X27" s="906"/>
      <c r="Y27" s="906"/>
      <c r="Z27" s="906"/>
      <c r="AA27" s="906"/>
      <c r="AB27" s="906"/>
      <c r="AC27" s="906"/>
      <c r="AD27" s="906"/>
      <c r="AE27" s="906"/>
      <c r="AF27" s="906"/>
      <c r="AG27" s="906"/>
      <c r="AH27" s="906"/>
      <c r="AI27" s="906"/>
      <c r="AJ27" s="906"/>
      <c r="AK27" s="906"/>
      <c r="AL27" s="906"/>
      <c r="AM27" s="906"/>
      <c r="AN27" s="906"/>
      <c r="AO27" s="906"/>
      <c r="AP27" s="906"/>
      <c r="AQ27" s="906"/>
      <c r="AR27" s="906"/>
      <c r="AS27" s="906"/>
      <c r="AT27" s="906"/>
      <c r="AU27" s="906"/>
      <c r="AV27" s="906"/>
      <c r="AW27" s="906"/>
      <c r="AX27" s="906"/>
      <c r="AY27" s="906"/>
      <c r="AZ27" s="906"/>
      <c r="BA27" s="906"/>
      <c r="BB27" s="906"/>
      <c r="BC27" s="906"/>
      <c r="BD27" s="906"/>
      <c r="BE27" s="906"/>
      <c r="BF27" s="906"/>
      <c r="BG27" s="906"/>
      <c r="BH27" s="906"/>
      <c r="BI27" s="906"/>
      <c r="BJ27" s="906"/>
      <c r="BK27" s="906"/>
      <c r="BL27" s="906"/>
      <c r="BM27" s="906"/>
      <c r="BN27" s="906"/>
      <c r="BO27" s="906"/>
      <c r="BP27" s="906"/>
      <c r="BQ27" s="906"/>
      <c r="BR27" s="906"/>
      <c r="BS27" s="906"/>
      <c r="BT27" s="906"/>
      <c r="BU27" s="906"/>
      <c r="BV27" s="906"/>
      <c r="BW27" s="906"/>
      <c r="BX27" s="906"/>
      <c r="BY27" s="906"/>
      <c r="BZ27" s="906"/>
      <c r="CA27" s="906"/>
      <c r="CB27" s="906"/>
      <c r="CC27" s="906"/>
      <c r="CD27" s="906"/>
      <c r="CE27" s="906"/>
      <c r="CF27" s="906"/>
      <c r="CG27" s="906"/>
      <c r="CH27" s="906"/>
      <c r="CI27" s="906"/>
      <c r="CJ27" s="906"/>
      <c r="CK27" s="906"/>
      <c r="CL27" s="906"/>
      <c r="CM27" s="906"/>
      <c r="CN27" s="906"/>
      <c r="CO27" s="906"/>
      <c r="CP27" s="906"/>
      <c r="CQ27" s="906"/>
      <c r="CR27" s="906"/>
      <c r="CS27" s="906"/>
      <c r="CT27" s="906"/>
      <c r="CU27" s="906"/>
      <c r="CV27" s="906"/>
      <c r="CW27" s="906"/>
      <c r="CX27" s="906"/>
      <c r="CY27" s="906"/>
      <c r="CZ27" s="906"/>
      <c r="DA27" s="906"/>
      <c r="DB27" s="906"/>
      <c r="DC27" s="906"/>
      <c r="DD27" s="906"/>
      <c r="DE27" s="906"/>
      <c r="DF27" s="906"/>
      <c r="DG27" s="906"/>
      <c r="DH27" s="906"/>
      <c r="DI27" s="906"/>
      <c r="DJ27" s="906"/>
      <c r="DK27" s="906"/>
      <c r="DL27" s="906"/>
      <c r="DM27" s="906"/>
      <c r="DN27" s="906"/>
      <c r="DO27" s="906"/>
      <c r="DP27" s="906"/>
      <c r="DQ27" s="906"/>
      <c r="DR27" s="906"/>
      <c r="DS27" s="906"/>
      <c r="DT27" s="906"/>
      <c r="DU27" s="906"/>
      <c r="DV27" s="906"/>
      <c r="DW27" s="906"/>
      <c r="DX27" s="906"/>
      <c r="DY27" s="906"/>
      <c r="DZ27" s="906"/>
      <c r="EA27" s="906"/>
      <c r="EB27" s="906"/>
      <c r="EC27" s="906"/>
      <c r="ED27" s="906"/>
      <c r="EE27" s="906"/>
      <c r="EF27" s="906"/>
      <c r="EG27" s="906"/>
      <c r="EH27" s="906"/>
      <c r="EI27" s="906"/>
      <c r="EJ27" s="906"/>
      <c r="EK27" s="906"/>
      <c r="EL27" s="906"/>
      <c r="EM27" s="906"/>
      <c r="EN27" s="906"/>
      <c r="EO27" s="906"/>
      <c r="EP27" s="906"/>
      <c r="EQ27" s="906"/>
      <c r="ER27" s="906"/>
      <c r="ES27" s="906"/>
      <c r="ET27" s="906"/>
      <c r="EU27" s="906"/>
      <c r="EV27" s="906"/>
      <c r="EW27" s="906"/>
      <c r="EX27" s="906"/>
      <c r="EY27" s="906"/>
      <c r="EZ27" s="906"/>
      <c r="FA27" s="906"/>
      <c r="FB27" s="906"/>
      <c r="FC27" s="906"/>
      <c r="FD27" s="906"/>
      <c r="FE27" s="906"/>
    </row>
    <row r="28" spans="1:161" ht="4.5" customHeight="1" x14ac:dyDescent="0.2"/>
    <row r="29" spans="1:161" ht="12" customHeight="1" x14ac:dyDescent="0.2">
      <c r="A29" s="907" t="s">
        <v>44</v>
      </c>
      <c r="B29" s="907"/>
      <c r="C29" s="907"/>
      <c r="D29" s="907"/>
      <c r="E29" s="907"/>
      <c r="F29" s="907"/>
      <c r="G29" s="907"/>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7"/>
      <c r="AY29" s="907"/>
      <c r="AZ29" s="907"/>
      <c r="BA29" s="907"/>
      <c r="BB29" s="907"/>
      <c r="BC29" s="907"/>
      <c r="BD29" s="907"/>
      <c r="BE29" s="907"/>
      <c r="BF29" s="907"/>
      <c r="BG29" s="907"/>
      <c r="BH29" s="907"/>
      <c r="BI29" s="907"/>
      <c r="BJ29" s="907"/>
      <c r="BK29" s="907"/>
      <c r="BL29" s="907"/>
      <c r="BM29" s="907"/>
      <c r="BN29" s="907"/>
      <c r="BO29" s="907"/>
      <c r="BP29" s="907"/>
      <c r="BQ29" s="907"/>
      <c r="BR29" s="907"/>
      <c r="BS29" s="907"/>
      <c r="BT29" s="907"/>
      <c r="BU29" s="907"/>
      <c r="BV29" s="907"/>
      <c r="BW29" s="908"/>
      <c r="BX29" s="913" t="s">
        <v>267</v>
      </c>
      <c r="BY29" s="914"/>
      <c r="BZ29" s="914"/>
      <c r="CA29" s="914"/>
      <c r="CB29" s="914"/>
      <c r="CC29" s="914"/>
      <c r="CD29" s="914"/>
      <c r="CE29" s="915"/>
      <c r="CF29" s="913" t="s">
        <v>816</v>
      </c>
      <c r="CG29" s="914"/>
      <c r="CH29" s="914"/>
      <c r="CI29" s="914"/>
      <c r="CJ29" s="914"/>
      <c r="CK29" s="914"/>
      <c r="CL29" s="914"/>
      <c r="CM29" s="914"/>
      <c r="CN29" s="914"/>
      <c r="CO29" s="914"/>
      <c r="CP29" s="914"/>
      <c r="CQ29" s="914"/>
      <c r="CR29" s="915"/>
      <c r="CS29" s="913" t="s">
        <v>817</v>
      </c>
      <c r="CT29" s="914"/>
      <c r="CU29" s="914"/>
      <c r="CV29" s="914"/>
      <c r="CW29" s="914"/>
      <c r="CX29" s="914"/>
      <c r="CY29" s="914"/>
      <c r="CZ29" s="914"/>
      <c r="DA29" s="914"/>
      <c r="DB29" s="914"/>
      <c r="DC29" s="914"/>
      <c r="DD29" s="914"/>
      <c r="DE29" s="915"/>
      <c r="DF29" s="858" t="s">
        <v>383</v>
      </c>
      <c r="DG29" s="859"/>
      <c r="DH29" s="859"/>
      <c r="DI29" s="859"/>
      <c r="DJ29" s="859"/>
      <c r="DK29" s="859"/>
      <c r="DL29" s="859"/>
      <c r="DM29" s="859"/>
      <c r="DN29" s="859"/>
      <c r="DO29" s="859"/>
      <c r="DP29" s="859"/>
      <c r="DQ29" s="859"/>
      <c r="DR29" s="859"/>
      <c r="DS29" s="859"/>
      <c r="DT29" s="859"/>
      <c r="DU29" s="859"/>
      <c r="DV29" s="859"/>
      <c r="DW29" s="859"/>
      <c r="DX29" s="859"/>
      <c r="DY29" s="859"/>
      <c r="DZ29" s="859"/>
      <c r="EA29" s="859"/>
      <c r="EB29" s="859"/>
      <c r="EC29" s="859"/>
      <c r="ED29" s="859"/>
      <c r="EE29" s="859"/>
      <c r="EF29" s="859"/>
      <c r="EG29" s="859"/>
      <c r="EH29" s="859"/>
      <c r="EI29" s="859"/>
      <c r="EJ29" s="859"/>
      <c r="EK29" s="859"/>
      <c r="EL29" s="859"/>
      <c r="EM29" s="859"/>
      <c r="EN29" s="859"/>
      <c r="EO29" s="859"/>
      <c r="EP29" s="859"/>
      <c r="EQ29" s="859"/>
      <c r="ER29" s="859"/>
      <c r="ES29" s="859"/>
      <c r="ET29" s="859"/>
      <c r="EU29" s="859"/>
      <c r="EV29" s="859"/>
      <c r="EW29" s="859"/>
      <c r="EX29" s="859"/>
      <c r="EY29" s="859"/>
      <c r="EZ29" s="859"/>
      <c r="FA29" s="859"/>
      <c r="FB29" s="859"/>
      <c r="FC29" s="859"/>
      <c r="FD29" s="859"/>
      <c r="FE29" s="859"/>
    </row>
    <row r="30" spans="1:161" ht="12.75" customHeight="1" x14ac:dyDescent="0.2">
      <c r="A30" s="909"/>
      <c r="B30" s="909"/>
      <c r="C30" s="909"/>
      <c r="D30" s="909"/>
      <c r="E30" s="909"/>
      <c r="F30" s="909"/>
      <c r="G30" s="909"/>
      <c r="H30" s="909"/>
      <c r="I30" s="909"/>
      <c r="J30" s="909"/>
      <c r="K30" s="909"/>
      <c r="L30" s="909"/>
      <c r="M30" s="909"/>
      <c r="N30" s="909"/>
      <c r="O30" s="909"/>
      <c r="P30" s="909"/>
      <c r="Q30" s="909"/>
      <c r="R30" s="909"/>
      <c r="S30" s="909"/>
      <c r="T30" s="909"/>
      <c r="U30" s="909"/>
      <c r="V30" s="909"/>
      <c r="W30" s="909"/>
      <c r="X30" s="909"/>
      <c r="Y30" s="909"/>
      <c r="Z30" s="909"/>
      <c r="AA30" s="909"/>
      <c r="AB30" s="909"/>
      <c r="AC30" s="909"/>
      <c r="AD30" s="909"/>
      <c r="AE30" s="909"/>
      <c r="AF30" s="909"/>
      <c r="AG30" s="909"/>
      <c r="AH30" s="909"/>
      <c r="AI30" s="909"/>
      <c r="AJ30" s="909"/>
      <c r="AK30" s="909"/>
      <c r="AL30" s="909"/>
      <c r="AM30" s="909"/>
      <c r="AN30" s="909"/>
      <c r="AO30" s="909"/>
      <c r="AP30" s="909"/>
      <c r="AQ30" s="909"/>
      <c r="AR30" s="909"/>
      <c r="AS30" s="909"/>
      <c r="AT30" s="909"/>
      <c r="AU30" s="909"/>
      <c r="AV30" s="909"/>
      <c r="AW30" s="909"/>
      <c r="AX30" s="909"/>
      <c r="AY30" s="909"/>
      <c r="AZ30" s="909"/>
      <c r="BA30" s="909"/>
      <c r="BB30" s="909"/>
      <c r="BC30" s="909"/>
      <c r="BD30" s="909"/>
      <c r="BE30" s="909"/>
      <c r="BF30" s="909"/>
      <c r="BG30" s="909"/>
      <c r="BH30" s="909"/>
      <c r="BI30" s="909"/>
      <c r="BJ30" s="909"/>
      <c r="BK30" s="909"/>
      <c r="BL30" s="909"/>
      <c r="BM30" s="909"/>
      <c r="BN30" s="909"/>
      <c r="BO30" s="909"/>
      <c r="BP30" s="909"/>
      <c r="BQ30" s="909"/>
      <c r="BR30" s="909"/>
      <c r="BS30" s="909"/>
      <c r="BT30" s="909"/>
      <c r="BU30" s="909"/>
      <c r="BV30" s="909"/>
      <c r="BW30" s="910"/>
      <c r="BX30" s="916"/>
      <c r="BY30" s="917"/>
      <c r="BZ30" s="917"/>
      <c r="CA30" s="917"/>
      <c r="CB30" s="917"/>
      <c r="CC30" s="917"/>
      <c r="CD30" s="917"/>
      <c r="CE30" s="918"/>
      <c r="CF30" s="916"/>
      <c r="CG30" s="917"/>
      <c r="CH30" s="917"/>
      <c r="CI30" s="917"/>
      <c r="CJ30" s="917"/>
      <c r="CK30" s="917"/>
      <c r="CL30" s="917"/>
      <c r="CM30" s="917"/>
      <c r="CN30" s="917"/>
      <c r="CO30" s="917"/>
      <c r="CP30" s="917"/>
      <c r="CQ30" s="917"/>
      <c r="CR30" s="918"/>
      <c r="CS30" s="916"/>
      <c r="CT30" s="917"/>
      <c r="CU30" s="917"/>
      <c r="CV30" s="917"/>
      <c r="CW30" s="917"/>
      <c r="CX30" s="917"/>
      <c r="CY30" s="917"/>
      <c r="CZ30" s="917"/>
      <c r="DA30" s="917"/>
      <c r="DB30" s="917"/>
      <c r="DC30" s="917"/>
      <c r="DD30" s="917"/>
      <c r="DE30" s="918"/>
      <c r="DF30" s="922" t="s">
        <v>818</v>
      </c>
      <c r="DG30" s="923"/>
      <c r="DH30" s="923"/>
      <c r="DI30" s="923"/>
      <c r="DJ30" s="923"/>
      <c r="DK30" s="923"/>
      <c r="DL30" s="924" t="s">
        <v>799</v>
      </c>
      <c r="DM30" s="924"/>
      <c r="DN30" s="924"/>
      <c r="DO30" s="925" t="s">
        <v>795</v>
      </c>
      <c r="DP30" s="925"/>
      <c r="DQ30" s="925"/>
      <c r="DR30" s="926"/>
      <c r="DS30" s="922" t="s">
        <v>818</v>
      </c>
      <c r="DT30" s="923"/>
      <c r="DU30" s="923"/>
      <c r="DV30" s="923"/>
      <c r="DW30" s="923"/>
      <c r="DX30" s="923"/>
      <c r="DY30" s="924" t="s">
        <v>801</v>
      </c>
      <c r="DZ30" s="924"/>
      <c r="EA30" s="924"/>
      <c r="EB30" s="925" t="s">
        <v>795</v>
      </c>
      <c r="EC30" s="925"/>
      <c r="ED30" s="925"/>
      <c r="EE30" s="926"/>
      <c r="EF30" s="922" t="s">
        <v>818</v>
      </c>
      <c r="EG30" s="923"/>
      <c r="EH30" s="923"/>
      <c r="EI30" s="923"/>
      <c r="EJ30" s="923"/>
      <c r="EK30" s="923"/>
      <c r="EL30" s="924" t="s">
        <v>1088</v>
      </c>
      <c r="EM30" s="924"/>
      <c r="EN30" s="924"/>
      <c r="EO30" s="925" t="s">
        <v>795</v>
      </c>
      <c r="EP30" s="925"/>
      <c r="EQ30" s="925"/>
      <c r="ER30" s="926"/>
      <c r="ES30" s="913" t="s">
        <v>384</v>
      </c>
      <c r="ET30" s="914"/>
      <c r="EU30" s="914"/>
      <c r="EV30" s="914"/>
      <c r="EW30" s="914"/>
      <c r="EX30" s="914"/>
      <c r="EY30" s="914"/>
      <c r="EZ30" s="914"/>
      <c r="FA30" s="914"/>
      <c r="FB30" s="914"/>
      <c r="FC30" s="914"/>
      <c r="FD30" s="914"/>
      <c r="FE30" s="914"/>
    </row>
    <row r="31" spans="1:161" ht="36.75" customHeight="1" x14ac:dyDescent="0.2">
      <c r="A31" s="911"/>
      <c r="B31" s="911"/>
      <c r="C31" s="911"/>
      <c r="D31" s="911"/>
      <c r="E31" s="911"/>
      <c r="F31" s="911"/>
      <c r="G31" s="911"/>
      <c r="H31" s="911"/>
      <c r="I31" s="911"/>
      <c r="J31" s="911"/>
      <c r="K31" s="911"/>
      <c r="L31" s="911"/>
      <c r="M31" s="911"/>
      <c r="N31" s="911"/>
      <c r="O31" s="911"/>
      <c r="P31" s="911"/>
      <c r="Q31" s="911"/>
      <c r="R31" s="911"/>
      <c r="S31" s="911"/>
      <c r="T31" s="911"/>
      <c r="U31" s="911"/>
      <c r="V31" s="911"/>
      <c r="W31" s="911"/>
      <c r="X31" s="911"/>
      <c r="Y31" s="911"/>
      <c r="Z31" s="911"/>
      <c r="AA31" s="911"/>
      <c r="AB31" s="911"/>
      <c r="AC31" s="911"/>
      <c r="AD31" s="911"/>
      <c r="AE31" s="911"/>
      <c r="AF31" s="911"/>
      <c r="AG31" s="911"/>
      <c r="AH31" s="911"/>
      <c r="AI31" s="911"/>
      <c r="AJ31" s="911"/>
      <c r="AK31" s="911"/>
      <c r="AL31" s="911"/>
      <c r="AM31" s="911"/>
      <c r="AN31" s="911"/>
      <c r="AO31" s="911"/>
      <c r="AP31" s="911"/>
      <c r="AQ31" s="911"/>
      <c r="AR31" s="911"/>
      <c r="AS31" s="911"/>
      <c r="AT31" s="911"/>
      <c r="AU31" s="911"/>
      <c r="AV31" s="911"/>
      <c r="AW31" s="911"/>
      <c r="AX31" s="911"/>
      <c r="AY31" s="911"/>
      <c r="AZ31" s="911"/>
      <c r="BA31" s="911"/>
      <c r="BB31" s="911"/>
      <c r="BC31" s="911"/>
      <c r="BD31" s="911"/>
      <c r="BE31" s="911"/>
      <c r="BF31" s="911"/>
      <c r="BG31" s="911"/>
      <c r="BH31" s="911"/>
      <c r="BI31" s="911"/>
      <c r="BJ31" s="911"/>
      <c r="BK31" s="911"/>
      <c r="BL31" s="911"/>
      <c r="BM31" s="911"/>
      <c r="BN31" s="911"/>
      <c r="BO31" s="911"/>
      <c r="BP31" s="911"/>
      <c r="BQ31" s="911"/>
      <c r="BR31" s="911"/>
      <c r="BS31" s="911"/>
      <c r="BT31" s="911"/>
      <c r="BU31" s="911"/>
      <c r="BV31" s="911"/>
      <c r="BW31" s="912"/>
      <c r="BX31" s="919"/>
      <c r="BY31" s="920"/>
      <c r="BZ31" s="920"/>
      <c r="CA31" s="920"/>
      <c r="CB31" s="920"/>
      <c r="CC31" s="920"/>
      <c r="CD31" s="920"/>
      <c r="CE31" s="921"/>
      <c r="CF31" s="919"/>
      <c r="CG31" s="920"/>
      <c r="CH31" s="920"/>
      <c r="CI31" s="920"/>
      <c r="CJ31" s="920"/>
      <c r="CK31" s="920"/>
      <c r="CL31" s="920"/>
      <c r="CM31" s="920"/>
      <c r="CN31" s="920"/>
      <c r="CO31" s="920"/>
      <c r="CP31" s="920"/>
      <c r="CQ31" s="920"/>
      <c r="CR31" s="921"/>
      <c r="CS31" s="919"/>
      <c r="CT31" s="920"/>
      <c r="CU31" s="920"/>
      <c r="CV31" s="920"/>
      <c r="CW31" s="920"/>
      <c r="CX31" s="920"/>
      <c r="CY31" s="920"/>
      <c r="CZ31" s="920"/>
      <c r="DA31" s="920"/>
      <c r="DB31" s="920"/>
      <c r="DC31" s="920"/>
      <c r="DD31" s="920"/>
      <c r="DE31" s="921"/>
      <c r="DF31" s="927" t="s">
        <v>819</v>
      </c>
      <c r="DG31" s="928"/>
      <c r="DH31" s="928"/>
      <c r="DI31" s="928"/>
      <c r="DJ31" s="928"/>
      <c r="DK31" s="928"/>
      <c r="DL31" s="928"/>
      <c r="DM31" s="928"/>
      <c r="DN31" s="928"/>
      <c r="DO31" s="928"/>
      <c r="DP31" s="928"/>
      <c r="DQ31" s="928"/>
      <c r="DR31" s="929"/>
      <c r="DS31" s="927" t="s">
        <v>820</v>
      </c>
      <c r="DT31" s="928"/>
      <c r="DU31" s="928"/>
      <c r="DV31" s="928"/>
      <c r="DW31" s="928"/>
      <c r="DX31" s="928"/>
      <c r="DY31" s="928"/>
      <c r="DZ31" s="928"/>
      <c r="EA31" s="928"/>
      <c r="EB31" s="928"/>
      <c r="EC31" s="928"/>
      <c r="ED31" s="928"/>
      <c r="EE31" s="929"/>
      <c r="EF31" s="927" t="s">
        <v>821</v>
      </c>
      <c r="EG31" s="928"/>
      <c r="EH31" s="928"/>
      <c r="EI31" s="928"/>
      <c r="EJ31" s="928"/>
      <c r="EK31" s="928"/>
      <c r="EL31" s="928"/>
      <c r="EM31" s="928"/>
      <c r="EN31" s="928"/>
      <c r="EO31" s="928"/>
      <c r="EP31" s="928"/>
      <c r="EQ31" s="928"/>
      <c r="ER31" s="929"/>
      <c r="ES31" s="919"/>
      <c r="ET31" s="920"/>
      <c r="EU31" s="920"/>
      <c r="EV31" s="920"/>
      <c r="EW31" s="920"/>
      <c r="EX31" s="920"/>
      <c r="EY31" s="920"/>
      <c r="EZ31" s="920"/>
      <c r="FA31" s="920"/>
      <c r="FB31" s="920"/>
      <c r="FC31" s="920"/>
      <c r="FD31" s="920"/>
      <c r="FE31" s="920"/>
    </row>
    <row r="32" spans="1:161" ht="11.25" customHeight="1" thickBot="1" x14ac:dyDescent="0.25">
      <c r="A32" s="900" t="s">
        <v>822</v>
      </c>
      <c r="B32" s="900"/>
      <c r="C32" s="900"/>
      <c r="D32" s="900"/>
      <c r="E32" s="900"/>
      <c r="F32" s="900"/>
      <c r="G32" s="900"/>
      <c r="H32" s="900"/>
      <c r="I32" s="900"/>
      <c r="J32" s="900"/>
      <c r="K32" s="900"/>
      <c r="L32" s="900"/>
      <c r="M32" s="900"/>
      <c r="N32" s="900"/>
      <c r="O32" s="900"/>
      <c r="P32" s="900"/>
      <c r="Q32" s="900"/>
      <c r="R32" s="900"/>
      <c r="S32" s="900"/>
      <c r="T32" s="900"/>
      <c r="U32" s="900"/>
      <c r="V32" s="900"/>
      <c r="W32" s="900"/>
      <c r="X32" s="900"/>
      <c r="Y32" s="900"/>
      <c r="Z32" s="900"/>
      <c r="AA32" s="900"/>
      <c r="AB32" s="900"/>
      <c r="AC32" s="900"/>
      <c r="AD32" s="900"/>
      <c r="AE32" s="900"/>
      <c r="AF32" s="900"/>
      <c r="AG32" s="900"/>
      <c r="AH32" s="900"/>
      <c r="AI32" s="900"/>
      <c r="AJ32" s="900"/>
      <c r="AK32" s="900"/>
      <c r="AL32" s="900"/>
      <c r="AM32" s="900"/>
      <c r="AN32" s="900"/>
      <c r="AO32" s="900"/>
      <c r="AP32" s="900"/>
      <c r="AQ32" s="900"/>
      <c r="AR32" s="900"/>
      <c r="AS32" s="900"/>
      <c r="AT32" s="900"/>
      <c r="AU32" s="900"/>
      <c r="AV32" s="900"/>
      <c r="AW32" s="900"/>
      <c r="AX32" s="900"/>
      <c r="AY32" s="900"/>
      <c r="AZ32" s="900"/>
      <c r="BA32" s="900"/>
      <c r="BB32" s="900"/>
      <c r="BC32" s="900"/>
      <c r="BD32" s="900"/>
      <c r="BE32" s="900"/>
      <c r="BF32" s="900"/>
      <c r="BG32" s="900"/>
      <c r="BH32" s="900"/>
      <c r="BI32" s="900"/>
      <c r="BJ32" s="900"/>
      <c r="BK32" s="900"/>
      <c r="BL32" s="900"/>
      <c r="BM32" s="900"/>
      <c r="BN32" s="900"/>
      <c r="BO32" s="900"/>
      <c r="BP32" s="900"/>
      <c r="BQ32" s="900"/>
      <c r="BR32" s="900"/>
      <c r="BS32" s="900"/>
      <c r="BT32" s="900"/>
      <c r="BU32" s="900"/>
      <c r="BV32" s="900"/>
      <c r="BW32" s="901"/>
      <c r="BX32" s="887" t="s">
        <v>823</v>
      </c>
      <c r="BY32" s="888"/>
      <c r="BZ32" s="888"/>
      <c r="CA32" s="888"/>
      <c r="CB32" s="888"/>
      <c r="CC32" s="888"/>
      <c r="CD32" s="888"/>
      <c r="CE32" s="889"/>
      <c r="CF32" s="887" t="s">
        <v>824</v>
      </c>
      <c r="CG32" s="888"/>
      <c r="CH32" s="888"/>
      <c r="CI32" s="888"/>
      <c r="CJ32" s="888"/>
      <c r="CK32" s="888"/>
      <c r="CL32" s="888"/>
      <c r="CM32" s="888"/>
      <c r="CN32" s="888"/>
      <c r="CO32" s="888"/>
      <c r="CP32" s="888"/>
      <c r="CQ32" s="888"/>
      <c r="CR32" s="889"/>
      <c r="CS32" s="887" t="s">
        <v>825</v>
      </c>
      <c r="CT32" s="888"/>
      <c r="CU32" s="888"/>
      <c r="CV32" s="888"/>
      <c r="CW32" s="888"/>
      <c r="CX32" s="888"/>
      <c r="CY32" s="888"/>
      <c r="CZ32" s="888"/>
      <c r="DA32" s="888"/>
      <c r="DB32" s="888"/>
      <c r="DC32" s="888"/>
      <c r="DD32" s="888"/>
      <c r="DE32" s="889"/>
      <c r="DF32" s="887" t="s">
        <v>826</v>
      </c>
      <c r="DG32" s="888"/>
      <c r="DH32" s="888"/>
      <c r="DI32" s="888"/>
      <c r="DJ32" s="888"/>
      <c r="DK32" s="888"/>
      <c r="DL32" s="888"/>
      <c r="DM32" s="888"/>
      <c r="DN32" s="888"/>
      <c r="DO32" s="888"/>
      <c r="DP32" s="888"/>
      <c r="DQ32" s="888"/>
      <c r="DR32" s="889"/>
      <c r="DS32" s="887" t="s">
        <v>827</v>
      </c>
      <c r="DT32" s="888"/>
      <c r="DU32" s="888"/>
      <c r="DV32" s="888"/>
      <c r="DW32" s="888"/>
      <c r="DX32" s="888"/>
      <c r="DY32" s="888"/>
      <c r="DZ32" s="888"/>
      <c r="EA32" s="888"/>
      <c r="EB32" s="888"/>
      <c r="EC32" s="888"/>
      <c r="ED32" s="888"/>
      <c r="EE32" s="889"/>
      <c r="EF32" s="887" t="s">
        <v>828</v>
      </c>
      <c r="EG32" s="888"/>
      <c r="EH32" s="888"/>
      <c r="EI32" s="888"/>
      <c r="EJ32" s="888"/>
      <c r="EK32" s="888"/>
      <c r="EL32" s="888"/>
      <c r="EM32" s="888"/>
      <c r="EN32" s="888"/>
      <c r="EO32" s="888"/>
      <c r="EP32" s="888"/>
      <c r="EQ32" s="888"/>
      <c r="ER32" s="889"/>
      <c r="ES32" s="887" t="s">
        <v>829</v>
      </c>
      <c r="ET32" s="888"/>
      <c r="EU32" s="888"/>
      <c r="EV32" s="888"/>
      <c r="EW32" s="888"/>
      <c r="EX32" s="888"/>
      <c r="EY32" s="888"/>
      <c r="EZ32" s="888"/>
      <c r="FA32" s="888"/>
      <c r="FB32" s="888"/>
      <c r="FC32" s="888"/>
      <c r="FD32" s="888"/>
      <c r="FE32" s="888"/>
    </row>
    <row r="33" spans="1:162" s="490" customFormat="1" ht="13.5" customHeight="1" x14ac:dyDescent="0.15">
      <c r="A33" s="786" t="s">
        <v>830</v>
      </c>
      <c r="B33" s="786"/>
      <c r="C33" s="786"/>
      <c r="D33" s="786"/>
      <c r="E33" s="786"/>
      <c r="F33" s="786"/>
      <c r="G33" s="786"/>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786"/>
      <c r="AM33" s="786"/>
      <c r="AN33" s="786"/>
      <c r="AO33" s="786"/>
      <c r="AP33" s="786"/>
      <c r="AQ33" s="786"/>
      <c r="AR33" s="786"/>
      <c r="AS33" s="786"/>
      <c r="AT33" s="786"/>
      <c r="AU33" s="786"/>
      <c r="AV33" s="786"/>
      <c r="AW33" s="786"/>
      <c r="AX33" s="786"/>
      <c r="AY33" s="786"/>
      <c r="AZ33" s="786"/>
      <c r="BA33" s="786"/>
      <c r="BB33" s="786"/>
      <c r="BC33" s="786"/>
      <c r="BD33" s="786"/>
      <c r="BE33" s="786"/>
      <c r="BF33" s="786"/>
      <c r="BG33" s="786"/>
      <c r="BH33" s="786"/>
      <c r="BI33" s="786"/>
      <c r="BJ33" s="786"/>
      <c r="BK33" s="786"/>
      <c r="BL33" s="786"/>
      <c r="BM33" s="786"/>
      <c r="BN33" s="786"/>
      <c r="BO33" s="786"/>
      <c r="BP33" s="786"/>
      <c r="BQ33" s="786"/>
      <c r="BR33" s="786"/>
      <c r="BS33" s="786"/>
      <c r="BT33" s="786"/>
      <c r="BU33" s="786"/>
      <c r="BV33" s="786"/>
      <c r="BW33" s="786"/>
      <c r="BX33" s="890" t="s">
        <v>271</v>
      </c>
      <c r="BY33" s="891"/>
      <c r="BZ33" s="891"/>
      <c r="CA33" s="891"/>
      <c r="CB33" s="891"/>
      <c r="CC33" s="891"/>
      <c r="CD33" s="891"/>
      <c r="CE33" s="892"/>
      <c r="CF33" s="893" t="s">
        <v>74</v>
      </c>
      <c r="CG33" s="891"/>
      <c r="CH33" s="891"/>
      <c r="CI33" s="891"/>
      <c r="CJ33" s="891"/>
      <c r="CK33" s="891"/>
      <c r="CL33" s="891"/>
      <c r="CM33" s="891"/>
      <c r="CN33" s="891"/>
      <c r="CO33" s="891"/>
      <c r="CP33" s="891"/>
      <c r="CQ33" s="891"/>
      <c r="CR33" s="892"/>
      <c r="CS33" s="893" t="s">
        <v>74</v>
      </c>
      <c r="CT33" s="891"/>
      <c r="CU33" s="891"/>
      <c r="CV33" s="891"/>
      <c r="CW33" s="891"/>
      <c r="CX33" s="891"/>
      <c r="CY33" s="891"/>
      <c r="CZ33" s="891"/>
      <c r="DA33" s="891"/>
      <c r="DB33" s="891"/>
      <c r="DC33" s="891"/>
      <c r="DD33" s="891"/>
      <c r="DE33" s="892"/>
      <c r="DF33" s="894">
        <v>0</v>
      </c>
      <c r="DG33" s="895"/>
      <c r="DH33" s="895"/>
      <c r="DI33" s="895"/>
      <c r="DJ33" s="895"/>
      <c r="DK33" s="895"/>
      <c r="DL33" s="895"/>
      <c r="DM33" s="895"/>
      <c r="DN33" s="895"/>
      <c r="DO33" s="895"/>
      <c r="DP33" s="895"/>
      <c r="DQ33" s="895"/>
      <c r="DR33" s="896"/>
      <c r="DS33" s="894">
        <v>0</v>
      </c>
      <c r="DT33" s="895"/>
      <c r="DU33" s="895"/>
      <c r="DV33" s="895"/>
      <c r="DW33" s="895"/>
      <c r="DX33" s="895"/>
      <c r="DY33" s="895"/>
      <c r="DZ33" s="895"/>
      <c r="EA33" s="895"/>
      <c r="EB33" s="895"/>
      <c r="EC33" s="895"/>
      <c r="ED33" s="895"/>
      <c r="EE33" s="896"/>
      <c r="EF33" s="894">
        <v>0</v>
      </c>
      <c r="EG33" s="895"/>
      <c r="EH33" s="895"/>
      <c r="EI33" s="895"/>
      <c r="EJ33" s="895"/>
      <c r="EK33" s="895"/>
      <c r="EL33" s="895"/>
      <c r="EM33" s="895"/>
      <c r="EN33" s="895"/>
      <c r="EO33" s="895"/>
      <c r="EP33" s="895"/>
      <c r="EQ33" s="895"/>
      <c r="ER33" s="896"/>
      <c r="ES33" s="897"/>
      <c r="ET33" s="898"/>
      <c r="EU33" s="898"/>
      <c r="EV33" s="898"/>
      <c r="EW33" s="898"/>
      <c r="EX33" s="898"/>
      <c r="EY33" s="898"/>
      <c r="EZ33" s="898"/>
      <c r="FA33" s="898"/>
      <c r="FB33" s="898"/>
      <c r="FC33" s="898"/>
      <c r="FD33" s="898"/>
      <c r="FE33" s="899"/>
    </row>
    <row r="34" spans="1:162" s="490" customFormat="1" ht="12.75" customHeight="1" x14ac:dyDescent="0.15">
      <c r="A34" s="786" t="s">
        <v>831</v>
      </c>
      <c r="B34" s="786"/>
      <c r="C34" s="786"/>
      <c r="D34" s="786"/>
      <c r="E34" s="786"/>
      <c r="F34" s="786"/>
      <c r="G34" s="786"/>
      <c r="H34" s="786"/>
      <c r="I34" s="786"/>
      <c r="J34" s="786"/>
      <c r="K34" s="786"/>
      <c r="L34" s="786"/>
      <c r="M34" s="786"/>
      <c r="N34" s="786"/>
      <c r="O34" s="786"/>
      <c r="P34" s="786"/>
      <c r="Q34" s="786"/>
      <c r="R34" s="786"/>
      <c r="S34" s="786"/>
      <c r="T34" s="786"/>
      <c r="U34" s="786"/>
      <c r="V34" s="786"/>
      <c r="W34" s="786"/>
      <c r="X34" s="786"/>
      <c r="Y34" s="786"/>
      <c r="Z34" s="786"/>
      <c r="AA34" s="786"/>
      <c r="AB34" s="786"/>
      <c r="AC34" s="786"/>
      <c r="AD34" s="786"/>
      <c r="AE34" s="786"/>
      <c r="AF34" s="786"/>
      <c r="AG34" s="786"/>
      <c r="AH34" s="786"/>
      <c r="AI34" s="786"/>
      <c r="AJ34" s="786"/>
      <c r="AK34" s="786"/>
      <c r="AL34" s="786"/>
      <c r="AM34" s="786"/>
      <c r="AN34" s="786"/>
      <c r="AO34" s="786"/>
      <c r="AP34" s="786"/>
      <c r="AQ34" s="786"/>
      <c r="AR34" s="786"/>
      <c r="AS34" s="786"/>
      <c r="AT34" s="786"/>
      <c r="AU34" s="786"/>
      <c r="AV34" s="786"/>
      <c r="AW34" s="786"/>
      <c r="AX34" s="786"/>
      <c r="AY34" s="786"/>
      <c r="AZ34" s="786"/>
      <c r="BA34" s="786"/>
      <c r="BB34" s="786"/>
      <c r="BC34" s="786"/>
      <c r="BD34" s="786"/>
      <c r="BE34" s="786"/>
      <c r="BF34" s="786"/>
      <c r="BG34" s="786"/>
      <c r="BH34" s="786"/>
      <c r="BI34" s="786"/>
      <c r="BJ34" s="786"/>
      <c r="BK34" s="786"/>
      <c r="BL34" s="786"/>
      <c r="BM34" s="786"/>
      <c r="BN34" s="786"/>
      <c r="BO34" s="786"/>
      <c r="BP34" s="786"/>
      <c r="BQ34" s="786"/>
      <c r="BR34" s="786"/>
      <c r="BS34" s="786"/>
      <c r="BT34" s="786"/>
      <c r="BU34" s="786"/>
      <c r="BV34" s="786"/>
      <c r="BW34" s="786"/>
      <c r="BX34" s="787" t="s">
        <v>407</v>
      </c>
      <c r="BY34" s="788"/>
      <c r="BZ34" s="788"/>
      <c r="CA34" s="788"/>
      <c r="CB34" s="788"/>
      <c r="CC34" s="788"/>
      <c r="CD34" s="788"/>
      <c r="CE34" s="789"/>
      <c r="CF34" s="790" t="s">
        <v>74</v>
      </c>
      <c r="CG34" s="788"/>
      <c r="CH34" s="788"/>
      <c r="CI34" s="788"/>
      <c r="CJ34" s="788"/>
      <c r="CK34" s="788"/>
      <c r="CL34" s="788"/>
      <c r="CM34" s="788"/>
      <c r="CN34" s="788"/>
      <c r="CO34" s="788"/>
      <c r="CP34" s="788"/>
      <c r="CQ34" s="788"/>
      <c r="CR34" s="789"/>
      <c r="CS34" s="790" t="s">
        <v>74</v>
      </c>
      <c r="CT34" s="788"/>
      <c r="CU34" s="788"/>
      <c r="CV34" s="788"/>
      <c r="CW34" s="788"/>
      <c r="CX34" s="788"/>
      <c r="CY34" s="788"/>
      <c r="CZ34" s="788"/>
      <c r="DA34" s="788"/>
      <c r="DB34" s="788"/>
      <c r="DC34" s="788"/>
      <c r="DD34" s="788"/>
      <c r="DE34" s="789"/>
      <c r="DF34" s="827">
        <v>0</v>
      </c>
      <c r="DG34" s="828"/>
      <c r="DH34" s="828"/>
      <c r="DI34" s="828"/>
      <c r="DJ34" s="828"/>
      <c r="DK34" s="828"/>
      <c r="DL34" s="828"/>
      <c r="DM34" s="828"/>
      <c r="DN34" s="828"/>
      <c r="DO34" s="828"/>
      <c r="DP34" s="828"/>
      <c r="DQ34" s="828"/>
      <c r="DR34" s="829"/>
      <c r="DS34" s="827">
        <v>0</v>
      </c>
      <c r="DT34" s="828"/>
      <c r="DU34" s="828"/>
      <c r="DV34" s="828"/>
      <c r="DW34" s="828"/>
      <c r="DX34" s="828"/>
      <c r="DY34" s="828"/>
      <c r="DZ34" s="828"/>
      <c r="EA34" s="828"/>
      <c r="EB34" s="828"/>
      <c r="EC34" s="828"/>
      <c r="ED34" s="828"/>
      <c r="EE34" s="829"/>
      <c r="EF34" s="827">
        <v>0</v>
      </c>
      <c r="EG34" s="828"/>
      <c r="EH34" s="828"/>
      <c r="EI34" s="828"/>
      <c r="EJ34" s="828"/>
      <c r="EK34" s="828"/>
      <c r="EL34" s="828"/>
      <c r="EM34" s="828"/>
      <c r="EN34" s="828"/>
      <c r="EO34" s="828"/>
      <c r="EP34" s="828"/>
      <c r="EQ34" s="828"/>
      <c r="ER34" s="829"/>
      <c r="ES34" s="830"/>
      <c r="ET34" s="831"/>
      <c r="EU34" s="831"/>
      <c r="EV34" s="831"/>
      <c r="EW34" s="831"/>
      <c r="EX34" s="831"/>
      <c r="EY34" s="831"/>
      <c r="EZ34" s="831"/>
      <c r="FA34" s="831"/>
      <c r="FB34" s="831"/>
      <c r="FC34" s="831"/>
      <c r="FD34" s="831"/>
      <c r="FE34" s="832"/>
    </row>
    <row r="35" spans="1:162" s="490" customFormat="1" ht="10.5" x14ac:dyDescent="0.15">
      <c r="A35" s="786" t="s">
        <v>385</v>
      </c>
      <c r="B35" s="786"/>
      <c r="C35" s="786"/>
      <c r="D35" s="786"/>
      <c r="E35" s="786"/>
      <c r="F35" s="786"/>
      <c r="G35" s="786"/>
      <c r="H35" s="786"/>
      <c r="I35" s="786"/>
      <c r="J35" s="786"/>
      <c r="K35" s="786"/>
      <c r="L35" s="786"/>
      <c r="M35" s="786"/>
      <c r="N35" s="786"/>
      <c r="O35" s="786"/>
      <c r="P35" s="786"/>
      <c r="Q35" s="786"/>
      <c r="R35" s="786"/>
      <c r="S35" s="786"/>
      <c r="T35" s="786"/>
      <c r="U35" s="786"/>
      <c r="V35" s="786"/>
      <c r="W35" s="786"/>
      <c r="X35" s="786"/>
      <c r="Y35" s="786"/>
      <c r="Z35" s="786"/>
      <c r="AA35" s="786"/>
      <c r="AB35" s="786"/>
      <c r="AC35" s="786"/>
      <c r="AD35" s="786"/>
      <c r="AE35" s="786"/>
      <c r="AF35" s="786"/>
      <c r="AG35" s="786"/>
      <c r="AH35" s="786"/>
      <c r="AI35" s="786"/>
      <c r="AJ35" s="786"/>
      <c r="AK35" s="786"/>
      <c r="AL35" s="786"/>
      <c r="AM35" s="786"/>
      <c r="AN35" s="786"/>
      <c r="AO35" s="786"/>
      <c r="AP35" s="786"/>
      <c r="AQ35" s="786"/>
      <c r="AR35" s="786"/>
      <c r="AS35" s="786"/>
      <c r="AT35" s="786"/>
      <c r="AU35" s="786"/>
      <c r="AV35" s="786"/>
      <c r="AW35" s="786"/>
      <c r="AX35" s="786"/>
      <c r="AY35" s="786"/>
      <c r="AZ35" s="786"/>
      <c r="BA35" s="786"/>
      <c r="BB35" s="786"/>
      <c r="BC35" s="786"/>
      <c r="BD35" s="786"/>
      <c r="BE35" s="786"/>
      <c r="BF35" s="786"/>
      <c r="BG35" s="786"/>
      <c r="BH35" s="786"/>
      <c r="BI35" s="786"/>
      <c r="BJ35" s="786"/>
      <c r="BK35" s="786"/>
      <c r="BL35" s="786"/>
      <c r="BM35" s="786"/>
      <c r="BN35" s="786"/>
      <c r="BO35" s="786"/>
      <c r="BP35" s="786"/>
      <c r="BQ35" s="786"/>
      <c r="BR35" s="786"/>
      <c r="BS35" s="786"/>
      <c r="BT35" s="786"/>
      <c r="BU35" s="786"/>
      <c r="BV35" s="786"/>
      <c r="BW35" s="786"/>
      <c r="BX35" s="787" t="s">
        <v>832</v>
      </c>
      <c r="BY35" s="788"/>
      <c r="BZ35" s="788"/>
      <c r="CA35" s="788"/>
      <c r="CB35" s="788"/>
      <c r="CC35" s="788"/>
      <c r="CD35" s="788"/>
      <c r="CE35" s="789"/>
      <c r="CF35" s="790"/>
      <c r="CG35" s="788"/>
      <c r="CH35" s="788"/>
      <c r="CI35" s="788"/>
      <c r="CJ35" s="788"/>
      <c r="CK35" s="788"/>
      <c r="CL35" s="788"/>
      <c r="CM35" s="788"/>
      <c r="CN35" s="788"/>
      <c r="CO35" s="788"/>
      <c r="CP35" s="788"/>
      <c r="CQ35" s="788"/>
      <c r="CR35" s="789"/>
      <c r="CS35" s="790"/>
      <c r="CT35" s="788"/>
      <c r="CU35" s="788"/>
      <c r="CV35" s="788"/>
      <c r="CW35" s="788"/>
      <c r="CX35" s="788"/>
      <c r="CY35" s="788"/>
      <c r="CZ35" s="788"/>
      <c r="DA35" s="788"/>
      <c r="DB35" s="788"/>
      <c r="DC35" s="788"/>
      <c r="DD35" s="788"/>
      <c r="DE35" s="789"/>
      <c r="DF35" s="884">
        <f>DF39+DF46</f>
        <v>180383660</v>
      </c>
      <c r="DG35" s="885"/>
      <c r="DH35" s="885"/>
      <c r="DI35" s="885"/>
      <c r="DJ35" s="885"/>
      <c r="DK35" s="885"/>
      <c r="DL35" s="885"/>
      <c r="DM35" s="885"/>
      <c r="DN35" s="885"/>
      <c r="DO35" s="885"/>
      <c r="DP35" s="885"/>
      <c r="DQ35" s="885"/>
      <c r="DR35" s="886"/>
      <c r="DS35" s="827">
        <f t="shared" ref="DS35" si="0">DS39+DS46</f>
        <v>181480260</v>
      </c>
      <c r="DT35" s="828"/>
      <c r="DU35" s="828"/>
      <c r="DV35" s="828"/>
      <c r="DW35" s="828"/>
      <c r="DX35" s="828"/>
      <c r="DY35" s="828"/>
      <c r="DZ35" s="828"/>
      <c r="EA35" s="828"/>
      <c r="EB35" s="828"/>
      <c r="EC35" s="828"/>
      <c r="ED35" s="828"/>
      <c r="EE35" s="829"/>
      <c r="EF35" s="827">
        <f t="shared" ref="EF35" si="1">EF39+EF46</f>
        <v>183498600</v>
      </c>
      <c r="EG35" s="828"/>
      <c r="EH35" s="828"/>
      <c r="EI35" s="828"/>
      <c r="EJ35" s="828"/>
      <c r="EK35" s="828"/>
      <c r="EL35" s="828"/>
      <c r="EM35" s="828"/>
      <c r="EN35" s="828"/>
      <c r="EO35" s="828"/>
      <c r="EP35" s="828"/>
      <c r="EQ35" s="828"/>
      <c r="ER35" s="829"/>
      <c r="ES35" s="830"/>
      <c r="ET35" s="831"/>
      <c r="EU35" s="831"/>
      <c r="EV35" s="831"/>
      <c r="EW35" s="831"/>
      <c r="EX35" s="831"/>
      <c r="EY35" s="831"/>
      <c r="EZ35" s="831"/>
      <c r="FA35" s="831"/>
      <c r="FB35" s="831"/>
      <c r="FC35" s="831"/>
      <c r="FD35" s="831"/>
      <c r="FE35" s="832"/>
    </row>
    <row r="36" spans="1:162" ht="22.5" customHeight="1" x14ac:dyDescent="0.2">
      <c r="A36" s="825" t="s">
        <v>833</v>
      </c>
      <c r="B36" s="826"/>
      <c r="C36" s="826"/>
      <c r="D36" s="826"/>
      <c r="E36" s="826"/>
      <c r="F36" s="826"/>
      <c r="G36" s="826"/>
      <c r="H36" s="826"/>
      <c r="I36" s="826"/>
      <c r="J36" s="826"/>
      <c r="K36" s="826"/>
      <c r="L36" s="826"/>
      <c r="M36" s="826"/>
      <c r="N36" s="826"/>
      <c r="O36" s="826"/>
      <c r="P36" s="826"/>
      <c r="Q36" s="826"/>
      <c r="R36" s="826"/>
      <c r="S36" s="826"/>
      <c r="T36" s="826"/>
      <c r="U36" s="826"/>
      <c r="V36" s="826"/>
      <c r="W36" s="826"/>
      <c r="X36" s="826"/>
      <c r="Y36" s="826"/>
      <c r="Z36" s="826"/>
      <c r="AA36" s="826"/>
      <c r="AB36" s="826"/>
      <c r="AC36" s="826"/>
      <c r="AD36" s="826"/>
      <c r="AE36" s="826"/>
      <c r="AF36" s="826"/>
      <c r="AG36" s="826"/>
      <c r="AH36" s="826"/>
      <c r="AI36" s="826"/>
      <c r="AJ36" s="826"/>
      <c r="AK36" s="826"/>
      <c r="AL36" s="826"/>
      <c r="AM36" s="826"/>
      <c r="AN36" s="826"/>
      <c r="AO36" s="826"/>
      <c r="AP36" s="826"/>
      <c r="AQ36" s="826"/>
      <c r="AR36" s="826"/>
      <c r="AS36" s="826"/>
      <c r="AT36" s="826"/>
      <c r="AU36" s="826"/>
      <c r="AV36" s="826"/>
      <c r="AW36" s="826"/>
      <c r="AX36" s="826"/>
      <c r="AY36" s="826"/>
      <c r="AZ36" s="826"/>
      <c r="BA36" s="826"/>
      <c r="BB36" s="826"/>
      <c r="BC36" s="826"/>
      <c r="BD36" s="826"/>
      <c r="BE36" s="826"/>
      <c r="BF36" s="826"/>
      <c r="BG36" s="826"/>
      <c r="BH36" s="826"/>
      <c r="BI36" s="826"/>
      <c r="BJ36" s="826"/>
      <c r="BK36" s="826"/>
      <c r="BL36" s="826"/>
      <c r="BM36" s="826"/>
      <c r="BN36" s="826"/>
      <c r="BO36" s="826"/>
      <c r="BP36" s="826"/>
      <c r="BQ36" s="826"/>
      <c r="BR36" s="826"/>
      <c r="BS36" s="826"/>
      <c r="BT36" s="826"/>
      <c r="BU36" s="826"/>
      <c r="BV36" s="826"/>
      <c r="BW36" s="826"/>
      <c r="BX36" s="782" t="s">
        <v>834</v>
      </c>
      <c r="BY36" s="783"/>
      <c r="BZ36" s="783"/>
      <c r="CA36" s="783"/>
      <c r="CB36" s="783"/>
      <c r="CC36" s="783"/>
      <c r="CD36" s="783"/>
      <c r="CE36" s="784"/>
      <c r="CF36" s="785" t="s">
        <v>835</v>
      </c>
      <c r="CG36" s="783"/>
      <c r="CH36" s="783"/>
      <c r="CI36" s="783"/>
      <c r="CJ36" s="783"/>
      <c r="CK36" s="783"/>
      <c r="CL36" s="783"/>
      <c r="CM36" s="783"/>
      <c r="CN36" s="783"/>
      <c r="CO36" s="783"/>
      <c r="CP36" s="783"/>
      <c r="CQ36" s="783"/>
      <c r="CR36" s="784"/>
      <c r="CS36" s="785"/>
      <c r="CT36" s="783"/>
      <c r="CU36" s="783"/>
      <c r="CV36" s="783"/>
      <c r="CW36" s="783"/>
      <c r="CX36" s="783"/>
      <c r="CY36" s="783"/>
      <c r="CZ36" s="783"/>
      <c r="DA36" s="783"/>
      <c r="DB36" s="783"/>
      <c r="DC36" s="783"/>
      <c r="DD36" s="783"/>
      <c r="DE36" s="784"/>
      <c r="DF36" s="776"/>
      <c r="DG36" s="777"/>
      <c r="DH36" s="777"/>
      <c r="DI36" s="777"/>
      <c r="DJ36" s="777"/>
      <c r="DK36" s="777"/>
      <c r="DL36" s="777"/>
      <c r="DM36" s="777"/>
      <c r="DN36" s="777"/>
      <c r="DO36" s="777"/>
      <c r="DP36" s="777"/>
      <c r="DQ36" s="777"/>
      <c r="DR36" s="778"/>
      <c r="DS36" s="776"/>
      <c r="DT36" s="777"/>
      <c r="DU36" s="777"/>
      <c r="DV36" s="777"/>
      <c r="DW36" s="777"/>
      <c r="DX36" s="777"/>
      <c r="DY36" s="777"/>
      <c r="DZ36" s="777"/>
      <c r="EA36" s="777"/>
      <c r="EB36" s="777"/>
      <c r="EC36" s="777"/>
      <c r="ED36" s="777"/>
      <c r="EE36" s="778"/>
      <c r="EF36" s="776"/>
      <c r="EG36" s="777"/>
      <c r="EH36" s="777"/>
      <c r="EI36" s="777"/>
      <c r="EJ36" s="777"/>
      <c r="EK36" s="777"/>
      <c r="EL36" s="777"/>
      <c r="EM36" s="777"/>
      <c r="EN36" s="777"/>
      <c r="EO36" s="777"/>
      <c r="EP36" s="777"/>
      <c r="EQ36" s="777"/>
      <c r="ER36" s="778"/>
      <c r="ES36" s="779"/>
      <c r="ET36" s="780"/>
      <c r="EU36" s="780"/>
      <c r="EV36" s="780"/>
      <c r="EW36" s="780"/>
      <c r="EX36" s="780"/>
      <c r="EY36" s="780"/>
      <c r="EZ36" s="780"/>
      <c r="FA36" s="780"/>
      <c r="FB36" s="780"/>
      <c r="FC36" s="780"/>
      <c r="FD36" s="780"/>
      <c r="FE36" s="781"/>
    </row>
    <row r="37" spans="1:162" x14ac:dyDescent="0.2">
      <c r="A37" s="882" t="s">
        <v>9</v>
      </c>
      <c r="B37" s="882"/>
      <c r="C37" s="882"/>
      <c r="D37" s="882"/>
      <c r="E37" s="882"/>
      <c r="F37" s="882"/>
      <c r="G37" s="882"/>
      <c r="H37" s="882"/>
      <c r="I37" s="882"/>
      <c r="J37" s="882"/>
      <c r="K37" s="882"/>
      <c r="L37" s="882"/>
      <c r="M37" s="882"/>
      <c r="N37" s="882"/>
      <c r="O37" s="882"/>
      <c r="P37" s="882"/>
      <c r="Q37" s="882"/>
      <c r="R37" s="882"/>
      <c r="S37" s="882"/>
      <c r="T37" s="882"/>
      <c r="U37" s="882"/>
      <c r="V37" s="882"/>
      <c r="W37" s="882"/>
      <c r="X37" s="882"/>
      <c r="Y37" s="882"/>
      <c r="Z37" s="882"/>
      <c r="AA37" s="882"/>
      <c r="AB37" s="882"/>
      <c r="AC37" s="882"/>
      <c r="AD37" s="882"/>
      <c r="AE37" s="882"/>
      <c r="AF37" s="882"/>
      <c r="AG37" s="882"/>
      <c r="AH37" s="882"/>
      <c r="AI37" s="882"/>
      <c r="AJ37" s="882"/>
      <c r="AK37" s="882"/>
      <c r="AL37" s="882"/>
      <c r="AM37" s="882"/>
      <c r="AN37" s="882"/>
      <c r="AO37" s="882"/>
      <c r="AP37" s="882"/>
      <c r="AQ37" s="882"/>
      <c r="AR37" s="882"/>
      <c r="AS37" s="882"/>
      <c r="AT37" s="882"/>
      <c r="AU37" s="882"/>
      <c r="AV37" s="882"/>
      <c r="AW37" s="882"/>
      <c r="AX37" s="882"/>
      <c r="AY37" s="882"/>
      <c r="AZ37" s="882"/>
      <c r="BA37" s="882"/>
      <c r="BB37" s="882"/>
      <c r="BC37" s="882"/>
      <c r="BD37" s="882"/>
      <c r="BE37" s="882"/>
      <c r="BF37" s="882"/>
      <c r="BG37" s="882"/>
      <c r="BH37" s="882"/>
      <c r="BI37" s="882"/>
      <c r="BJ37" s="882"/>
      <c r="BK37" s="882"/>
      <c r="BL37" s="882"/>
      <c r="BM37" s="882"/>
      <c r="BN37" s="882"/>
      <c r="BO37" s="882"/>
      <c r="BP37" s="882"/>
      <c r="BQ37" s="882"/>
      <c r="BR37" s="882"/>
      <c r="BS37" s="882"/>
      <c r="BT37" s="882"/>
      <c r="BU37" s="882"/>
      <c r="BV37" s="882"/>
      <c r="BW37" s="882"/>
      <c r="BX37" s="782" t="s">
        <v>836</v>
      </c>
      <c r="BY37" s="783"/>
      <c r="BZ37" s="783"/>
      <c r="CA37" s="783"/>
      <c r="CB37" s="783"/>
      <c r="CC37" s="783"/>
      <c r="CD37" s="783"/>
      <c r="CE37" s="784"/>
      <c r="CF37" s="785"/>
      <c r="CG37" s="783"/>
      <c r="CH37" s="783"/>
      <c r="CI37" s="783"/>
      <c r="CJ37" s="783"/>
      <c r="CK37" s="783"/>
      <c r="CL37" s="783"/>
      <c r="CM37" s="783"/>
      <c r="CN37" s="783"/>
      <c r="CO37" s="783"/>
      <c r="CP37" s="783"/>
      <c r="CQ37" s="783"/>
      <c r="CR37" s="784"/>
      <c r="CS37" s="785"/>
      <c r="CT37" s="783"/>
      <c r="CU37" s="783"/>
      <c r="CV37" s="783"/>
      <c r="CW37" s="783"/>
      <c r="CX37" s="783"/>
      <c r="CY37" s="783"/>
      <c r="CZ37" s="783"/>
      <c r="DA37" s="783"/>
      <c r="DB37" s="783"/>
      <c r="DC37" s="783"/>
      <c r="DD37" s="783"/>
      <c r="DE37" s="784"/>
      <c r="DF37" s="776"/>
      <c r="DG37" s="777"/>
      <c r="DH37" s="777"/>
      <c r="DI37" s="777"/>
      <c r="DJ37" s="777"/>
      <c r="DK37" s="777"/>
      <c r="DL37" s="777"/>
      <c r="DM37" s="777"/>
      <c r="DN37" s="777"/>
      <c r="DO37" s="777"/>
      <c r="DP37" s="777"/>
      <c r="DQ37" s="777"/>
      <c r="DR37" s="778"/>
      <c r="DS37" s="776"/>
      <c r="DT37" s="777"/>
      <c r="DU37" s="777"/>
      <c r="DV37" s="777"/>
      <c r="DW37" s="777"/>
      <c r="DX37" s="777"/>
      <c r="DY37" s="777"/>
      <c r="DZ37" s="777"/>
      <c r="EA37" s="777"/>
      <c r="EB37" s="777"/>
      <c r="EC37" s="777"/>
      <c r="ED37" s="777"/>
      <c r="EE37" s="778"/>
      <c r="EF37" s="776"/>
      <c r="EG37" s="777"/>
      <c r="EH37" s="777"/>
      <c r="EI37" s="777"/>
      <c r="EJ37" s="777"/>
      <c r="EK37" s="777"/>
      <c r="EL37" s="777"/>
      <c r="EM37" s="777"/>
      <c r="EN37" s="777"/>
      <c r="EO37" s="777"/>
      <c r="EP37" s="777"/>
      <c r="EQ37" s="777"/>
      <c r="ER37" s="778"/>
      <c r="ES37" s="779"/>
      <c r="ET37" s="780"/>
      <c r="EU37" s="780"/>
      <c r="EV37" s="780"/>
      <c r="EW37" s="780"/>
      <c r="EX37" s="780"/>
      <c r="EY37" s="780"/>
      <c r="EZ37" s="780"/>
      <c r="FA37" s="780"/>
      <c r="FB37" s="780"/>
      <c r="FC37" s="780"/>
      <c r="FD37" s="780"/>
      <c r="FE37" s="781"/>
    </row>
    <row r="38" spans="1:162" x14ac:dyDescent="0.2">
      <c r="A38" s="880"/>
      <c r="B38" s="880"/>
      <c r="C38" s="880"/>
      <c r="D38" s="880"/>
      <c r="E38" s="880"/>
      <c r="F38" s="880"/>
      <c r="G38" s="880"/>
      <c r="H38" s="880"/>
      <c r="I38" s="880"/>
      <c r="J38" s="880"/>
      <c r="K38" s="880"/>
      <c r="L38" s="880"/>
      <c r="M38" s="880"/>
      <c r="N38" s="880"/>
      <c r="O38" s="880"/>
      <c r="P38" s="880"/>
      <c r="Q38" s="880"/>
      <c r="R38" s="880"/>
      <c r="S38" s="880"/>
      <c r="T38" s="880"/>
      <c r="U38" s="880"/>
      <c r="V38" s="880"/>
      <c r="W38" s="880"/>
      <c r="X38" s="880"/>
      <c r="Y38" s="880"/>
      <c r="Z38" s="880"/>
      <c r="AA38" s="880"/>
      <c r="AB38" s="880"/>
      <c r="AC38" s="880"/>
      <c r="AD38" s="880"/>
      <c r="AE38" s="880"/>
      <c r="AF38" s="880"/>
      <c r="AG38" s="880"/>
      <c r="AH38" s="880"/>
      <c r="AI38" s="880"/>
      <c r="AJ38" s="880"/>
      <c r="AK38" s="880"/>
      <c r="AL38" s="880"/>
      <c r="AM38" s="880"/>
      <c r="AN38" s="880"/>
      <c r="AO38" s="880"/>
      <c r="AP38" s="880"/>
      <c r="AQ38" s="880"/>
      <c r="AR38" s="880"/>
      <c r="AS38" s="880"/>
      <c r="AT38" s="880"/>
      <c r="AU38" s="880"/>
      <c r="AV38" s="880"/>
      <c r="AW38" s="880"/>
      <c r="AX38" s="880"/>
      <c r="AY38" s="880"/>
      <c r="AZ38" s="880"/>
      <c r="BA38" s="880"/>
      <c r="BB38" s="880"/>
      <c r="BC38" s="880"/>
      <c r="BD38" s="880"/>
      <c r="BE38" s="880"/>
      <c r="BF38" s="880"/>
      <c r="BG38" s="880"/>
      <c r="BH38" s="880"/>
      <c r="BI38" s="880"/>
      <c r="BJ38" s="880"/>
      <c r="BK38" s="880"/>
      <c r="BL38" s="880"/>
      <c r="BM38" s="880"/>
      <c r="BN38" s="880"/>
      <c r="BO38" s="880"/>
      <c r="BP38" s="880"/>
      <c r="BQ38" s="880"/>
      <c r="BR38" s="880"/>
      <c r="BS38" s="880"/>
      <c r="BT38" s="880"/>
      <c r="BU38" s="880"/>
      <c r="BV38" s="880"/>
      <c r="BW38" s="881"/>
      <c r="BX38" s="782"/>
      <c r="BY38" s="783"/>
      <c r="BZ38" s="783"/>
      <c r="CA38" s="783"/>
      <c r="CB38" s="783"/>
      <c r="CC38" s="783"/>
      <c r="CD38" s="783"/>
      <c r="CE38" s="784"/>
      <c r="CF38" s="785"/>
      <c r="CG38" s="783"/>
      <c r="CH38" s="783"/>
      <c r="CI38" s="783"/>
      <c r="CJ38" s="783"/>
      <c r="CK38" s="783"/>
      <c r="CL38" s="783"/>
      <c r="CM38" s="783"/>
      <c r="CN38" s="783"/>
      <c r="CO38" s="783"/>
      <c r="CP38" s="783"/>
      <c r="CQ38" s="783"/>
      <c r="CR38" s="784"/>
      <c r="CS38" s="785"/>
      <c r="CT38" s="783"/>
      <c r="CU38" s="783"/>
      <c r="CV38" s="783"/>
      <c r="CW38" s="783"/>
      <c r="CX38" s="783"/>
      <c r="CY38" s="783"/>
      <c r="CZ38" s="783"/>
      <c r="DA38" s="783"/>
      <c r="DB38" s="783"/>
      <c r="DC38" s="783"/>
      <c r="DD38" s="783"/>
      <c r="DE38" s="784"/>
      <c r="DF38" s="776"/>
      <c r="DG38" s="777"/>
      <c r="DH38" s="777"/>
      <c r="DI38" s="777"/>
      <c r="DJ38" s="777"/>
      <c r="DK38" s="777"/>
      <c r="DL38" s="777"/>
      <c r="DM38" s="777"/>
      <c r="DN38" s="777"/>
      <c r="DO38" s="777"/>
      <c r="DP38" s="777"/>
      <c r="DQ38" s="777"/>
      <c r="DR38" s="778"/>
      <c r="DS38" s="776"/>
      <c r="DT38" s="777"/>
      <c r="DU38" s="777"/>
      <c r="DV38" s="777"/>
      <c r="DW38" s="777"/>
      <c r="DX38" s="777"/>
      <c r="DY38" s="777"/>
      <c r="DZ38" s="777"/>
      <c r="EA38" s="777"/>
      <c r="EB38" s="777"/>
      <c r="EC38" s="777"/>
      <c r="ED38" s="777"/>
      <c r="EE38" s="778"/>
      <c r="EF38" s="776"/>
      <c r="EG38" s="777"/>
      <c r="EH38" s="777"/>
      <c r="EI38" s="777"/>
      <c r="EJ38" s="777"/>
      <c r="EK38" s="777"/>
      <c r="EL38" s="777"/>
      <c r="EM38" s="777"/>
      <c r="EN38" s="777"/>
      <c r="EO38" s="777"/>
      <c r="EP38" s="777"/>
      <c r="EQ38" s="777"/>
      <c r="ER38" s="778"/>
      <c r="ES38" s="779"/>
      <c r="ET38" s="780"/>
      <c r="EU38" s="780"/>
      <c r="EV38" s="780"/>
      <c r="EW38" s="780"/>
      <c r="EX38" s="780"/>
      <c r="EY38" s="780"/>
      <c r="EZ38" s="780"/>
      <c r="FA38" s="780"/>
      <c r="FB38" s="780"/>
      <c r="FC38" s="780"/>
      <c r="FD38" s="780"/>
      <c r="FE38" s="781"/>
    </row>
    <row r="39" spans="1:162" s="490" customFormat="1" ht="11.25" customHeight="1" x14ac:dyDescent="0.15">
      <c r="A39" s="863" t="s">
        <v>586</v>
      </c>
      <c r="B39" s="864"/>
      <c r="C39" s="864"/>
      <c r="D39" s="864"/>
      <c r="E39" s="864"/>
      <c r="F39" s="864"/>
      <c r="G39" s="864"/>
      <c r="H39" s="864"/>
      <c r="I39" s="864"/>
      <c r="J39" s="864"/>
      <c r="K39" s="864"/>
      <c r="L39" s="864"/>
      <c r="M39" s="864"/>
      <c r="N39" s="864"/>
      <c r="O39" s="864"/>
      <c r="P39" s="864"/>
      <c r="Q39" s="864"/>
      <c r="R39" s="864"/>
      <c r="S39" s="864"/>
      <c r="T39" s="864"/>
      <c r="U39" s="864"/>
      <c r="V39" s="864"/>
      <c r="W39" s="864"/>
      <c r="X39" s="864"/>
      <c r="Y39" s="864"/>
      <c r="Z39" s="864"/>
      <c r="AA39" s="864"/>
      <c r="AB39" s="864"/>
      <c r="AC39" s="864"/>
      <c r="AD39" s="864"/>
      <c r="AE39" s="864"/>
      <c r="AF39" s="864"/>
      <c r="AG39" s="864"/>
      <c r="AH39" s="864"/>
      <c r="AI39" s="864"/>
      <c r="AJ39" s="864"/>
      <c r="AK39" s="864"/>
      <c r="AL39" s="864"/>
      <c r="AM39" s="864"/>
      <c r="AN39" s="864"/>
      <c r="AO39" s="864"/>
      <c r="AP39" s="864"/>
      <c r="AQ39" s="864"/>
      <c r="AR39" s="864"/>
      <c r="AS39" s="864"/>
      <c r="AT39" s="864"/>
      <c r="AU39" s="864"/>
      <c r="AV39" s="864"/>
      <c r="AW39" s="864"/>
      <c r="AX39" s="864"/>
      <c r="AY39" s="864"/>
      <c r="AZ39" s="864"/>
      <c r="BA39" s="864"/>
      <c r="BB39" s="864"/>
      <c r="BC39" s="864"/>
      <c r="BD39" s="864"/>
      <c r="BE39" s="864"/>
      <c r="BF39" s="864"/>
      <c r="BG39" s="864"/>
      <c r="BH39" s="864"/>
      <c r="BI39" s="864"/>
      <c r="BJ39" s="864"/>
      <c r="BK39" s="864"/>
      <c r="BL39" s="864"/>
      <c r="BM39" s="864"/>
      <c r="BN39" s="864"/>
      <c r="BO39" s="864"/>
      <c r="BP39" s="864"/>
      <c r="BQ39" s="864"/>
      <c r="BR39" s="864"/>
      <c r="BS39" s="864"/>
      <c r="BT39" s="864"/>
      <c r="BU39" s="864"/>
      <c r="BV39" s="864"/>
      <c r="BW39" s="865"/>
      <c r="BX39" s="787" t="s">
        <v>837</v>
      </c>
      <c r="BY39" s="788"/>
      <c r="BZ39" s="788"/>
      <c r="CA39" s="788"/>
      <c r="CB39" s="788"/>
      <c r="CC39" s="788"/>
      <c r="CD39" s="788"/>
      <c r="CE39" s="789"/>
      <c r="CF39" s="790" t="s">
        <v>838</v>
      </c>
      <c r="CG39" s="788"/>
      <c r="CH39" s="788"/>
      <c r="CI39" s="788"/>
      <c r="CJ39" s="788"/>
      <c r="CK39" s="788"/>
      <c r="CL39" s="788"/>
      <c r="CM39" s="788"/>
      <c r="CN39" s="788"/>
      <c r="CO39" s="788"/>
      <c r="CP39" s="788"/>
      <c r="CQ39" s="788"/>
      <c r="CR39" s="789"/>
      <c r="CS39" s="790" t="s">
        <v>838</v>
      </c>
      <c r="CT39" s="788"/>
      <c r="CU39" s="788"/>
      <c r="CV39" s="788"/>
      <c r="CW39" s="788"/>
      <c r="CX39" s="788"/>
      <c r="CY39" s="788"/>
      <c r="CZ39" s="788"/>
      <c r="DA39" s="788"/>
      <c r="DB39" s="788"/>
      <c r="DC39" s="788"/>
      <c r="DD39" s="788"/>
      <c r="DE39" s="789"/>
      <c r="DF39" s="827">
        <f>DF40+DF42</f>
        <v>174290860</v>
      </c>
      <c r="DG39" s="828"/>
      <c r="DH39" s="828"/>
      <c r="DI39" s="828"/>
      <c r="DJ39" s="828"/>
      <c r="DK39" s="828"/>
      <c r="DL39" s="828"/>
      <c r="DM39" s="828"/>
      <c r="DN39" s="828"/>
      <c r="DO39" s="828"/>
      <c r="DP39" s="828"/>
      <c r="DQ39" s="828"/>
      <c r="DR39" s="829"/>
      <c r="DS39" s="827">
        <f>DS40+DS42</f>
        <v>176011860</v>
      </c>
      <c r="DT39" s="828"/>
      <c r="DU39" s="828"/>
      <c r="DV39" s="828"/>
      <c r="DW39" s="828"/>
      <c r="DX39" s="828"/>
      <c r="DY39" s="828"/>
      <c r="DZ39" s="828"/>
      <c r="EA39" s="828"/>
      <c r="EB39" s="828"/>
      <c r="EC39" s="828"/>
      <c r="ED39" s="828"/>
      <c r="EE39" s="829"/>
      <c r="EF39" s="827">
        <f>EF40+EF42</f>
        <v>177873960</v>
      </c>
      <c r="EG39" s="828"/>
      <c r="EH39" s="828"/>
      <c r="EI39" s="828"/>
      <c r="EJ39" s="828"/>
      <c r="EK39" s="828"/>
      <c r="EL39" s="828"/>
      <c r="EM39" s="828"/>
      <c r="EN39" s="828"/>
      <c r="EO39" s="828"/>
      <c r="EP39" s="828"/>
      <c r="EQ39" s="828"/>
      <c r="ER39" s="829"/>
      <c r="ES39" s="830"/>
      <c r="ET39" s="831"/>
      <c r="EU39" s="831"/>
      <c r="EV39" s="831"/>
      <c r="EW39" s="831"/>
      <c r="EX39" s="831"/>
      <c r="EY39" s="831"/>
      <c r="EZ39" s="831"/>
      <c r="FA39" s="831"/>
      <c r="FB39" s="831"/>
      <c r="FC39" s="831"/>
      <c r="FD39" s="831"/>
      <c r="FE39" s="832"/>
      <c r="FF39" s="490" t="s">
        <v>839</v>
      </c>
    </row>
    <row r="40" spans="1:162" ht="51" customHeight="1" thickBot="1" x14ac:dyDescent="0.25">
      <c r="A40" s="841" t="s">
        <v>840</v>
      </c>
      <c r="B40" s="841"/>
      <c r="C40" s="841"/>
      <c r="D40" s="841"/>
      <c r="E40" s="841"/>
      <c r="F40" s="841"/>
      <c r="G40" s="841"/>
      <c r="H40" s="841"/>
      <c r="I40" s="841"/>
      <c r="J40" s="841"/>
      <c r="K40" s="841"/>
      <c r="L40" s="841"/>
      <c r="M40" s="841"/>
      <c r="N40" s="841"/>
      <c r="O40" s="841"/>
      <c r="P40" s="841"/>
      <c r="Q40" s="841"/>
      <c r="R40" s="841"/>
      <c r="S40" s="841"/>
      <c r="T40" s="841"/>
      <c r="U40" s="841"/>
      <c r="V40" s="841"/>
      <c r="W40" s="841"/>
      <c r="X40" s="841"/>
      <c r="Y40" s="841"/>
      <c r="Z40" s="841"/>
      <c r="AA40" s="841"/>
      <c r="AB40" s="841"/>
      <c r="AC40" s="841"/>
      <c r="AD40" s="841"/>
      <c r="AE40" s="841"/>
      <c r="AF40" s="841"/>
      <c r="AG40" s="841"/>
      <c r="AH40" s="841"/>
      <c r="AI40" s="841"/>
      <c r="AJ40" s="841"/>
      <c r="AK40" s="841"/>
      <c r="AL40" s="841"/>
      <c r="AM40" s="841"/>
      <c r="AN40" s="841"/>
      <c r="AO40" s="841"/>
      <c r="AP40" s="841"/>
      <c r="AQ40" s="841"/>
      <c r="AR40" s="841"/>
      <c r="AS40" s="841"/>
      <c r="AT40" s="841"/>
      <c r="AU40" s="841"/>
      <c r="AV40" s="841"/>
      <c r="AW40" s="841"/>
      <c r="AX40" s="841"/>
      <c r="AY40" s="841"/>
      <c r="AZ40" s="841"/>
      <c r="BA40" s="841"/>
      <c r="BB40" s="841"/>
      <c r="BC40" s="841"/>
      <c r="BD40" s="841"/>
      <c r="BE40" s="841"/>
      <c r="BF40" s="841"/>
      <c r="BG40" s="841"/>
      <c r="BH40" s="841"/>
      <c r="BI40" s="841"/>
      <c r="BJ40" s="841"/>
      <c r="BK40" s="841"/>
      <c r="BL40" s="841"/>
      <c r="BM40" s="841"/>
      <c r="BN40" s="841"/>
      <c r="BO40" s="841"/>
      <c r="BP40" s="841"/>
      <c r="BQ40" s="841"/>
      <c r="BR40" s="841"/>
      <c r="BS40" s="841"/>
      <c r="BT40" s="841"/>
      <c r="BU40" s="841"/>
      <c r="BV40" s="841"/>
      <c r="BW40" s="883"/>
      <c r="BX40" s="772" t="s">
        <v>841</v>
      </c>
      <c r="BY40" s="773"/>
      <c r="BZ40" s="773"/>
      <c r="CA40" s="773"/>
      <c r="CB40" s="773"/>
      <c r="CC40" s="773"/>
      <c r="CD40" s="773"/>
      <c r="CE40" s="774"/>
      <c r="CF40" s="775" t="s">
        <v>838</v>
      </c>
      <c r="CG40" s="773"/>
      <c r="CH40" s="773"/>
      <c r="CI40" s="773"/>
      <c r="CJ40" s="773"/>
      <c r="CK40" s="773"/>
      <c r="CL40" s="773"/>
      <c r="CM40" s="773"/>
      <c r="CN40" s="773"/>
      <c r="CO40" s="773"/>
      <c r="CP40" s="773"/>
      <c r="CQ40" s="773"/>
      <c r="CR40" s="774"/>
      <c r="CS40" s="775" t="s">
        <v>842</v>
      </c>
      <c r="CT40" s="773"/>
      <c r="CU40" s="773"/>
      <c r="CV40" s="773"/>
      <c r="CW40" s="773"/>
      <c r="CX40" s="773"/>
      <c r="CY40" s="773"/>
      <c r="CZ40" s="773"/>
      <c r="DA40" s="773"/>
      <c r="DB40" s="773"/>
      <c r="DC40" s="773"/>
      <c r="DD40" s="773"/>
      <c r="DE40" s="774"/>
      <c r="DF40" s="764">
        <f>133927400+9935000+166860+29684600+270000</f>
        <v>173983860</v>
      </c>
      <c r="DG40" s="765"/>
      <c r="DH40" s="765"/>
      <c r="DI40" s="765"/>
      <c r="DJ40" s="765"/>
      <c r="DK40" s="765"/>
      <c r="DL40" s="765"/>
      <c r="DM40" s="765"/>
      <c r="DN40" s="765"/>
      <c r="DO40" s="765"/>
      <c r="DP40" s="765"/>
      <c r="DQ40" s="765"/>
      <c r="DR40" s="766"/>
      <c r="DS40" s="764">
        <f>134506000+10425000+166860+300000+30307000</f>
        <v>175704860</v>
      </c>
      <c r="DT40" s="765"/>
      <c r="DU40" s="765"/>
      <c r="DV40" s="765"/>
      <c r="DW40" s="765"/>
      <c r="DX40" s="765"/>
      <c r="DY40" s="765"/>
      <c r="DZ40" s="765"/>
      <c r="EA40" s="765"/>
      <c r="EB40" s="765"/>
      <c r="EC40" s="765"/>
      <c r="ED40" s="765"/>
      <c r="EE40" s="766"/>
      <c r="EF40" s="764">
        <f>136132000+10661000+166860+30307100+300000</f>
        <v>177566960</v>
      </c>
      <c r="EG40" s="765"/>
      <c r="EH40" s="765"/>
      <c r="EI40" s="765"/>
      <c r="EJ40" s="765"/>
      <c r="EK40" s="765"/>
      <c r="EL40" s="765"/>
      <c r="EM40" s="765"/>
      <c r="EN40" s="765"/>
      <c r="EO40" s="765"/>
      <c r="EP40" s="765"/>
      <c r="EQ40" s="765"/>
      <c r="ER40" s="766"/>
      <c r="ES40" s="767"/>
      <c r="ET40" s="768"/>
      <c r="EU40" s="768"/>
      <c r="EV40" s="768"/>
      <c r="EW40" s="768"/>
      <c r="EX40" s="768"/>
      <c r="EY40" s="768"/>
      <c r="EZ40" s="768"/>
      <c r="FA40" s="768"/>
      <c r="FB40" s="768"/>
      <c r="FC40" s="768"/>
      <c r="FD40" s="768"/>
      <c r="FE40" s="769"/>
      <c r="FF40" s="482" t="s">
        <v>843</v>
      </c>
    </row>
    <row r="41" spans="1:162" ht="36.75" customHeight="1" x14ac:dyDescent="0.2">
      <c r="A41" s="813" t="s">
        <v>844</v>
      </c>
      <c r="B41" s="814"/>
      <c r="C41" s="814"/>
      <c r="D41" s="814"/>
      <c r="E41" s="814"/>
      <c r="F41" s="814"/>
      <c r="G41" s="814"/>
      <c r="H41" s="814"/>
      <c r="I41" s="814"/>
      <c r="J41" s="814"/>
      <c r="K41" s="814"/>
      <c r="L41" s="814"/>
      <c r="M41" s="814"/>
      <c r="N41" s="814"/>
      <c r="O41" s="814"/>
      <c r="P41" s="814"/>
      <c r="Q41" s="814"/>
      <c r="R41" s="814"/>
      <c r="S41" s="814"/>
      <c r="T41" s="814"/>
      <c r="U41" s="814"/>
      <c r="V41" s="814"/>
      <c r="W41" s="814"/>
      <c r="X41" s="814"/>
      <c r="Y41" s="814"/>
      <c r="Z41" s="814"/>
      <c r="AA41" s="814"/>
      <c r="AB41" s="814"/>
      <c r="AC41" s="814"/>
      <c r="AD41" s="814"/>
      <c r="AE41" s="814"/>
      <c r="AF41" s="814"/>
      <c r="AG41" s="814"/>
      <c r="AH41" s="814"/>
      <c r="AI41" s="814"/>
      <c r="AJ41" s="814"/>
      <c r="AK41" s="814"/>
      <c r="AL41" s="814"/>
      <c r="AM41" s="814"/>
      <c r="AN41" s="814"/>
      <c r="AO41" s="814"/>
      <c r="AP41" s="814"/>
      <c r="AQ41" s="814"/>
      <c r="AR41" s="814"/>
      <c r="AS41" s="814"/>
      <c r="AT41" s="814"/>
      <c r="AU41" s="814"/>
      <c r="AV41" s="814"/>
      <c r="AW41" s="814"/>
      <c r="AX41" s="814"/>
      <c r="AY41" s="814"/>
      <c r="AZ41" s="814"/>
      <c r="BA41" s="814"/>
      <c r="BB41" s="814"/>
      <c r="BC41" s="814"/>
      <c r="BD41" s="814"/>
      <c r="BE41" s="814"/>
      <c r="BF41" s="814"/>
      <c r="BG41" s="814"/>
      <c r="BH41" s="814"/>
      <c r="BI41" s="814"/>
      <c r="BJ41" s="814"/>
      <c r="BK41" s="814"/>
      <c r="BL41" s="814"/>
      <c r="BM41" s="814"/>
      <c r="BN41" s="814"/>
      <c r="BO41" s="814"/>
      <c r="BP41" s="814"/>
      <c r="BQ41" s="814"/>
      <c r="BR41" s="814"/>
      <c r="BS41" s="814"/>
      <c r="BT41" s="814"/>
      <c r="BU41" s="814"/>
      <c r="BV41" s="814"/>
      <c r="BW41" s="815"/>
      <c r="BX41" s="816" t="s">
        <v>845</v>
      </c>
      <c r="BY41" s="817"/>
      <c r="BZ41" s="817"/>
      <c r="CA41" s="817"/>
      <c r="CB41" s="817"/>
      <c r="CC41" s="817"/>
      <c r="CD41" s="817"/>
      <c r="CE41" s="818"/>
      <c r="CF41" s="819" t="s">
        <v>838</v>
      </c>
      <c r="CG41" s="817"/>
      <c r="CH41" s="817"/>
      <c r="CI41" s="817"/>
      <c r="CJ41" s="817"/>
      <c r="CK41" s="817"/>
      <c r="CL41" s="817"/>
      <c r="CM41" s="817"/>
      <c r="CN41" s="817"/>
      <c r="CO41" s="817"/>
      <c r="CP41" s="817"/>
      <c r="CQ41" s="817"/>
      <c r="CR41" s="818"/>
      <c r="CS41" s="819"/>
      <c r="CT41" s="817"/>
      <c r="CU41" s="817"/>
      <c r="CV41" s="817"/>
      <c r="CW41" s="817"/>
      <c r="CX41" s="817"/>
      <c r="CY41" s="817"/>
      <c r="CZ41" s="817"/>
      <c r="DA41" s="817"/>
      <c r="DB41" s="817"/>
      <c r="DC41" s="817"/>
      <c r="DD41" s="817"/>
      <c r="DE41" s="818"/>
      <c r="DF41" s="807">
        <v>0</v>
      </c>
      <c r="DG41" s="808"/>
      <c r="DH41" s="808"/>
      <c r="DI41" s="808"/>
      <c r="DJ41" s="808"/>
      <c r="DK41" s="808"/>
      <c r="DL41" s="808"/>
      <c r="DM41" s="808"/>
      <c r="DN41" s="808"/>
      <c r="DO41" s="808"/>
      <c r="DP41" s="808"/>
      <c r="DQ41" s="808"/>
      <c r="DR41" s="809"/>
      <c r="DS41" s="807">
        <v>0</v>
      </c>
      <c r="DT41" s="808"/>
      <c r="DU41" s="808"/>
      <c r="DV41" s="808"/>
      <c r="DW41" s="808"/>
      <c r="DX41" s="808"/>
      <c r="DY41" s="808"/>
      <c r="DZ41" s="808"/>
      <c r="EA41" s="808"/>
      <c r="EB41" s="808"/>
      <c r="EC41" s="808"/>
      <c r="ED41" s="808"/>
      <c r="EE41" s="809"/>
      <c r="EF41" s="807">
        <v>0</v>
      </c>
      <c r="EG41" s="808"/>
      <c r="EH41" s="808"/>
      <c r="EI41" s="808"/>
      <c r="EJ41" s="808"/>
      <c r="EK41" s="808"/>
      <c r="EL41" s="808"/>
      <c r="EM41" s="808"/>
      <c r="EN41" s="808"/>
      <c r="EO41" s="808"/>
      <c r="EP41" s="808"/>
      <c r="EQ41" s="808"/>
      <c r="ER41" s="809"/>
      <c r="ES41" s="810"/>
      <c r="ET41" s="811"/>
      <c r="EU41" s="811"/>
      <c r="EV41" s="811"/>
      <c r="EW41" s="811"/>
      <c r="EX41" s="811"/>
      <c r="EY41" s="811"/>
      <c r="EZ41" s="811"/>
      <c r="FA41" s="811"/>
      <c r="FB41" s="811"/>
      <c r="FC41" s="811"/>
      <c r="FD41" s="811"/>
      <c r="FE41" s="812"/>
    </row>
    <row r="42" spans="1:162" ht="24.75" customHeight="1" x14ac:dyDescent="0.2">
      <c r="A42" s="805" t="s">
        <v>846</v>
      </c>
      <c r="B42" s="805"/>
      <c r="C42" s="805"/>
      <c r="D42" s="805"/>
      <c r="E42" s="805"/>
      <c r="F42" s="805"/>
      <c r="G42" s="805"/>
      <c r="H42" s="805"/>
      <c r="I42" s="805"/>
      <c r="J42" s="805"/>
      <c r="K42" s="805"/>
      <c r="L42" s="805"/>
      <c r="M42" s="805"/>
      <c r="N42" s="805"/>
      <c r="O42" s="805"/>
      <c r="P42" s="805"/>
      <c r="Q42" s="805"/>
      <c r="R42" s="805"/>
      <c r="S42" s="805"/>
      <c r="T42" s="805"/>
      <c r="U42" s="805"/>
      <c r="V42" s="805"/>
      <c r="W42" s="805"/>
      <c r="X42" s="805"/>
      <c r="Y42" s="805"/>
      <c r="Z42" s="805"/>
      <c r="AA42" s="805"/>
      <c r="AB42" s="805"/>
      <c r="AC42" s="805"/>
      <c r="AD42" s="805"/>
      <c r="AE42" s="805"/>
      <c r="AF42" s="805"/>
      <c r="AG42" s="805"/>
      <c r="AH42" s="805"/>
      <c r="AI42" s="805"/>
      <c r="AJ42" s="805"/>
      <c r="AK42" s="805"/>
      <c r="AL42" s="805"/>
      <c r="AM42" s="805"/>
      <c r="AN42" s="805"/>
      <c r="AO42" s="805"/>
      <c r="AP42" s="805"/>
      <c r="AQ42" s="805"/>
      <c r="AR42" s="805"/>
      <c r="AS42" s="805"/>
      <c r="AT42" s="805"/>
      <c r="AU42" s="805"/>
      <c r="AV42" s="805"/>
      <c r="AW42" s="805"/>
      <c r="AX42" s="805"/>
      <c r="AY42" s="805"/>
      <c r="AZ42" s="805"/>
      <c r="BA42" s="805"/>
      <c r="BB42" s="805"/>
      <c r="BC42" s="805"/>
      <c r="BD42" s="805"/>
      <c r="BE42" s="805"/>
      <c r="BF42" s="805"/>
      <c r="BG42" s="805"/>
      <c r="BH42" s="805"/>
      <c r="BI42" s="805"/>
      <c r="BJ42" s="805"/>
      <c r="BK42" s="805"/>
      <c r="BL42" s="805"/>
      <c r="BM42" s="805"/>
      <c r="BN42" s="805"/>
      <c r="BO42" s="805"/>
      <c r="BP42" s="805"/>
      <c r="BQ42" s="805"/>
      <c r="BR42" s="805"/>
      <c r="BS42" s="805"/>
      <c r="BT42" s="805"/>
      <c r="BU42" s="805"/>
      <c r="BV42" s="805"/>
      <c r="BW42" s="805"/>
      <c r="BX42" s="782"/>
      <c r="BY42" s="783"/>
      <c r="BZ42" s="783"/>
      <c r="CA42" s="783"/>
      <c r="CB42" s="783"/>
      <c r="CC42" s="783"/>
      <c r="CD42" s="783"/>
      <c r="CE42" s="784"/>
      <c r="CF42" s="785" t="s">
        <v>838</v>
      </c>
      <c r="CG42" s="783"/>
      <c r="CH42" s="783"/>
      <c r="CI42" s="783"/>
      <c r="CJ42" s="783"/>
      <c r="CK42" s="783"/>
      <c r="CL42" s="783"/>
      <c r="CM42" s="783"/>
      <c r="CN42" s="783"/>
      <c r="CO42" s="783"/>
      <c r="CP42" s="783"/>
      <c r="CQ42" s="783"/>
      <c r="CR42" s="784"/>
      <c r="CS42" s="785" t="s">
        <v>842</v>
      </c>
      <c r="CT42" s="783"/>
      <c r="CU42" s="783"/>
      <c r="CV42" s="783"/>
      <c r="CW42" s="783"/>
      <c r="CX42" s="783"/>
      <c r="CY42" s="783"/>
      <c r="CZ42" s="783"/>
      <c r="DA42" s="783"/>
      <c r="DB42" s="783"/>
      <c r="DC42" s="783"/>
      <c r="DD42" s="783"/>
      <c r="DE42" s="784"/>
      <c r="DF42" s="776">
        <v>307000</v>
      </c>
      <c r="DG42" s="777"/>
      <c r="DH42" s="777"/>
      <c r="DI42" s="777"/>
      <c r="DJ42" s="777"/>
      <c r="DK42" s="777"/>
      <c r="DL42" s="777"/>
      <c r="DM42" s="777"/>
      <c r="DN42" s="777"/>
      <c r="DO42" s="777"/>
      <c r="DP42" s="777"/>
      <c r="DQ42" s="777"/>
      <c r="DR42" s="778"/>
      <c r="DS42" s="776">
        <v>307000</v>
      </c>
      <c r="DT42" s="777"/>
      <c r="DU42" s="777"/>
      <c r="DV42" s="777"/>
      <c r="DW42" s="777"/>
      <c r="DX42" s="777"/>
      <c r="DY42" s="777"/>
      <c r="DZ42" s="777"/>
      <c r="EA42" s="777"/>
      <c r="EB42" s="777"/>
      <c r="EC42" s="777"/>
      <c r="ED42" s="777"/>
      <c r="EE42" s="778"/>
      <c r="EF42" s="776">
        <v>307000</v>
      </c>
      <c r="EG42" s="777"/>
      <c r="EH42" s="777"/>
      <c r="EI42" s="777"/>
      <c r="EJ42" s="777"/>
      <c r="EK42" s="777"/>
      <c r="EL42" s="777"/>
      <c r="EM42" s="777"/>
      <c r="EN42" s="777"/>
      <c r="EO42" s="777"/>
      <c r="EP42" s="777"/>
      <c r="EQ42" s="777"/>
      <c r="ER42" s="778"/>
      <c r="ES42" s="779"/>
      <c r="ET42" s="780"/>
      <c r="EU42" s="780"/>
      <c r="EV42" s="780"/>
      <c r="EW42" s="780"/>
      <c r="EX42" s="780"/>
      <c r="EY42" s="780"/>
      <c r="EZ42" s="780"/>
      <c r="FA42" s="780"/>
      <c r="FB42" s="780"/>
      <c r="FC42" s="780"/>
      <c r="FD42" s="780"/>
      <c r="FE42" s="781"/>
      <c r="FF42" s="482" t="s">
        <v>847</v>
      </c>
    </row>
    <row r="43" spans="1:162" ht="11.1" customHeight="1" x14ac:dyDescent="0.2">
      <c r="A43" s="877" t="s">
        <v>386</v>
      </c>
      <c r="B43" s="878"/>
      <c r="C43" s="878"/>
      <c r="D43" s="878"/>
      <c r="E43" s="878"/>
      <c r="F43" s="878"/>
      <c r="G43" s="878"/>
      <c r="H43" s="878"/>
      <c r="I43" s="878"/>
      <c r="J43" s="878"/>
      <c r="K43" s="878"/>
      <c r="L43" s="878"/>
      <c r="M43" s="878"/>
      <c r="N43" s="878"/>
      <c r="O43" s="878"/>
      <c r="P43" s="878"/>
      <c r="Q43" s="878"/>
      <c r="R43" s="878"/>
      <c r="S43" s="878"/>
      <c r="T43" s="878"/>
      <c r="U43" s="878"/>
      <c r="V43" s="878"/>
      <c r="W43" s="878"/>
      <c r="X43" s="878"/>
      <c r="Y43" s="878"/>
      <c r="Z43" s="878"/>
      <c r="AA43" s="878"/>
      <c r="AB43" s="878"/>
      <c r="AC43" s="878"/>
      <c r="AD43" s="878"/>
      <c r="AE43" s="878"/>
      <c r="AF43" s="878"/>
      <c r="AG43" s="878"/>
      <c r="AH43" s="878"/>
      <c r="AI43" s="878"/>
      <c r="AJ43" s="878"/>
      <c r="AK43" s="878"/>
      <c r="AL43" s="878"/>
      <c r="AM43" s="878"/>
      <c r="AN43" s="878"/>
      <c r="AO43" s="878"/>
      <c r="AP43" s="878"/>
      <c r="AQ43" s="878"/>
      <c r="AR43" s="878"/>
      <c r="AS43" s="878"/>
      <c r="AT43" s="878"/>
      <c r="AU43" s="878"/>
      <c r="AV43" s="878"/>
      <c r="AW43" s="878"/>
      <c r="AX43" s="878"/>
      <c r="AY43" s="878"/>
      <c r="AZ43" s="878"/>
      <c r="BA43" s="878"/>
      <c r="BB43" s="878"/>
      <c r="BC43" s="878"/>
      <c r="BD43" s="878"/>
      <c r="BE43" s="878"/>
      <c r="BF43" s="878"/>
      <c r="BG43" s="878"/>
      <c r="BH43" s="878"/>
      <c r="BI43" s="878"/>
      <c r="BJ43" s="878"/>
      <c r="BK43" s="878"/>
      <c r="BL43" s="878"/>
      <c r="BM43" s="878"/>
      <c r="BN43" s="878"/>
      <c r="BO43" s="878"/>
      <c r="BP43" s="878"/>
      <c r="BQ43" s="878"/>
      <c r="BR43" s="878"/>
      <c r="BS43" s="878"/>
      <c r="BT43" s="878"/>
      <c r="BU43" s="878"/>
      <c r="BV43" s="878"/>
      <c r="BW43" s="879"/>
      <c r="BX43" s="782" t="s">
        <v>848</v>
      </c>
      <c r="BY43" s="783"/>
      <c r="BZ43" s="783"/>
      <c r="CA43" s="783"/>
      <c r="CB43" s="783"/>
      <c r="CC43" s="783"/>
      <c r="CD43" s="783"/>
      <c r="CE43" s="784"/>
      <c r="CF43" s="785" t="s">
        <v>849</v>
      </c>
      <c r="CG43" s="783"/>
      <c r="CH43" s="783"/>
      <c r="CI43" s="783"/>
      <c r="CJ43" s="783"/>
      <c r="CK43" s="783"/>
      <c r="CL43" s="783"/>
      <c r="CM43" s="783"/>
      <c r="CN43" s="783"/>
      <c r="CO43" s="783"/>
      <c r="CP43" s="783"/>
      <c r="CQ43" s="783"/>
      <c r="CR43" s="784"/>
      <c r="CS43" s="785"/>
      <c r="CT43" s="783"/>
      <c r="CU43" s="783"/>
      <c r="CV43" s="783"/>
      <c r="CW43" s="783"/>
      <c r="CX43" s="783"/>
      <c r="CY43" s="783"/>
      <c r="CZ43" s="783"/>
      <c r="DA43" s="783"/>
      <c r="DB43" s="783"/>
      <c r="DC43" s="783"/>
      <c r="DD43" s="783"/>
      <c r="DE43" s="784"/>
      <c r="DF43" s="776"/>
      <c r="DG43" s="777"/>
      <c r="DH43" s="777"/>
      <c r="DI43" s="777"/>
      <c r="DJ43" s="777"/>
      <c r="DK43" s="777"/>
      <c r="DL43" s="777"/>
      <c r="DM43" s="777"/>
      <c r="DN43" s="777"/>
      <c r="DO43" s="777"/>
      <c r="DP43" s="777"/>
      <c r="DQ43" s="777"/>
      <c r="DR43" s="778"/>
      <c r="DS43" s="776"/>
      <c r="DT43" s="777"/>
      <c r="DU43" s="777"/>
      <c r="DV43" s="777"/>
      <c r="DW43" s="777"/>
      <c r="DX43" s="777"/>
      <c r="DY43" s="777"/>
      <c r="DZ43" s="777"/>
      <c r="EA43" s="777"/>
      <c r="EB43" s="777"/>
      <c r="EC43" s="777"/>
      <c r="ED43" s="777"/>
      <c r="EE43" s="778"/>
      <c r="EF43" s="776"/>
      <c r="EG43" s="777"/>
      <c r="EH43" s="777"/>
      <c r="EI43" s="777"/>
      <c r="EJ43" s="777"/>
      <c r="EK43" s="777"/>
      <c r="EL43" s="777"/>
      <c r="EM43" s="777"/>
      <c r="EN43" s="777"/>
      <c r="EO43" s="777"/>
      <c r="EP43" s="777"/>
      <c r="EQ43" s="777"/>
      <c r="ER43" s="778"/>
      <c r="ES43" s="779"/>
      <c r="ET43" s="780"/>
      <c r="EU43" s="780"/>
      <c r="EV43" s="780"/>
      <c r="EW43" s="780"/>
      <c r="EX43" s="780"/>
      <c r="EY43" s="780"/>
      <c r="EZ43" s="780"/>
      <c r="FA43" s="780"/>
      <c r="FB43" s="780"/>
      <c r="FC43" s="780"/>
      <c r="FD43" s="780"/>
      <c r="FE43" s="781"/>
    </row>
    <row r="44" spans="1:162" ht="11.1" customHeight="1" x14ac:dyDescent="0.2">
      <c r="A44" s="882" t="s">
        <v>9</v>
      </c>
      <c r="B44" s="882"/>
      <c r="C44" s="882"/>
      <c r="D44" s="882"/>
      <c r="E44" s="882"/>
      <c r="F44" s="882"/>
      <c r="G44" s="882"/>
      <c r="H44" s="882"/>
      <c r="I44" s="882"/>
      <c r="J44" s="882"/>
      <c r="K44" s="882"/>
      <c r="L44" s="882"/>
      <c r="M44" s="882"/>
      <c r="N44" s="882"/>
      <c r="O44" s="882"/>
      <c r="P44" s="882"/>
      <c r="Q44" s="882"/>
      <c r="R44" s="882"/>
      <c r="S44" s="882"/>
      <c r="T44" s="882"/>
      <c r="U44" s="882"/>
      <c r="V44" s="882"/>
      <c r="W44" s="882"/>
      <c r="X44" s="882"/>
      <c r="Y44" s="882"/>
      <c r="Z44" s="882"/>
      <c r="AA44" s="882"/>
      <c r="AB44" s="882"/>
      <c r="AC44" s="882"/>
      <c r="AD44" s="882"/>
      <c r="AE44" s="882"/>
      <c r="AF44" s="882"/>
      <c r="AG44" s="882"/>
      <c r="AH44" s="882"/>
      <c r="AI44" s="882"/>
      <c r="AJ44" s="882"/>
      <c r="AK44" s="882"/>
      <c r="AL44" s="882"/>
      <c r="AM44" s="882"/>
      <c r="AN44" s="882"/>
      <c r="AO44" s="882"/>
      <c r="AP44" s="882"/>
      <c r="AQ44" s="882"/>
      <c r="AR44" s="882"/>
      <c r="AS44" s="882"/>
      <c r="AT44" s="882"/>
      <c r="AU44" s="882"/>
      <c r="AV44" s="882"/>
      <c r="AW44" s="882"/>
      <c r="AX44" s="882"/>
      <c r="AY44" s="882"/>
      <c r="AZ44" s="882"/>
      <c r="BA44" s="882"/>
      <c r="BB44" s="882"/>
      <c r="BC44" s="882"/>
      <c r="BD44" s="882"/>
      <c r="BE44" s="882"/>
      <c r="BF44" s="882"/>
      <c r="BG44" s="882"/>
      <c r="BH44" s="882"/>
      <c r="BI44" s="882"/>
      <c r="BJ44" s="882"/>
      <c r="BK44" s="882"/>
      <c r="BL44" s="882"/>
      <c r="BM44" s="882"/>
      <c r="BN44" s="882"/>
      <c r="BO44" s="882"/>
      <c r="BP44" s="882"/>
      <c r="BQ44" s="882"/>
      <c r="BR44" s="882"/>
      <c r="BS44" s="882"/>
      <c r="BT44" s="882"/>
      <c r="BU44" s="882"/>
      <c r="BV44" s="882"/>
      <c r="BW44" s="882"/>
      <c r="BX44" s="867" t="s">
        <v>850</v>
      </c>
      <c r="BY44" s="868"/>
      <c r="BZ44" s="868"/>
      <c r="CA44" s="868"/>
      <c r="CB44" s="868"/>
      <c r="CC44" s="868"/>
      <c r="CD44" s="868"/>
      <c r="CE44" s="869"/>
      <c r="CF44" s="870" t="s">
        <v>849</v>
      </c>
      <c r="CG44" s="868"/>
      <c r="CH44" s="868"/>
      <c r="CI44" s="868"/>
      <c r="CJ44" s="868"/>
      <c r="CK44" s="868"/>
      <c r="CL44" s="868"/>
      <c r="CM44" s="868"/>
      <c r="CN44" s="868"/>
      <c r="CO44" s="868"/>
      <c r="CP44" s="868"/>
      <c r="CQ44" s="868"/>
      <c r="CR44" s="869"/>
      <c r="CS44" s="870"/>
      <c r="CT44" s="868"/>
      <c r="CU44" s="868"/>
      <c r="CV44" s="868"/>
      <c r="CW44" s="868"/>
      <c r="CX44" s="868"/>
      <c r="CY44" s="868"/>
      <c r="CZ44" s="868"/>
      <c r="DA44" s="868"/>
      <c r="DB44" s="868"/>
      <c r="DC44" s="868"/>
      <c r="DD44" s="868"/>
      <c r="DE44" s="869"/>
      <c r="DF44" s="871"/>
      <c r="DG44" s="872"/>
      <c r="DH44" s="872"/>
      <c r="DI44" s="872"/>
      <c r="DJ44" s="872"/>
      <c r="DK44" s="872"/>
      <c r="DL44" s="872"/>
      <c r="DM44" s="872"/>
      <c r="DN44" s="872"/>
      <c r="DO44" s="872"/>
      <c r="DP44" s="872"/>
      <c r="DQ44" s="872"/>
      <c r="DR44" s="873"/>
      <c r="DS44" s="871"/>
      <c r="DT44" s="872"/>
      <c r="DU44" s="872"/>
      <c r="DV44" s="872"/>
      <c r="DW44" s="872"/>
      <c r="DX44" s="872"/>
      <c r="DY44" s="872"/>
      <c r="DZ44" s="872"/>
      <c r="EA44" s="872"/>
      <c r="EB44" s="872"/>
      <c r="EC44" s="872"/>
      <c r="ED44" s="872"/>
      <c r="EE44" s="873"/>
      <c r="EF44" s="871"/>
      <c r="EG44" s="872"/>
      <c r="EH44" s="872"/>
      <c r="EI44" s="872"/>
      <c r="EJ44" s="872"/>
      <c r="EK44" s="872"/>
      <c r="EL44" s="872"/>
      <c r="EM44" s="872"/>
      <c r="EN44" s="872"/>
      <c r="EO44" s="872"/>
      <c r="EP44" s="872"/>
      <c r="EQ44" s="872"/>
      <c r="ER44" s="873"/>
      <c r="ES44" s="874"/>
      <c r="ET44" s="875"/>
      <c r="EU44" s="875"/>
      <c r="EV44" s="875"/>
      <c r="EW44" s="875"/>
      <c r="EX44" s="875"/>
      <c r="EY44" s="875"/>
      <c r="EZ44" s="875"/>
      <c r="FA44" s="875"/>
      <c r="FB44" s="875"/>
      <c r="FC44" s="875"/>
      <c r="FD44" s="875"/>
      <c r="FE44" s="876"/>
    </row>
    <row r="45" spans="1:162" ht="11.1" customHeight="1" x14ac:dyDescent="0.2">
      <c r="A45" s="880"/>
      <c r="B45" s="880"/>
      <c r="C45" s="880"/>
      <c r="D45" s="880"/>
      <c r="E45" s="880"/>
      <c r="F45" s="880"/>
      <c r="G45" s="880"/>
      <c r="H45" s="880"/>
      <c r="I45" s="880"/>
      <c r="J45" s="880"/>
      <c r="K45" s="880"/>
      <c r="L45" s="880"/>
      <c r="M45" s="880"/>
      <c r="N45" s="880"/>
      <c r="O45" s="880"/>
      <c r="P45" s="880"/>
      <c r="Q45" s="880"/>
      <c r="R45" s="880"/>
      <c r="S45" s="880"/>
      <c r="T45" s="880"/>
      <c r="U45" s="880"/>
      <c r="V45" s="880"/>
      <c r="W45" s="880"/>
      <c r="X45" s="880"/>
      <c r="Y45" s="880"/>
      <c r="Z45" s="880"/>
      <c r="AA45" s="880"/>
      <c r="AB45" s="880"/>
      <c r="AC45" s="880"/>
      <c r="AD45" s="880"/>
      <c r="AE45" s="880"/>
      <c r="AF45" s="880"/>
      <c r="AG45" s="880"/>
      <c r="AH45" s="880"/>
      <c r="AI45" s="880"/>
      <c r="AJ45" s="880"/>
      <c r="AK45" s="880"/>
      <c r="AL45" s="880"/>
      <c r="AM45" s="880"/>
      <c r="AN45" s="880"/>
      <c r="AO45" s="880"/>
      <c r="AP45" s="880"/>
      <c r="AQ45" s="880"/>
      <c r="AR45" s="880"/>
      <c r="AS45" s="880"/>
      <c r="AT45" s="880"/>
      <c r="AU45" s="880"/>
      <c r="AV45" s="880"/>
      <c r="AW45" s="880"/>
      <c r="AX45" s="880"/>
      <c r="AY45" s="880"/>
      <c r="AZ45" s="880"/>
      <c r="BA45" s="880"/>
      <c r="BB45" s="880"/>
      <c r="BC45" s="880"/>
      <c r="BD45" s="880"/>
      <c r="BE45" s="880"/>
      <c r="BF45" s="880"/>
      <c r="BG45" s="880"/>
      <c r="BH45" s="880"/>
      <c r="BI45" s="880"/>
      <c r="BJ45" s="880"/>
      <c r="BK45" s="880"/>
      <c r="BL45" s="880"/>
      <c r="BM45" s="880"/>
      <c r="BN45" s="880"/>
      <c r="BO45" s="880"/>
      <c r="BP45" s="880"/>
      <c r="BQ45" s="880"/>
      <c r="BR45" s="880"/>
      <c r="BS45" s="880"/>
      <c r="BT45" s="880"/>
      <c r="BU45" s="880"/>
      <c r="BV45" s="880"/>
      <c r="BW45" s="881"/>
      <c r="BX45" s="816"/>
      <c r="BY45" s="817"/>
      <c r="BZ45" s="817"/>
      <c r="CA45" s="817"/>
      <c r="CB45" s="817"/>
      <c r="CC45" s="817"/>
      <c r="CD45" s="817"/>
      <c r="CE45" s="818"/>
      <c r="CF45" s="819"/>
      <c r="CG45" s="817"/>
      <c r="CH45" s="817"/>
      <c r="CI45" s="817"/>
      <c r="CJ45" s="817"/>
      <c r="CK45" s="817"/>
      <c r="CL45" s="817"/>
      <c r="CM45" s="817"/>
      <c r="CN45" s="817"/>
      <c r="CO45" s="817"/>
      <c r="CP45" s="817"/>
      <c r="CQ45" s="817"/>
      <c r="CR45" s="818"/>
      <c r="CS45" s="819"/>
      <c r="CT45" s="817"/>
      <c r="CU45" s="817"/>
      <c r="CV45" s="817"/>
      <c r="CW45" s="817"/>
      <c r="CX45" s="817"/>
      <c r="CY45" s="817"/>
      <c r="CZ45" s="817"/>
      <c r="DA45" s="817"/>
      <c r="DB45" s="817"/>
      <c r="DC45" s="817"/>
      <c r="DD45" s="817"/>
      <c r="DE45" s="818"/>
      <c r="DF45" s="807"/>
      <c r="DG45" s="808"/>
      <c r="DH45" s="808"/>
      <c r="DI45" s="808"/>
      <c r="DJ45" s="808"/>
      <c r="DK45" s="808"/>
      <c r="DL45" s="808"/>
      <c r="DM45" s="808"/>
      <c r="DN45" s="808"/>
      <c r="DO45" s="808"/>
      <c r="DP45" s="808"/>
      <c r="DQ45" s="808"/>
      <c r="DR45" s="809"/>
      <c r="DS45" s="807"/>
      <c r="DT45" s="808"/>
      <c r="DU45" s="808"/>
      <c r="DV45" s="808"/>
      <c r="DW45" s="808"/>
      <c r="DX45" s="808"/>
      <c r="DY45" s="808"/>
      <c r="DZ45" s="808"/>
      <c r="EA45" s="808"/>
      <c r="EB45" s="808"/>
      <c r="EC45" s="808"/>
      <c r="ED45" s="808"/>
      <c r="EE45" s="809"/>
      <c r="EF45" s="807"/>
      <c r="EG45" s="808"/>
      <c r="EH45" s="808"/>
      <c r="EI45" s="808"/>
      <c r="EJ45" s="808"/>
      <c r="EK45" s="808"/>
      <c r="EL45" s="808"/>
      <c r="EM45" s="808"/>
      <c r="EN45" s="808"/>
      <c r="EO45" s="808"/>
      <c r="EP45" s="808"/>
      <c r="EQ45" s="808"/>
      <c r="ER45" s="809"/>
      <c r="ES45" s="810"/>
      <c r="ET45" s="811"/>
      <c r="EU45" s="811"/>
      <c r="EV45" s="811"/>
      <c r="EW45" s="811"/>
      <c r="EX45" s="811"/>
      <c r="EY45" s="811"/>
      <c r="EZ45" s="811"/>
      <c r="FA45" s="811"/>
      <c r="FB45" s="811"/>
      <c r="FC45" s="811"/>
      <c r="FD45" s="811"/>
      <c r="FE45" s="812"/>
    </row>
    <row r="46" spans="1:162" s="490" customFormat="1" ht="11.1" customHeight="1" x14ac:dyDescent="0.15">
      <c r="A46" s="863" t="s">
        <v>587</v>
      </c>
      <c r="B46" s="864"/>
      <c r="C46" s="864"/>
      <c r="D46" s="864"/>
      <c r="E46" s="864"/>
      <c r="F46" s="864"/>
      <c r="G46" s="864"/>
      <c r="H46" s="864"/>
      <c r="I46" s="864"/>
      <c r="J46" s="864"/>
      <c r="K46" s="864"/>
      <c r="L46" s="864"/>
      <c r="M46" s="864"/>
      <c r="N46" s="864"/>
      <c r="O46" s="864"/>
      <c r="P46" s="864"/>
      <c r="Q46" s="864"/>
      <c r="R46" s="864"/>
      <c r="S46" s="864"/>
      <c r="T46" s="864"/>
      <c r="U46" s="864"/>
      <c r="V46" s="864"/>
      <c r="W46" s="864"/>
      <c r="X46" s="864"/>
      <c r="Y46" s="864"/>
      <c r="Z46" s="864"/>
      <c r="AA46" s="864"/>
      <c r="AB46" s="864"/>
      <c r="AC46" s="864"/>
      <c r="AD46" s="864"/>
      <c r="AE46" s="864"/>
      <c r="AF46" s="864"/>
      <c r="AG46" s="864"/>
      <c r="AH46" s="864"/>
      <c r="AI46" s="864"/>
      <c r="AJ46" s="864"/>
      <c r="AK46" s="864"/>
      <c r="AL46" s="864"/>
      <c r="AM46" s="864"/>
      <c r="AN46" s="864"/>
      <c r="AO46" s="864"/>
      <c r="AP46" s="864"/>
      <c r="AQ46" s="864"/>
      <c r="AR46" s="864"/>
      <c r="AS46" s="864"/>
      <c r="AT46" s="864"/>
      <c r="AU46" s="864"/>
      <c r="AV46" s="864"/>
      <c r="AW46" s="864"/>
      <c r="AX46" s="864"/>
      <c r="AY46" s="864"/>
      <c r="AZ46" s="864"/>
      <c r="BA46" s="864"/>
      <c r="BB46" s="864"/>
      <c r="BC46" s="864"/>
      <c r="BD46" s="864"/>
      <c r="BE46" s="864"/>
      <c r="BF46" s="864"/>
      <c r="BG46" s="864"/>
      <c r="BH46" s="864"/>
      <c r="BI46" s="864"/>
      <c r="BJ46" s="864"/>
      <c r="BK46" s="864"/>
      <c r="BL46" s="864"/>
      <c r="BM46" s="864"/>
      <c r="BN46" s="864"/>
      <c r="BO46" s="864"/>
      <c r="BP46" s="864"/>
      <c r="BQ46" s="864"/>
      <c r="BR46" s="864"/>
      <c r="BS46" s="864"/>
      <c r="BT46" s="864"/>
      <c r="BU46" s="864"/>
      <c r="BV46" s="864"/>
      <c r="BW46" s="865"/>
      <c r="BX46" s="787" t="s">
        <v>851</v>
      </c>
      <c r="BY46" s="788"/>
      <c r="BZ46" s="788"/>
      <c r="CA46" s="788"/>
      <c r="CB46" s="788"/>
      <c r="CC46" s="788"/>
      <c r="CD46" s="788"/>
      <c r="CE46" s="789"/>
      <c r="CF46" s="790" t="s">
        <v>852</v>
      </c>
      <c r="CG46" s="788"/>
      <c r="CH46" s="788"/>
      <c r="CI46" s="788"/>
      <c r="CJ46" s="788"/>
      <c r="CK46" s="788"/>
      <c r="CL46" s="788"/>
      <c r="CM46" s="788"/>
      <c r="CN46" s="788"/>
      <c r="CO46" s="788"/>
      <c r="CP46" s="788"/>
      <c r="CQ46" s="788"/>
      <c r="CR46" s="789"/>
      <c r="CS46" s="790" t="s">
        <v>853</v>
      </c>
      <c r="CT46" s="788"/>
      <c r="CU46" s="788"/>
      <c r="CV46" s="788"/>
      <c r="CW46" s="788"/>
      <c r="CX46" s="788"/>
      <c r="CY46" s="788"/>
      <c r="CZ46" s="788"/>
      <c r="DA46" s="788"/>
      <c r="DB46" s="788"/>
      <c r="DC46" s="788"/>
      <c r="DD46" s="788"/>
      <c r="DE46" s="789"/>
      <c r="DF46" s="827">
        <f>DF47+DF49+DF50</f>
        <v>6092800</v>
      </c>
      <c r="DG46" s="828"/>
      <c r="DH46" s="828"/>
      <c r="DI46" s="828"/>
      <c r="DJ46" s="828"/>
      <c r="DK46" s="828"/>
      <c r="DL46" s="828"/>
      <c r="DM46" s="828"/>
      <c r="DN46" s="828"/>
      <c r="DO46" s="828"/>
      <c r="DP46" s="828"/>
      <c r="DQ46" s="828"/>
      <c r="DR46" s="829"/>
      <c r="DS46" s="827">
        <f>DS47+DS49+DS50</f>
        <v>5468400</v>
      </c>
      <c r="DT46" s="828"/>
      <c r="DU46" s="828"/>
      <c r="DV46" s="828"/>
      <c r="DW46" s="828"/>
      <c r="DX46" s="828"/>
      <c r="DY46" s="828"/>
      <c r="DZ46" s="828"/>
      <c r="EA46" s="828"/>
      <c r="EB46" s="828"/>
      <c r="EC46" s="828"/>
      <c r="ED46" s="828"/>
      <c r="EE46" s="829"/>
      <c r="EF46" s="827">
        <f>EF47+EF49+EF50</f>
        <v>5624640</v>
      </c>
      <c r="EG46" s="828"/>
      <c r="EH46" s="828"/>
      <c r="EI46" s="828"/>
      <c r="EJ46" s="828"/>
      <c r="EK46" s="828"/>
      <c r="EL46" s="828"/>
      <c r="EM46" s="828"/>
      <c r="EN46" s="828"/>
      <c r="EO46" s="828"/>
      <c r="EP46" s="828"/>
      <c r="EQ46" s="828"/>
      <c r="ER46" s="829"/>
      <c r="ES46" s="830"/>
      <c r="ET46" s="831"/>
      <c r="EU46" s="831"/>
      <c r="EV46" s="831"/>
      <c r="EW46" s="831"/>
      <c r="EX46" s="831"/>
      <c r="EY46" s="831"/>
      <c r="EZ46" s="831"/>
      <c r="FA46" s="831"/>
      <c r="FB46" s="831"/>
      <c r="FC46" s="831"/>
      <c r="FD46" s="831"/>
      <c r="FE46" s="832"/>
      <c r="FF46" s="490" t="s">
        <v>854</v>
      </c>
    </row>
    <row r="47" spans="1:162" ht="11.1" customHeight="1" x14ac:dyDescent="0.2">
      <c r="A47" s="866" t="s">
        <v>9</v>
      </c>
      <c r="B47" s="866"/>
      <c r="C47" s="866"/>
      <c r="D47" s="866"/>
      <c r="E47" s="866"/>
      <c r="F47" s="866"/>
      <c r="G47" s="866"/>
      <c r="H47" s="866"/>
      <c r="I47" s="866"/>
      <c r="J47" s="866"/>
      <c r="K47" s="866"/>
      <c r="L47" s="866"/>
      <c r="M47" s="866"/>
      <c r="N47" s="866"/>
      <c r="O47" s="866"/>
      <c r="P47" s="866"/>
      <c r="Q47" s="866"/>
      <c r="R47" s="866"/>
      <c r="S47" s="866"/>
      <c r="T47" s="866"/>
      <c r="U47" s="866"/>
      <c r="V47" s="866"/>
      <c r="W47" s="866"/>
      <c r="X47" s="866"/>
      <c r="Y47" s="866"/>
      <c r="Z47" s="866"/>
      <c r="AA47" s="866"/>
      <c r="AB47" s="866"/>
      <c r="AC47" s="866"/>
      <c r="AD47" s="866"/>
      <c r="AE47" s="866"/>
      <c r="AF47" s="866"/>
      <c r="AG47" s="866"/>
      <c r="AH47" s="866"/>
      <c r="AI47" s="866"/>
      <c r="AJ47" s="866"/>
      <c r="AK47" s="866"/>
      <c r="AL47" s="866"/>
      <c r="AM47" s="866"/>
      <c r="AN47" s="866"/>
      <c r="AO47" s="866"/>
      <c r="AP47" s="866"/>
      <c r="AQ47" s="866"/>
      <c r="AR47" s="866"/>
      <c r="AS47" s="866"/>
      <c r="AT47" s="866"/>
      <c r="AU47" s="866"/>
      <c r="AV47" s="866"/>
      <c r="AW47" s="866"/>
      <c r="AX47" s="866"/>
      <c r="AY47" s="866"/>
      <c r="AZ47" s="866"/>
      <c r="BA47" s="866"/>
      <c r="BB47" s="866"/>
      <c r="BC47" s="866"/>
      <c r="BD47" s="866"/>
      <c r="BE47" s="866"/>
      <c r="BF47" s="866"/>
      <c r="BG47" s="866"/>
      <c r="BH47" s="866"/>
      <c r="BI47" s="866"/>
      <c r="BJ47" s="866"/>
      <c r="BK47" s="866"/>
      <c r="BL47" s="866"/>
      <c r="BM47" s="866"/>
      <c r="BN47" s="866"/>
      <c r="BO47" s="866"/>
      <c r="BP47" s="866"/>
      <c r="BQ47" s="866"/>
      <c r="BR47" s="866"/>
      <c r="BS47" s="866"/>
      <c r="BT47" s="866"/>
      <c r="BU47" s="866"/>
      <c r="BV47" s="866"/>
      <c r="BW47" s="866"/>
      <c r="BX47" s="867" t="s">
        <v>588</v>
      </c>
      <c r="BY47" s="868"/>
      <c r="BZ47" s="868"/>
      <c r="CA47" s="868"/>
      <c r="CB47" s="868"/>
      <c r="CC47" s="868"/>
      <c r="CD47" s="868"/>
      <c r="CE47" s="869"/>
      <c r="CF47" s="870" t="s">
        <v>852</v>
      </c>
      <c r="CG47" s="868"/>
      <c r="CH47" s="868"/>
      <c r="CI47" s="868"/>
      <c r="CJ47" s="868"/>
      <c r="CK47" s="868"/>
      <c r="CL47" s="868"/>
      <c r="CM47" s="868"/>
      <c r="CN47" s="868"/>
      <c r="CO47" s="868"/>
      <c r="CP47" s="868"/>
      <c r="CQ47" s="868"/>
      <c r="CR47" s="869"/>
      <c r="CS47" s="870" t="s">
        <v>853</v>
      </c>
      <c r="CT47" s="868"/>
      <c r="CU47" s="868"/>
      <c r="CV47" s="868"/>
      <c r="CW47" s="868"/>
      <c r="CX47" s="868"/>
      <c r="CY47" s="868"/>
      <c r="CZ47" s="868"/>
      <c r="DA47" s="868"/>
      <c r="DB47" s="868"/>
      <c r="DC47" s="868"/>
      <c r="DD47" s="868"/>
      <c r="DE47" s="869"/>
      <c r="DF47" s="871">
        <f>235800+379400+5468400+89000+106000-117800-68000</f>
        <v>6092800</v>
      </c>
      <c r="DG47" s="872"/>
      <c r="DH47" s="872"/>
      <c r="DI47" s="872"/>
      <c r="DJ47" s="872"/>
      <c r="DK47" s="872"/>
      <c r="DL47" s="872"/>
      <c r="DM47" s="872"/>
      <c r="DN47" s="872"/>
      <c r="DO47" s="872"/>
      <c r="DP47" s="872"/>
      <c r="DQ47" s="872"/>
      <c r="DR47" s="873"/>
      <c r="DS47" s="871">
        <v>5468400</v>
      </c>
      <c r="DT47" s="872"/>
      <c r="DU47" s="872"/>
      <c r="DV47" s="872"/>
      <c r="DW47" s="872"/>
      <c r="DX47" s="872"/>
      <c r="DY47" s="872"/>
      <c r="DZ47" s="872"/>
      <c r="EA47" s="872"/>
      <c r="EB47" s="872"/>
      <c r="EC47" s="872"/>
      <c r="ED47" s="872"/>
      <c r="EE47" s="873"/>
      <c r="EF47" s="871">
        <v>5624640</v>
      </c>
      <c r="EG47" s="872"/>
      <c r="EH47" s="872"/>
      <c r="EI47" s="872"/>
      <c r="EJ47" s="872"/>
      <c r="EK47" s="872"/>
      <c r="EL47" s="872"/>
      <c r="EM47" s="872"/>
      <c r="EN47" s="872"/>
      <c r="EO47" s="872"/>
      <c r="EP47" s="872"/>
      <c r="EQ47" s="872"/>
      <c r="ER47" s="873"/>
      <c r="ES47" s="874"/>
      <c r="ET47" s="875"/>
      <c r="EU47" s="875"/>
      <c r="EV47" s="875"/>
      <c r="EW47" s="875"/>
      <c r="EX47" s="875"/>
      <c r="EY47" s="875"/>
      <c r="EZ47" s="875"/>
      <c r="FA47" s="875"/>
      <c r="FB47" s="875"/>
      <c r="FC47" s="875"/>
      <c r="FD47" s="875"/>
      <c r="FE47" s="876"/>
    </row>
    <row r="48" spans="1:162" ht="11.1" customHeight="1" x14ac:dyDescent="0.2">
      <c r="A48" s="814" t="s">
        <v>589</v>
      </c>
      <c r="B48" s="814"/>
      <c r="C48" s="814"/>
      <c r="D48" s="814"/>
      <c r="E48" s="814"/>
      <c r="F48" s="814"/>
      <c r="G48" s="814"/>
      <c r="H48" s="814"/>
      <c r="I48" s="814"/>
      <c r="J48" s="814"/>
      <c r="K48" s="814"/>
      <c r="L48" s="814"/>
      <c r="M48" s="814"/>
      <c r="N48" s="814"/>
      <c r="O48" s="814"/>
      <c r="P48" s="814"/>
      <c r="Q48" s="814"/>
      <c r="R48" s="814"/>
      <c r="S48" s="814"/>
      <c r="T48" s="814"/>
      <c r="U48" s="814"/>
      <c r="V48" s="814"/>
      <c r="W48" s="814"/>
      <c r="X48" s="814"/>
      <c r="Y48" s="814"/>
      <c r="Z48" s="814"/>
      <c r="AA48" s="814"/>
      <c r="AB48" s="814"/>
      <c r="AC48" s="814"/>
      <c r="AD48" s="814"/>
      <c r="AE48" s="814"/>
      <c r="AF48" s="814"/>
      <c r="AG48" s="814"/>
      <c r="AH48" s="814"/>
      <c r="AI48" s="814"/>
      <c r="AJ48" s="814"/>
      <c r="AK48" s="814"/>
      <c r="AL48" s="814"/>
      <c r="AM48" s="814"/>
      <c r="AN48" s="814"/>
      <c r="AO48" s="814"/>
      <c r="AP48" s="814"/>
      <c r="AQ48" s="814"/>
      <c r="AR48" s="814"/>
      <c r="AS48" s="814"/>
      <c r="AT48" s="814"/>
      <c r="AU48" s="814"/>
      <c r="AV48" s="814"/>
      <c r="AW48" s="814"/>
      <c r="AX48" s="814"/>
      <c r="AY48" s="814"/>
      <c r="AZ48" s="814"/>
      <c r="BA48" s="814"/>
      <c r="BB48" s="814"/>
      <c r="BC48" s="814"/>
      <c r="BD48" s="814"/>
      <c r="BE48" s="814"/>
      <c r="BF48" s="814"/>
      <c r="BG48" s="814"/>
      <c r="BH48" s="814"/>
      <c r="BI48" s="814"/>
      <c r="BJ48" s="814"/>
      <c r="BK48" s="814"/>
      <c r="BL48" s="814"/>
      <c r="BM48" s="814"/>
      <c r="BN48" s="814"/>
      <c r="BO48" s="814"/>
      <c r="BP48" s="814"/>
      <c r="BQ48" s="814"/>
      <c r="BR48" s="814"/>
      <c r="BS48" s="814"/>
      <c r="BT48" s="814"/>
      <c r="BU48" s="814"/>
      <c r="BV48" s="814"/>
      <c r="BW48" s="815"/>
      <c r="BX48" s="816"/>
      <c r="BY48" s="817"/>
      <c r="BZ48" s="817"/>
      <c r="CA48" s="817"/>
      <c r="CB48" s="817"/>
      <c r="CC48" s="817"/>
      <c r="CD48" s="817"/>
      <c r="CE48" s="818"/>
      <c r="CF48" s="819"/>
      <c r="CG48" s="817"/>
      <c r="CH48" s="817"/>
      <c r="CI48" s="817"/>
      <c r="CJ48" s="817"/>
      <c r="CK48" s="817"/>
      <c r="CL48" s="817"/>
      <c r="CM48" s="817"/>
      <c r="CN48" s="817"/>
      <c r="CO48" s="817"/>
      <c r="CP48" s="817"/>
      <c r="CQ48" s="817"/>
      <c r="CR48" s="818"/>
      <c r="CS48" s="819"/>
      <c r="CT48" s="817"/>
      <c r="CU48" s="817"/>
      <c r="CV48" s="817"/>
      <c r="CW48" s="817"/>
      <c r="CX48" s="817"/>
      <c r="CY48" s="817"/>
      <c r="CZ48" s="817"/>
      <c r="DA48" s="817"/>
      <c r="DB48" s="817"/>
      <c r="DC48" s="817"/>
      <c r="DD48" s="817"/>
      <c r="DE48" s="818"/>
      <c r="DF48" s="807"/>
      <c r="DG48" s="808"/>
      <c r="DH48" s="808"/>
      <c r="DI48" s="808"/>
      <c r="DJ48" s="808"/>
      <c r="DK48" s="808"/>
      <c r="DL48" s="808"/>
      <c r="DM48" s="808"/>
      <c r="DN48" s="808"/>
      <c r="DO48" s="808"/>
      <c r="DP48" s="808"/>
      <c r="DQ48" s="808"/>
      <c r="DR48" s="809"/>
      <c r="DS48" s="807"/>
      <c r="DT48" s="808"/>
      <c r="DU48" s="808"/>
      <c r="DV48" s="808"/>
      <c r="DW48" s="808"/>
      <c r="DX48" s="808"/>
      <c r="DY48" s="808"/>
      <c r="DZ48" s="808"/>
      <c r="EA48" s="808"/>
      <c r="EB48" s="808"/>
      <c r="EC48" s="808"/>
      <c r="ED48" s="808"/>
      <c r="EE48" s="809"/>
      <c r="EF48" s="807"/>
      <c r="EG48" s="808"/>
      <c r="EH48" s="808"/>
      <c r="EI48" s="808"/>
      <c r="EJ48" s="808"/>
      <c r="EK48" s="808"/>
      <c r="EL48" s="808"/>
      <c r="EM48" s="808"/>
      <c r="EN48" s="808"/>
      <c r="EO48" s="808"/>
      <c r="EP48" s="808"/>
      <c r="EQ48" s="808"/>
      <c r="ER48" s="809"/>
      <c r="ES48" s="810"/>
      <c r="ET48" s="811"/>
      <c r="EU48" s="811"/>
      <c r="EV48" s="811"/>
      <c r="EW48" s="811"/>
      <c r="EX48" s="811"/>
      <c r="EY48" s="811"/>
      <c r="EZ48" s="811"/>
      <c r="FA48" s="811"/>
      <c r="FB48" s="811"/>
      <c r="FC48" s="811"/>
      <c r="FD48" s="811"/>
      <c r="FE48" s="812"/>
      <c r="FF48" s="482" t="s">
        <v>855</v>
      </c>
    </row>
    <row r="49" spans="1:164" ht="11.1" customHeight="1" x14ac:dyDescent="0.2">
      <c r="A49" s="813" t="s">
        <v>268</v>
      </c>
      <c r="B49" s="814"/>
      <c r="C49" s="814"/>
      <c r="D49" s="814"/>
      <c r="E49" s="814"/>
      <c r="F49" s="814"/>
      <c r="G49" s="814"/>
      <c r="H49" s="814"/>
      <c r="I49" s="814"/>
      <c r="J49" s="814"/>
      <c r="K49" s="814"/>
      <c r="L49" s="814"/>
      <c r="M49" s="814"/>
      <c r="N49" s="814"/>
      <c r="O49" s="814"/>
      <c r="P49" s="814"/>
      <c r="Q49" s="814"/>
      <c r="R49" s="814"/>
      <c r="S49" s="814"/>
      <c r="T49" s="814"/>
      <c r="U49" s="814"/>
      <c r="V49" s="814"/>
      <c r="W49" s="814"/>
      <c r="X49" s="814"/>
      <c r="Y49" s="814"/>
      <c r="Z49" s="814"/>
      <c r="AA49" s="814"/>
      <c r="AB49" s="814"/>
      <c r="AC49" s="814"/>
      <c r="AD49" s="814"/>
      <c r="AE49" s="814"/>
      <c r="AF49" s="814"/>
      <c r="AG49" s="814"/>
      <c r="AH49" s="814"/>
      <c r="AI49" s="814"/>
      <c r="AJ49" s="814"/>
      <c r="AK49" s="814"/>
      <c r="AL49" s="814"/>
      <c r="AM49" s="814"/>
      <c r="AN49" s="814"/>
      <c r="AO49" s="814"/>
      <c r="AP49" s="814"/>
      <c r="AQ49" s="814"/>
      <c r="AR49" s="814"/>
      <c r="AS49" s="814"/>
      <c r="AT49" s="814"/>
      <c r="AU49" s="814"/>
      <c r="AV49" s="814"/>
      <c r="AW49" s="814"/>
      <c r="AX49" s="814"/>
      <c r="AY49" s="814"/>
      <c r="AZ49" s="814"/>
      <c r="BA49" s="814"/>
      <c r="BB49" s="814"/>
      <c r="BC49" s="814"/>
      <c r="BD49" s="814"/>
      <c r="BE49" s="814"/>
      <c r="BF49" s="814"/>
      <c r="BG49" s="814"/>
      <c r="BH49" s="814"/>
      <c r="BI49" s="814"/>
      <c r="BJ49" s="814"/>
      <c r="BK49" s="814"/>
      <c r="BL49" s="814"/>
      <c r="BM49" s="814"/>
      <c r="BN49" s="814"/>
      <c r="BO49" s="814"/>
      <c r="BP49" s="814"/>
      <c r="BQ49" s="814"/>
      <c r="BR49" s="814"/>
      <c r="BS49" s="814"/>
      <c r="BT49" s="814"/>
      <c r="BU49" s="814"/>
      <c r="BV49" s="814"/>
      <c r="BW49" s="815"/>
      <c r="BX49" s="782" t="s">
        <v>590</v>
      </c>
      <c r="BY49" s="783"/>
      <c r="BZ49" s="783"/>
      <c r="CA49" s="783"/>
      <c r="CB49" s="783"/>
      <c r="CC49" s="783"/>
      <c r="CD49" s="783"/>
      <c r="CE49" s="784"/>
      <c r="CF49" s="785" t="s">
        <v>852</v>
      </c>
      <c r="CG49" s="783"/>
      <c r="CH49" s="783"/>
      <c r="CI49" s="783"/>
      <c r="CJ49" s="783"/>
      <c r="CK49" s="783"/>
      <c r="CL49" s="783"/>
      <c r="CM49" s="783"/>
      <c r="CN49" s="783"/>
      <c r="CO49" s="783"/>
      <c r="CP49" s="783"/>
      <c r="CQ49" s="783"/>
      <c r="CR49" s="784"/>
      <c r="CS49" s="785"/>
      <c r="CT49" s="783"/>
      <c r="CU49" s="783"/>
      <c r="CV49" s="783"/>
      <c r="CW49" s="783"/>
      <c r="CX49" s="783"/>
      <c r="CY49" s="783"/>
      <c r="CZ49" s="783"/>
      <c r="DA49" s="783"/>
      <c r="DB49" s="783"/>
      <c r="DC49" s="783"/>
      <c r="DD49" s="783"/>
      <c r="DE49" s="784"/>
      <c r="DF49" s="776"/>
      <c r="DG49" s="777"/>
      <c r="DH49" s="777"/>
      <c r="DI49" s="777"/>
      <c r="DJ49" s="777"/>
      <c r="DK49" s="777"/>
      <c r="DL49" s="777"/>
      <c r="DM49" s="777"/>
      <c r="DN49" s="777"/>
      <c r="DO49" s="777"/>
      <c r="DP49" s="777"/>
      <c r="DQ49" s="777"/>
      <c r="DR49" s="778"/>
      <c r="DS49" s="776"/>
      <c r="DT49" s="777"/>
      <c r="DU49" s="777"/>
      <c r="DV49" s="777"/>
      <c r="DW49" s="777"/>
      <c r="DX49" s="777"/>
      <c r="DY49" s="777"/>
      <c r="DZ49" s="777"/>
      <c r="EA49" s="777"/>
      <c r="EB49" s="777"/>
      <c r="EC49" s="777"/>
      <c r="ED49" s="777"/>
      <c r="EE49" s="778"/>
      <c r="EF49" s="776"/>
      <c r="EG49" s="777"/>
      <c r="EH49" s="777"/>
      <c r="EI49" s="777"/>
      <c r="EJ49" s="777"/>
      <c r="EK49" s="777"/>
      <c r="EL49" s="777"/>
      <c r="EM49" s="777"/>
      <c r="EN49" s="777"/>
      <c r="EO49" s="777"/>
      <c r="EP49" s="777"/>
      <c r="EQ49" s="777"/>
      <c r="ER49" s="778"/>
      <c r="ES49" s="779"/>
      <c r="ET49" s="780"/>
      <c r="EU49" s="780"/>
      <c r="EV49" s="780"/>
      <c r="EW49" s="780"/>
      <c r="EX49" s="780"/>
      <c r="EY49" s="780"/>
      <c r="EZ49" s="780"/>
      <c r="FA49" s="780"/>
      <c r="FB49" s="780"/>
      <c r="FC49" s="780"/>
      <c r="FD49" s="780"/>
      <c r="FE49" s="781"/>
    </row>
    <row r="50" spans="1:164" ht="11.1" customHeight="1" x14ac:dyDescent="0.2">
      <c r="A50" s="877"/>
      <c r="B50" s="878"/>
      <c r="C50" s="878"/>
      <c r="D50" s="878"/>
      <c r="E50" s="878"/>
      <c r="F50" s="878"/>
      <c r="G50" s="878"/>
      <c r="H50" s="878"/>
      <c r="I50" s="878"/>
      <c r="J50" s="878"/>
      <c r="K50" s="878"/>
      <c r="L50" s="878"/>
      <c r="M50" s="878"/>
      <c r="N50" s="878"/>
      <c r="O50" s="878"/>
      <c r="P50" s="878"/>
      <c r="Q50" s="878"/>
      <c r="R50" s="878"/>
      <c r="S50" s="878"/>
      <c r="T50" s="878"/>
      <c r="U50" s="878"/>
      <c r="V50" s="878"/>
      <c r="W50" s="878"/>
      <c r="X50" s="878"/>
      <c r="Y50" s="878"/>
      <c r="Z50" s="878"/>
      <c r="AA50" s="878"/>
      <c r="AB50" s="878"/>
      <c r="AC50" s="878"/>
      <c r="AD50" s="878"/>
      <c r="AE50" s="878"/>
      <c r="AF50" s="878"/>
      <c r="AG50" s="878"/>
      <c r="AH50" s="878"/>
      <c r="AI50" s="878"/>
      <c r="AJ50" s="878"/>
      <c r="AK50" s="878"/>
      <c r="AL50" s="878"/>
      <c r="AM50" s="878"/>
      <c r="AN50" s="878"/>
      <c r="AO50" s="878"/>
      <c r="AP50" s="878"/>
      <c r="AQ50" s="878"/>
      <c r="AR50" s="878"/>
      <c r="AS50" s="878"/>
      <c r="AT50" s="878"/>
      <c r="AU50" s="878"/>
      <c r="AV50" s="878"/>
      <c r="AW50" s="878"/>
      <c r="AX50" s="878"/>
      <c r="AY50" s="878"/>
      <c r="AZ50" s="878"/>
      <c r="BA50" s="878"/>
      <c r="BB50" s="878"/>
      <c r="BC50" s="878"/>
      <c r="BD50" s="878"/>
      <c r="BE50" s="878"/>
      <c r="BF50" s="878"/>
      <c r="BG50" s="878"/>
      <c r="BH50" s="878"/>
      <c r="BI50" s="878"/>
      <c r="BJ50" s="878"/>
      <c r="BK50" s="878"/>
      <c r="BL50" s="878"/>
      <c r="BM50" s="878"/>
      <c r="BN50" s="878"/>
      <c r="BO50" s="878"/>
      <c r="BP50" s="878"/>
      <c r="BQ50" s="878"/>
      <c r="BR50" s="878"/>
      <c r="BS50" s="878"/>
      <c r="BT50" s="878"/>
      <c r="BU50" s="878"/>
      <c r="BV50" s="878"/>
      <c r="BW50" s="879"/>
      <c r="BX50" s="782"/>
      <c r="BY50" s="783"/>
      <c r="BZ50" s="783"/>
      <c r="CA50" s="783"/>
      <c r="CB50" s="783"/>
      <c r="CC50" s="783"/>
      <c r="CD50" s="783"/>
      <c r="CE50" s="784"/>
      <c r="CF50" s="785"/>
      <c r="CG50" s="783"/>
      <c r="CH50" s="783"/>
      <c r="CI50" s="783"/>
      <c r="CJ50" s="783"/>
      <c r="CK50" s="783"/>
      <c r="CL50" s="783"/>
      <c r="CM50" s="783"/>
      <c r="CN50" s="783"/>
      <c r="CO50" s="783"/>
      <c r="CP50" s="783"/>
      <c r="CQ50" s="783"/>
      <c r="CR50" s="784"/>
      <c r="CS50" s="785"/>
      <c r="CT50" s="783"/>
      <c r="CU50" s="783"/>
      <c r="CV50" s="783"/>
      <c r="CW50" s="783"/>
      <c r="CX50" s="783"/>
      <c r="CY50" s="783"/>
      <c r="CZ50" s="783"/>
      <c r="DA50" s="783"/>
      <c r="DB50" s="783"/>
      <c r="DC50" s="783"/>
      <c r="DD50" s="783"/>
      <c r="DE50" s="784"/>
      <c r="DF50" s="776"/>
      <c r="DG50" s="777"/>
      <c r="DH50" s="777"/>
      <c r="DI50" s="777"/>
      <c r="DJ50" s="777"/>
      <c r="DK50" s="777"/>
      <c r="DL50" s="777"/>
      <c r="DM50" s="777"/>
      <c r="DN50" s="777"/>
      <c r="DO50" s="777"/>
      <c r="DP50" s="777"/>
      <c r="DQ50" s="777"/>
      <c r="DR50" s="778"/>
      <c r="DS50" s="776"/>
      <c r="DT50" s="777"/>
      <c r="DU50" s="777"/>
      <c r="DV50" s="777"/>
      <c r="DW50" s="777"/>
      <c r="DX50" s="777"/>
      <c r="DY50" s="777"/>
      <c r="DZ50" s="777"/>
      <c r="EA50" s="777"/>
      <c r="EB50" s="777"/>
      <c r="EC50" s="777"/>
      <c r="ED50" s="777"/>
      <c r="EE50" s="778"/>
      <c r="EF50" s="776"/>
      <c r="EG50" s="777"/>
      <c r="EH50" s="777"/>
      <c r="EI50" s="777"/>
      <c r="EJ50" s="777"/>
      <c r="EK50" s="777"/>
      <c r="EL50" s="777"/>
      <c r="EM50" s="777"/>
      <c r="EN50" s="777"/>
      <c r="EO50" s="777"/>
      <c r="EP50" s="777"/>
      <c r="EQ50" s="777"/>
      <c r="ER50" s="778"/>
      <c r="ES50" s="779"/>
      <c r="ET50" s="780"/>
      <c r="EU50" s="780"/>
      <c r="EV50" s="780"/>
      <c r="EW50" s="780"/>
      <c r="EX50" s="780"/>
      <c r="EY50" s="780"/>
      <c r="EZ50" s="780"/>
      <c r="FA50" s="780"/>
      <c r="FB50" s="780"/>
      <c r="FC50" s="780"/>
      <c r="FD50" s="780"/>
      <c r="FE50" s="781"/>
    </row>
    <row r="51" spans="1:164" ht="11.1" customHeight="1" x14ac:dyDescent="0.2">
      <c r="A51" s="877" t="s">
        <v>591</v>
      </c>
      <c r="B51" s="878"/>
      <c r="C51" s="878"/>
      <c r="D51" s="878"/>
      <c r="E51" s="878"/>
      <c r="F51" s="878"/>
      <c r="G51" s="878"/>
      <c r="H51" s="878"/>
      <c r="I51" s="878"/>
      <c r="J51" s="878"/>
      <c r="K51" s="878"/>
      <c r="L51" s="878"/>
      <c r="M51" s="878"/>
      <c r="N51" s="878"/>
      <c r="O51" s="878"/>
      <c r="P51" s="878"/>
      <c r="Q51" s="878"/>
      <c r="R51" s="878"/>
      <c r="S51" s="878"/>
      <c r="T51" s="878"/>
      <c r="U51" s="878"/>
      <c r="V51" s="878"/>
      <c r="W51" s="878"/>
      <c r="X51" s="878"/>
      <c r="Y51" s="878"/>
      <c r="Z51" s="878"/>
      <c r="AA51" s="878"/>
      <c r="AB51" s="878"/>
      <c r="AC51" s="878"/>
      <c r="AD51" s="878"/>
      <c r="AE51" s="878"/>
      <c r="AF51" s="878"/>
      <c r="AG51" s="878"/>
      <c r="AH51" s="878"/>
      <c r="AI51" s="878"/>
      <c r="AJ51" s="878"/>
      <c r="AK51" s="878"/>
      <c r="AL51" s="878"/>
      <c r="AM51" s="878"/>
      <c r="AN51" s="878"/>
      <c r="AO51" s="878"/>
      <c r="AP51" s="878"/>
      <c r="AQ51" s="878"/>
      <c r="AR51" s="878"/>
      <c r="AS51" s="878"/>
      <c r="AT51" s="878"/>
      <c r="AU51" s="878"/>
      <c r="AV51" s="878"/>
      <c r="AW51" s="878"/>
      <c r="AX51" s="878"/>
      <c r="AY51" s="878"/>
      <c r="AZ51" s="878"/>
      <c r="BA51" s="878"/>
      <c r="BB51" s="878"/>
      <c r="BC51" s="878"/>
      <c r="BD51" s="878"/>
      <c r="BE51" s="878"/>
      <c r="BF51" s="878"/>
      <c r="BG51" s="878"/>
      <c r="BH51" s="878"/>
      <c r="BI51" s="878"/>
      <c r="BJ51" s="878"/>
      <c r="BK51" s="878"/>
      <c r="BL51" s="878"/>
      <c r="BM51" s="878"/>
      <c r="BN51" s="878"/>
      <c r="BO51" s="878"/>
      <c r="BP51" s="878"/>
      <c r="BQ51" s="878"/>
      <c r="BR51" s="878"/>
      <c r="BS51" s="878"/>
      <c r="BT51" s="878"/>
      <c r="BU51" s="878"/>
      <c r="BV51" s="878"/>
      <c r="BW51" s="879"/>
      <c r="BX51" s="782" t="s">
        <v>856</v>
      </c>
      <c r="BY51" s="783"/>
      <c r="BZ51" s="783"/>
      <c r="CA51" s="783"/>
      <c r="CB51" s="783"/>
      <c r="CC51" s="783"/>
      <c r="CD51" s="783"/>
      <c r="CE51" s="784"/>
      <c r="CF51" s="785" t="s">
        <v>857</v>
      </c>
      <c r="CG51" s="783"/>
      <c r="CH51" s="783"/>
      <c r="CI51" s="783"/>
      <c r="CJ51" s="783"/>
      <c r="CK51" s="783"/>
      <c r="CL51" s="783"/>
      <c r="CM51" s="783"/>
      <c r="CN51" s="783"/>
      <c r="CO51" s="783"/>
      <c r="CP51" s="783"/>
      <c r="CQ51" s="783"/>
      <c r="CR51" s="784"/>
      <c r="CS51" s="785"/>
      <c r="CT51" s="783"/>
      <c r="CU51" s="783"/>
      <c r="CV51" s="783"/>
      <c r="CW51" s="783"/>
      <c r="CX51" s="783"/>
      <c r="CY51" s="783"/>
      <c r="CZ51" s="783"/>
      <c r="DA51" s="783"/>
      <c r="DB51" s="783"/>
      <c r="DC51" s="783"/>
      <c r="DD51" s="783"/>
      <c r="DE51" s="784"/>
      <c r="DF51" s="776"/>
      <c r="DG51" s="777"/>
      <c r="DH51" s="777"/>
      <c r="DI51" s="777"/>
      <c r="DJ51" s="777"/>
      <c r="DK51" s="777"/>
      <c r="DL51" s="777"/>
      <c r="DM51" s="777"/>
      <c r="DN51" s="777"/>
      <c r="DO51" s="777"/>
      <c r="DP51" s="777"/>
      <c r="DQ51" s="777"/>
      <c r="DR51" s="778"/>
      <c r="DS51" s="776"/>
      <c r="DT51" s="777"/>
      <c r="DU51" s="777"/>
      <c r="DV51" s="777"/>
      <c r="DW51" s="777"/>
      <c r="DX51" s="777"/>
      <c r="DY51" s="777"/>
      <c r="DZ51" s="777"/>
      <c r="EA51" s="777"/>
      <c r="EB51" s="777"/>
      <c r="EC51" s="777"/>
      <c r="ED51" s="777"/>
      <c r="EE51" s="778"/>
      <c r="EF51" s="776"/>
      <c r="EG51" s="777"/>
      <c r="EH51" s="777"/>
      <c r="EI51" s="777"/>
      <c r="EJ51" s="777"/>
      <c r="EK51" s="777"/>
      <c r="EL51" s="777"/>
      <c r="EM51" s="777"/>
      <c r="EN51" s="777"/>
      <c r="EO51" s="777"/>
      <c r="EP51" s="777"/>
      <c r="EQ51" s="777"/>
      <c r="ER51" s="778"/>
      <c r="ES51" s="779"/>
      <c r="ET51" s="780"/>
      <c r="EU51" s="780"/>
      <c r="EV51" s="780"/>
      <c r="EW51" s="780"/>
      <c r="EX51" s="780"/>
      <c r="EY51" s="780"/>
      <c r="EZ51" s="780"/>
      <c r="FA51" s="780"/>
      <c r="FB51" s="780"/>
      <c r="FC51" s="780"/>
      <c r="FD51" s="780"/>
      <c r="FE51" s="781"/>
    </row>
    <row r="52" spans="1:164" ht="11.1" customHeight="1" x14ac:dyDescent="0.2">
      <c r="A52" s="866" t="s">
        <v>9</v>
      </c>
      <c r="B52" s="866"/>
      <c r="C52" s="866"/>
      <c r="D52" s="866"/>
      <c r="E52" s="866"/>
      <c r="F52" s="866"/>
      <c r="G52" s="866"/>
      <c r="H52" s="866"/>
      <c r="I52" s="866"/>
      <c r="J52" s="866"/>
      <c r="K52" s="866"/>
      <c r="L52" s="866"/>
      <c r="M52" s="866"/>
      <c r="N52" s="866"/>
      <c r="O52" s="866"/>
      <c r="P52" s="866"/>
      <c r="Q52" s="866"/>
      <c r="R52" s="866"/>
      <c r="S52" s="866"/>
      <c r="T52" s="866"/>
      <c r="U52" s="866"/>
      <c r="V52" s="866"/>
      <c r="W52" s="866"/>
      <c r="X52" s="866"/>
      <c r="Y52" s="866"/>
      <c r="Z52" s="866"/>
      <c r="AA52" s="866"/>
      <c r="AB52" s="866"/>
      <c r="AC52" s="866"/>
      <c r="AD52" s="866"/>
      <c r="AE52" s="866"/>
      <c r="AF52" s="866"/>
      <c r="AG52" s="866"/>
      <c r="AH52" s="866"/>
      <c r="AI52" s="866"/>
      <c r="AJ52" s="866"/>
      <c r="AK52" s="866"/>
      <c r="AL52" s="866"/>
      <c r="AM52" s="866"/>
      <c r="AN52" s="866"/>
      <c r="AO52" s="866"/>
      <c r="AP52" s="866"/>
      <c r="AQ52" s="866"/>
      <c r="AR52" s="866"/>
      <c r="AS52" s="866"/>
      <c r="AT52" s="866"/>
      <c r="AU52" s="866"/>
      <c r="AV52" s="866"/>
      <c r="AW52" s="866"/>
      <c r="AX52" s="866"/>
      <c r="AY52" s="866"/>
      <c r="AZ52" s="866"/>
      <c r="BA52" s="866"/>
      <c r="BB52" s="866"/>
      <c r="BC52" s="866"/>
      <c r="BD52" s="866"/>
      <c r="BE52" s="866"/>
      <c r="BF52" s="866"/>
      <c r="BG52" s="866"/>
      <c r="BH52" s="866"/>
      <c r="BI52" s="866"/>
      <c r="BJ52" s="866"/>
      <c r="BK52" s="866"/>
      <c r="BL52" s="866"/>
      <c r="BM52" s="866"/>
      <c r="BN52" s="866"/>
      <c r="BO52" s="866"/>
      <c r="BP52" s="866"/>
      <c r="BQ52" s="866"/>
      <c r="BR52" s="866"/>
      <c r="BS52" s="866"/>
      <c r="BT52" s="866"/>
      <c r="BU52" s="866"/>
      <c r="BV52" s="866"/>
      <c r="BW52" s="866"/>
      <c r="BX52" s="867"/>
      <c r="BY52" s="868"/>
      <c r="BZ52" s="868"/>
      <c r="CA52" s="868"/>
      <c r="CB52" s="868"/>
      <c r="CC52" s="868"/>
      <c r="CD52" s="868"/>
      <c r="CE52" s="869"/>
      <c r="CF52" s="870"/>
      <c r="CG52" s="868"/>
      <c r="CH52" s="868"/>
      <c r="CI52" s="868"/>
      <c r="CJ52" s="868"/>
      <c r="CK52" s="868"/>
      <c r="CL52" s="868"/>
      <c r="CM52" s="868"/>
      <c r="CN52" s="868"/>
      <c r="CO52" s="868"/>
      <c r="CP52" s="868"/>
      <c r="CQ52" s="868"/>
      <c r="CR52" s="869"/>
      <c r="CS52" s="870"/>
      <c r="CT52" s="868"/>
      <c r="CU52" s="868"/>
      <c r="CV52" s="868"/>
      <c r="CW52" s="868"/>
      <c r="CX52" s="868"/>
      <c r="CY52" s="868"/>
      <c r="CZ52" s="868"/>
      <c r="DA52" s="868"/>
      <c r="DB52" s="868"/>
      <c r="DC52" s="868"/>
      <c r="DD52" s="868"/>
      <c r="DE52" s="869"/>
      <c r="DF52" s="871"/>
      <c r="DG52" s="872"/>
      <c r="DH52" s="872"/>
      <c r="DI52" s="872"/>
      <c r="DJ52" s="872"/>
      <c r="DK52" s="872"/>
      <c r="DL52" s="872"/>
      <c r="DM52" s="872"/>
      <c r="DN52" s="872"/>
      <c r="DO52" s="872"/>
      <c r="DP52" s="872"/>
      <c r="DQ52" s="872"/>
      <c r="DR52" s="873"/>
      <c r="DS52" s="871"/>
      <c r="DT52" s="872"/>
      <c r="DU52" s="872"/>
      <c r="DV52" s="872"/>
      <c r="DW52" s="872"/>
      <c r="DX52" s="872"/>
      <c r="DY52" s="872"/>
      <c r="DZ52" s="872"/>
      <c r="EA52" s="872"/>
      <c r="EB52" s="872"/>
      <c r="EC52" s="872"/>
      <c r="ED52" s="872"/>
      <c r="EE52" s="873"/>
      <c r="EF52" s="871"/>
      <c r="EG52" s="872"/>
      <c r="EH52" s="872"/>
      <c r="EI52" s="872"/>
      <c r="EJ52" s="872"/>
      <c r="EK52" s="872"/>
      <c r="EL52" s="872"/>
      <c r="EM52" s="872"/>
      <c r="EN52" s="872"/>
      <c r="EO52" s="872"/>
      <c r="EP52" s="872"/>
      <c r="EQ52" s="872"/>
      <c r="ER52" s="873"/>
      <c r="ES52" s="874"/>
      <c r="ET52" s="875"/>
      <c r="EU52" s="875"/>
      <c r="EV52" s="875"/>
      <c r="EW52" s="875"/>
      <c r="EX52" s="875"/>
      <c r="EY52" s="875"/>
      <c r="EZ52" s="875"/>
      <c r="FA52" s="875"/>
      <c r="FB52" s="875"/>
      <c r="FC52" s="875"/>
      <c r="FD52" s="875"/>
      <c r="FE52" s="876"/>
    </row>
    <row r="53" spans="1:164" ht="11.1" customHeight="1" x14ac:dyDescent="0.2">
      <c r="A53" s="814"/>
      <c r="B53" s="814"/>
      <c r="C53" s="814"/>
      <c r="D53" s="814"/>
      <c r="E53" s="814"/>
      <c r="F53" s="814"/>
      <c r="G53" s="814"/>
      <c r="H53" s="814"/>
      <c r="I53" s="814"/>
      <c r="J53" s="814"/>
      <c r="K53" s="814"/>
      <c r="L53" s="814"/>
      <c r="M53" s="814"/>
      <c r="N53" s="814"/>
      <c r="O53" s="814"/>
      <c r="P53" s="814"/>
      <c r="Q53" s="814"/>
      <c r="R53" s="814"/>
      <c r="S53" s="814"/>
      <c r="T53" s="814"/>
      <c r="U53" s="814"/>
      <c r="V53" s="814"/>
      <c r="W53" s="814"/>
      <c r="X53" s="814"/>
      <c r="Y53" s="814"/>
      <c r="Z53" s="814"/>
      <c r="AA53" s="814"/>
      <c r="AB53" s="814"/>
      <c r="AC53" s="814"/>
      <c r="AD53" s="814"/>
      <c r="AE53" s="814"/>
      <c r="AF53" s="814"/>
      <c r="AG53" s="814"/>
      <c r="AH53" s="814"/>
      <c r="AI53" s="814"/>
      <c r="AJ53" s="814"/>
      <c r="AK53" s="814"/>
      <c r="AL53" s="814"/>
      <c r="AM53" s="814"/>
      <c r="AN53" s="814"/>
      <c r="AO53" s="814"/>
      <c r="AP53" s="814"/>
      <c r="AQ53" s="814"/>
      <c r="AR53" s="814"/>
      <c r="AS53" s="814"/>
      <c r="AT53" s="814"/>
      <c r="AU53" s="814"/>
      <c r="AV53" s="814"/>
      <c r="AW53" s="814"/>
      <c r="AX53" s="814"/>
      <c r="AY53" s="814"/>
      <c r="AZ53" s="814"/>
      <c r="BA53" s="814"/>
      <c r="BB53" s="814"/>
      <c r="BC53" s="814"/>
      <c r="BD53" s="814"/>
      <c r="BE53" s="814"/>
      <c r="BF53" s="814"/>
      <c r="BG53" s="814"/>
      <c r="BH53" s="814"/>
      <c r="BI53" s="814"/>
      <c r="BJ53" s="814"/>
      <c r="BK53" s="814"/>
      <c r="BL53" s="814"/>
      <c r="BM53" s="814"/>
      <c r="BN53" s="814"/>
      <c r="BO53" s="814"/>
      <c r="BP53" s="814"/>
      <c r="BQ53" s="814"/>
      <c r="BR53" s="814"/>
      <c r="BS53" s="814"/>
      <c r="BT53" s="814"/>
      <c r="BU53" s="814"/>
      <c r="BV53" s="814"/>
      <c r="BW53" s="815"/>
      <c r="BX53" s="816"/>
      <c r="BY53" s="817"/>
      <c r="BZ53" s="817"/>
      <c r="CA53" s="817"/>
      <c r="CB53" s="817"/>
      <c r="CC53" s="817"/>
      <c r="CD53" s="817"/>
      <c r="CE53" s="818"/>
      <c r="CF53" s="819"/>
      <c r="CG53" s="817"/>
      <c r="CH53" s="817"/>
      <c r="CI53" s="817"/>
      <c r="CJ53" s="817"/>
      <c r="CK53" s="817"/>
      <c r="CL53" s="817"/>
      <c r="CM53" s="817"/>
      <c r="CN53" s="817"/>
      <c r="CO53" s="817"/>
      <c r="CP53" s="817"/>
      <c r="CQ53" s="817"/>
      <c r="CR53" s="818"/>
      <c r="CS53" s="819"/>
      <c r="CT53" s="817"/>
      <c r="CU53" s="817"/>
      <c r="CV53" s="817"/>
      <c r="CW53" s="817"/>
      <c r="CX53" s="817"/>
      <c r="CY53" s="817"/>
      <c r="CZ53" s="817"/>
      <c r="DA53" s="817"/>
      <c r="DB53" s="817"/>
      <c r="DC53" s="817"/>
      <c r="DD53" s="817"/>
      <c r="DE53" s="818"/>
      <c r="DF53" s="807"/>
      <c r="DG53" s="808"/>
      <c r="DH53" s="808"/>
      <c r="DI53" s="808"/>
      <c r="DJ53" s="808"/>
      <c r="DK53" s="808"/>
      <c r="DL53" s="808"/>
      <c r="DM53" s="808"/>
      <c r="DN53" s="808"/>
      <c r="DO53" s="808"/>
      <c r="DP53" s="808"/>
      <c r="DQ53" s="808"/>
      <c r="DR53" s="809"/>
      <c r="DS53" s="807"/>
      <c r="DT53" s="808"/>
      <c r="DU53" s="808"/>
      <c r="DV53" s="808"/>
      <c r="DW53" s="808"/>
      <c r="DX53" s="808"/>
      <c r="DY53" s="808"/>
      <c r="DZ53" s="808"/>
      <c r="EA53" s="808"/>
      <c r="EB53" s="808"/>
      <c r="EC53" s="808"/>
      <c r="ED53" s="808"/>
      <c r="EE53" s="809"/>
      <c r="EF53" s="807"/>
      <c r="EG53" s="808"/>
      <c r="EH53" s="808"/>
      <c r="EI53" s="808"/>
      <c r="EJ53" s="808"/>
      <c r="EK53" s="808"/>
      <c r="EL53" s="808"/>
      <c r="EM53" s="808"/>
      <c r="EN53" s="808"/>
      <c r="EO53" s="808"/>
      <c r="EP53" s="808"/>
      <c r="EQ53" s="808"/>
      <c r="ER53" s="809"/>
      <c r="ES53" s="810"/>
      <c r="ET53" s="811"/>
      <c r="EU53" s="811"/>
      <c r="EV53" s="811"/>
      <c r="EW53" s="811"/>
      <c r="EX53" s="811"/>
      <c r="EY53" s="811"/>
      <c r="EZ53" s="811"/>
      <c r="FA53" s="811"/>
      <c r="FB53" s="811"/>
      <c r="FC53" s="811"/>
      <c r="FD53" s="811"/>
      <c r="FE53" s="812"/>
    </row>
    <row r="54" spans="1:164" ht="11.1" customHeight="1" x14ac:dyDescent="0.2">
      <c r="A54" s="813"/>
      <c r="B54" s="814"/>
      <c r="C54" s="814"/>
      <c r="D54" s="814"/>
      <c r="E54" s="814"/>
      <c r="F54" s="814"/>
      <c r="G54" s="814"/>
      <c r="H54" s="814"/>
      <c r="I54" s="814"/>
      <c r="J54" s="814"/>
      <c r="K54" s="814"/>
      <c r="L54" s="814"/>
      <c r="M54" s="814"/>
      <c r="N54" s="814"/>
      <c r="O54" s="814"/>
      <c r="P54" s="814"/>
      <c r="Q54" s="814"/>
      <c r="R54" s="814"/>
      <c r="S54" s="814"/>
      <c r="T54" s="814"/>
      <c r="U54" s="814"/>
      <c r="V54" s="814"/>
      <c r="W54" s="814"/>
      <c r="X54" s="814"/>
      <c r="Y54" s="814"/>
      <c r="Z54" s="814"/>
      <c r="AA54" s="814"/>
      <c r="AB54" s="814"/>
      <c r="AC54" s="814"/>
      <c r="AD54" s="814"/>
      <c r="AE54" s="814"/>
      <c r="AF54" s="814"/>
      <c r="AG54" s="814"/>
      <c r="AH54" s="814"/>
      <c r="AI54" s="814"/>
      <c r="AJ54" s="814"/>
      <c r="AK54" s="814"/>
      <c r="AL54" s="814"/>
      <c r="AM54" s="814"/>
      <c r="AN54" s="814"/>
      <c r="AO54" s="814"/>
      <c r="AP54" s="814"/>
      <c r="AQ54" s="814"/>
      <c r="AR54" s="814"/>
      <c r="AS54" s="814"/>
      <c r="AT54" s="814"/>
      <c r="AU54" s="814"/>
      <c r="AV54" s="814"/>
      <c r="AW54" s="814"/>
      <c r="AX54" s="814"/>
      <c r="AY54" s="814"/>
      <c r="AZ54" s="814"/>
      <c r="BA54" s="814"/>
      <c r="BB54" s="814"/>
      <c r="BC54" s="814"/>
      <c r="BD54" s="814"/>
      <c r="BE54" s="814"/>
      <c r="BF54" s="814"/>
      <c r="BG54" s="814"/>
      <c r="BH54" s="814"/>
      <c r="BI54" s="814"/>
      <c r="BJ54" s="814"/>
      <c r="BK54" s="814"/>
      <c r="BL54" s="814"/>
      <c r="BM54" s="814"/>
      <c r="BN54" s="814"/>
      <c r="BO54" s="814"/>
      <c r="BP54" s="814"/>
      <c r="BQ54" s="814"/>
      <c r="BR54" s="814"/>
      <c r="BS54" s="814"/>
      <c r="BT54" s="814"/>
      <c r="BU54" s="814"/>
      <c r="BV54" s="814"/>
      <c r="BW54" s="815"/>
      <c r="BX54" s="782"/>
      <c r="BY54" s="783"/>
      <c r="BZ54" s="783"/>
      <c r="CA54" s="783"/>
      <c r="CB54" s="783"/>
      <c r="CC54" s="783"/>
      <c r="CD54" s="783"/>
      <c r="CE54" s="784"/>
      <c r="CF54" s="785"/>
      <c r="CG54" s="783"/>
      <c r="CH54" s="783"/>
      <c r="CI54" s="783"/>
      <c r="CJ54" s="783"/>
      <c r="CK54" s="783"/>
      <c r="CL54" s="783"/>
      <c r="CM54" s="783"/>
      <c r="CN54" s="783"/>
      <c r="CO54" s="783"/>
      <c r="CP54" s="783"/>
      <c r="CQ54" s="783"/>
      <c r="CR54" s="784"/>
      <c r="CS54" s="785"/>
      <c r="CT54" s="783"/>
      <c r="CU54" s="783"/>
      <c r="CV54" s="783"/>
      <c r="CW54" s="783"/>
      <c r="CX54" s="783"/>
      <c r="CY54" s="783"/>
      <c r="CZ54" s="783"/>
      <c r="DA54" s="783"/>
      <c r="DB54" s="783"/>
      <c r="DC54" s="783"/>
      <c r="DD54" s="783"/>
      <c r="DE54" s="784"/>
      <c r="DF54" s="776"/>
      <c r="DG54" s="777"/>
      <c r="DH54" s="777"/>
      <c r="DI54" s="777"/>
      <c r="DJ54" s="777"/>
      <c r="DK54" s="777"/>
      <c r="DL54" s="777"/>
      <c r="DM54" s="777"/>
      <c r="DN54" s="777"/>
      <c r="DO54" s="777"/>
      <c r="DP54" s="777"/>
      <c r="DQ54" s="777"/>
      <c r="DR54" s="778"/>
      <c r="DS54" s="776"/>
      <c r="DT54" s="777"/>
      <c r="DU54" s="777"/>
      <c r="DV54" s="777"/>
      <c r="DW54" s="777"/>
      <c r="DX54" s="777"/>
      <c r="DY54" s="777"/>
      <c r="DZ54" s="777"/>
      <c r="EA54" s="777"/>
      <c r="EB54" s="777"/>
      <c r="EC54" s="777"/>
      <c r="ED54" s="777"/>
      <c r="EE54" s="778"/>
      <c r="EF54" s="776"/>
      <c r="EG54" s="777"/>
      <c r="EH54" s="777"/>
      <c r="EI54" s="777"/>
      <c r="EJ54" s="777"/>
      <c r="EK54" s="777"/>
      <c r="EL54" s="777"/>
      <c r="EM54" s="777"/>
      <c r="EN54" s="777"/>
      <c r="EO54" s="777"/>
      <c r="EP54" s="777"/>
      <c r="EQ54" s="777"/>
      <c r="ER54" s="778"/>
      <c r="ES54" s="779"/>
      <c r="ET54" s="780"/>
      <c r="EU54" s="780"/>
      <c r="EV54" s="780"/>
      <c r="EW54" s="780"/>
      <c r="EX54" s="780"/>
      <c r="EY54" s="780"/>
      <c r="EZ54" s="780"/>
      <c r="FA54" s="780"/>
      <c r="FB54" s="780"/>
      <c r="FC54" s="780"/>
      <c r="FD54" s="780"/>
      <c r="FE54" s="781"/>
    </row>
    <row r="55" spans="1:164" ht="11.1" customHeight="1" x14ac:dyDescent="0.2">
      <c r="A55" s="877" t="s">
        <v>387</v>
      </c>
      <c r="B55" s="878"/>
      <c r="C55" s="878"/>
      <c r="D55" s="878"/>
      <c r="E55" s="878"/>
      <c r="F55" s="878"/>
      <c r="G55" s="878"/>
      <c r="H55" s="878"/>
      <c r="I55" s="878"/>
      <c r="J55" s="878"/>
      <c r="K55" s="878"/>
      <c r="L55" s="878"/>
      <c r="M55" s="878"/>
      <c r="N55" s="878"/>
      <c r="O55" s="878"/>
      <c r="P55" s="878"/>
      <c r="Q55" s="878"/>
      <c r="R55" s="878"/>
      <c r="S55" s="878"/>
      <c r="T55" s="878"/>
      <c r="U55" s="878"/>
      <c r="V55" s="878"/>
      <c r="W55" s="878"/>
      <c r="X55" s="878"/>
      <c r="Y55" s="878"/>
      <c r="Z55" s="878"/>
      <c r="AA55" s="878"/>
      <c r="AB55" s="878"/>
      <c r="AC55" s="878"/>
      <c r="AD55" s="878"/>
      <c r="AE55" s="878"/>
      <c r="AF55" s="878"/>
      <c r="AG55" s="878"/>
      <c r="AH55" s="878"/>
      <c r="AI55" s="878"/>
      <c r="AJ55" s="878"/>
      <c r="AK55" s="878"/>
      <c r="AL55" s="878"/>
      <c r="AM55" s="878"/>
      <c r="AN55" s="878"/>
      <c r="AO55" s="878"/>
      <c r="AP55" s="878"/>
      <c r="AQ55" s="878"/>
      <c r="AR55" s="878"/>
      <c r="AS55" s="878"/>
      <c r="AT55" s="878"/>
      <c r="AU55" s="878"/>
      <c r="AV55" s="878"/>
      <c r="AW55" s="878"/>
      <c r="AX55" s="878"/>
      <c r="AY55" s="878"/>
      <c r="AZ55" s="878"/>
      <c r="BA55" s="878"/>
      <c r="BB55" s="878"/>
      <c r="BC55" s="878"/>
      <c r="BD55" s="878"/>
      <c r="BE55" s="878"/>
      <c r="BF55" s="878"/>
      <c r="BG55" s="878"/>
      <c r="BH55" s="878"/>
      <c r="BI55" s="878"/>
      <c r="BJ55" s="878"/>
      <c r="BK55" s="878"/>
      <c r="BL55" s="878"/>
      <c r="BM55" s="878"/>
      <c r="BN55" s="878"/>
      <c r="BO55" s="878"/>
      <c r="BP55" s="878"/>
      <c r="BQ55" s="878"/>
      <c r="BR55" s="878"/>
      <c r="BS55" s="878"/>
      <c r="BT55" s="878"/>
      <c r="BU55" s="878"/>
      <c r="BV55" s="878"/>
      <c r="BW55" s="879"/>
      <c r="BX55" s="782" t="s">
        <v>858</v>
      </c>
      <c r="BY55" s="783"/>
      <c r="BZ55" s="783"/>
      <c r="CA55" s="783"/>
      <c r="CB55" s="783"/>
      <c r="CC55" s="783"/>
      <c r="CD55" s="783"/>
      <c r="CE55" s="784"/>
      <c r="CF55" s="785"/>
      <c r="CG55" s="783"/>
      <c r="CH55" s="783"/>
      <c r="CI55" s="783"/>
      <c r="CJ55" s="783"/>
      <c r="CK55" s="783"/>
      <c r="CL55" s="783"/>
      <c r="CM55" s="783"/>
      <c r="CN55" s="783"/>
      <c r="CO55" s="783"/>
      <c r="CP55" s="783"/>
      <c r="CQ55" s="783"/>
      <c r="CR55" s="784"/>
      <c r="CS55" s="785"/>
      <c r="CT55" s="783"/>
      <c r="CU55" s="783"/>
      <c r="CV55" s="783"/>
      <c r="CW55" s="783"/>
      <c r="CX55" s="783"/>
      <c r="CY55" s="783"/>
      <c r="CZ55" s="783"/>
      <c r="DA55" s="783"/>
      <c r="DB55" s="783"/>
      <c r="DC55" s="783"/>
      <c r="DD55" s="783"/>
      <c r="DE55" s="784"/>
      <c r="DF55" s="776"/>
      <c r="DG55" s="777"/>
      <c r="DH55" s="777"/>
      <c r="DI55" s="777"/>
      <c r="DJ55" s="777"/>
      <c r="DK55" s="777"/>
      <c r="DL55" s="777"/>
      <c r="DM55" s="777"/>
      <c r="DN55" s="777"/>
      <c r="DO55" s="777"/>
      <c r="DP55" s="777"/>
      <c r="DQ55" s="777"/>
      <c r="DR55" s="778"/>
      <c r="DS55" s="776"/>
      <c r="DT55" s="777"/>
      <c r="DU55" s="777"/>
      <c r="DV55" s="777"/>
      <c r="DW55" s="777"/>
      <c r="DX55" s="777"/>
      <c r="DY55" s="777"/>
      <c r="DZ55" s="777"/>
      <c r="EA55" s="777"/>
      <c r="EB55" s="777"/>
      <c r="EC55" s="777"/>
      <c r="ED55" s="777"/>
      <c r="EE55" s="778"/>
      <c r="EF55" s="776"/>
      <c r="EG55" s="777"/>
      <c r="EH55" s="777"/>
      <c r="EI55" s="777"/>
      <c r="EJ55" s="777"/>
      <c r="EK55" s="777"/>
      <c r="EL55" s="777"/>
      <c r="EM55" s="777"/>
      <c r="EN55" s="777"/>
      <c r="EO55" s="777"/>
      <c r="EP55" s="777"/>
      <c r="EQ55" s="777"/>
      <c r="ER55" s="778"/>
      <c r="ES55" s="779"/>
      <c r="ET55" s="780"/>
      <c r="EU55" s="780"/>
      <c r="EV55" s="780"/>
      <c r="EW55" s="780"/>
      <c r="EX55" s="780"/>
      <c r="EY55" s="780"/>
      <c r="EZ55" s="780"/>
      <c r="FA55" s="780"/>
      <c r="FB55" s="780"/>
      <c r="FC55" s="780"/>
      <c r="FD55" s="780"/>
      <c r="FE55" s="781"/>
    </row>
    <row r="56" spans="1:164" ht="11.1" customHeight="1" x14ac:dyDescent="0.2">
      <c r="A56" s="866" t="s">
        <v>9</v>
      </c>
      <c r="B56" s="866"/>
      <c r="C56" s="866"/>
      <c r="D56" s="866"/>
      <c r="E56" s="866"/>
      <c r="F56" s="866"/>
      <c r="G56" s="866"/>
      <c r="H56" s="866"/>
      <c r="I56" s="866"/>
      <c r="J56" s="866"/>
      <c r="K56" s="866"/>
      <c r="L56" s="866"/>
      <c r="M56" s="866"/>
      <c r="N56" s="866"/>
      <c r="O56" s="866"/>
      <c r="P56" s="866"/>
      <c r="Q56" s="866"/>
      <c r="R56" s="866"/>
      <c r="S56" s="866"/>
      <c r="T56" s="866"/>
      <c r="U56" s="866"/>
      <c r="V56" s="866"/>
      <c r="W56" s="866"/>
      <c r="X56" s="866"/>
      <c r="Y56" s="866"/>
      <c r="Z56" s="866"/>
      <c r="AA56" s="866"/>
      <c r="AB56" s="866"/>
      <c r="AC56" s="866"/>
      <c r="AD56" s="866"/>
      <c r="AE56" s="866"/>
      <c r="AF56" s="866"/>
      <c r="AG56" s="866"/>
      <c r="AH56" s="866"/>
      <c r="AI56" s="866"/>
      <c r="AJ56" s="866"/>
      <c r="AK56" s="866"/>
      <c r="AL56" s="866"/>
      <c r="AM56" s="866"/>
      <c r="AN56" s="866"/>
      <c r="AO56" s="866"/>
      <c r="AP56" s="866"/>
      <c r="AQ56" s="866"/>
      <c r="AR56" s="866"/>
      <c r="AS56" s="866"/>
      <c r="AT56" s="866"/>
      <c r="AU56" s="866"/>
      <c r="AV56" s="866"/>
      <c r="AW56" s="866"/>
      <c r="AX56" s="866"/>
      <c r="AY56" s="866"/>
      <c r="AZ56" s="866"/>
      <c r="BA56" s="866"/>
      <c r="BB56" s="866"/>
      <c r="BC56" s="866"/>
      <c r="BD56" s="866"/>
      <c r="BE56" s="866"/>
      <c r="BF56" s="866"/>
      <c r="BG56" s="866"/>
      <c r="BH56" s="866"/>
      <c r="BI56" s="866"/>
      <c r="BJ56" s="866"/>
      <c r="BK56" s="866"/>
      <c r="BL56" s="866"/>
      <c r="BM56" s="866"/>
      <c r="BN56" s="866"/>
      <c r="BO56" s="866"/>
      <c r="BP56" s="866"/>
      <c r="BQ56" s="866"/>
      <c r="BR56" s="866"/>
      <c r="BS56" s="866"/>
      <c r="BT56" s="866"/>
      <c r="BU56" s="866"/>
      <c r="BV56" s="866"/>
      <c r="BW56" s="866"/>
      <c r="BX56" s="867"/>
      <c r="BY56" s="868"/>
      <c r="BZ56" s="868"/>
      <c r="CA56" s="868"/>
      <c r="CB56" s="868"/>
      <c r="CC56" s="868"/>
      <c r="CD56" s="868"/>
      <c r="CE56" s="869"/>
      <c r="CF56" s="870"/>
      <c r="CG56" s="868"/>
      <c r="CH56" s="868"/>
      <c r="CI56" s="868"/>
      <c r="CJ56" s="868"/>
      <c r="CK56" s="868"/>
      <c r="CL56" s="868"/>
      <c r="CM56" s="868"/>
      <c r="CN56" s="868"/>
      <c r="CO56" s="868"/>
      <c r="CP56" s="868"/>
      <c r="CQ56" s="868"/>
      <c r="CR56" s="869"/>
      <c r="CS56" s="870"/>
      <c r="CT56" s="868"/>
      <c r="CU56" s="868"/>
      <c r="CV56" s="868"/>
      <c r="CW56" s="868"/>
      <c r="CX56" s="868"/>
      <c r="CY56" s="868"/>
      <c r="CZ56" s="868"/>
      <c r="DA56" s="868"/>
      <c r="DB56" s="868"/>
      <c r="DC56" s="868"/>
      <c r="DD56" s="868"/>
      <c r="DE56" s="869"/>
      <c r="DF56" s="871"/>
      <c r="DG56" s="872"/>
      <c r="DH56" s="872"/>
      <c r="DI56" s="872"/>
      <c r="DJ56" s="872"/>
      <c r="DK56" s="872"/>
      <c r="DL56" s="872"/>
      <c r="DM56" s="872"/>
      <c r="DN56" s="872"/>
      <c r="DO56" s="872"/>
      <c r="DP56" s="872"/>
      <c r="DQ56" s="872"/>
      <c r="DR56" s="873"/>
      <c r="DS56" s="871"/>
      <c r="DT56" s="872"/>
      <c r="DU56" s="872"/>
      <c r="DV56" s="872"/>
      <c r="DW56" s="872"/>
      <c r="DX56" s="872"/>
      <c r="DY56" s="872"/>
      <c r="DZ56" s="872"/>
      <c r="EA56" s="872"/>
      <c r="EB56" s="872"/>
      <c r="EC56" s="872"/>
      <c r="ED56" s="872"/>
      <c r="EE56" s="873"/>
      <c r="EF56" s="871"/>
      <c r="EG56" s="872"/>
      <c r="EH56" s="872"/>
      <c r="EI56" s="872"/>
      <c r="EJ56" s="872"/>
      <c r="EK56" s="872"/>
      <c r="EL56" s="872"/>
      <c r="EM56" s="872"/>
      <c r="EN56" s="872"/>
      <c r="EO56" s="872"/>
      <c r="EP56" s="872"/>
      <c r="EQ56" s="872"/>
      <c r="ER56" s="873"/>
      <c r="ES56" s="874"/>
      <c r="ET56" s="875"/>
      <c r="EU56" s="875"/>
      <c r="EV56" s="875"/>
      <c r="EW56" s="875"/>
      <c r="EX56" s="875"/>
      <c r="EY56" s="875"/>
      <c r="EZ56" s="875"/>
      <c r="FA56" s="875"/>
      <c r="FB56" s="875"/>
      <c r="FC56" s="875"/>
      <c r="FD56" s="875"/>
      <c r="FE56" s="876"/>
    </row>
    <row r="57" spans="1:164" ht="11.1" customHeight="1" x14ac:dyDescent="0.2">
      <c r="A57" s="814"/>
      <c r="B57" s="814"/>
      <c r="C57" s="814"/>
      <c r="D57" s="814"/>
      <c r="E57" s="814"/>
      <c r="F57" s="814"/>
      <c r="G57" s="814"/>
      <c r="H57" s="814"/>
      <c r="I57" s="814"/>
      <c r="J57" s="814"/>
      <c r="K57" s="814"/>
      <c r="L57" s="814"/>
      <c r="M57" s="814"/>
      <c r="N57" s="814"/>
      <c r="O57" s="814"/>
      <c r="P57" s="814"/>
      <c r="Q57" s="814"/>
      <c r="R57" s="814"/>
      <c r="S57" s="814"/>
      <c r="T57" s="814"/>
      <c r="U57" s="814"/>
      <c r="V57" s="814"/>
      <c r="W57" s="814"/>
      <c r="X57" s="814"/>
      <c r="Y57" s="814"/>
      <c r="Z57" s="814"/>
      <c r="AA57" s="814"/>
      <c r="AB57" s="814"/>
      <c r="AC57" s="814"/>
      <c r="AD57" s="814"/>
      <c r="AE57" s="814"/>
      <c r="AF57" s="814"/>
      <c r="AG57" s="814"/>
      <c r="AH57" s="814"/>
      <c r="AI57" s="814"/>
      <c r="AJ57" s="814"/>
      <c r="AK57" s="814"/>
      <c r="AL57" s="814"/>
      <c r="AM57" s="814"/>
      <c r="AN57" s="814"/>
      <c r="AO57" s="814"/>
      <c r="AP57" s="814"/>
      <c r="AQ57" s="814"/>
      <c r="AR57" s="814"/>
      <c r="AS57" s="814"/>
      <c r="AT57" s="814"/>
      <c r="AU57" s="814"/>
      <c r="AV57" s="814"/>
      <c r="AW57" s="814"/>
      <c r="AX57" s="814"/>
      <c r="AY57" s="814"/>
      <c r="AZ57" s="814"/>
      <c r="BA57" s="814"/>
      <c r="BB57" s="814"/>
      <c r="BC57" s="814"/>
      <c r="BD57" s="814"/>
      <c r="BE57" s="814"/>
      <c r="BF57" s="814"/>
      <c r="BG57" s="814"/>
      <c r="BH57" s="814"/>
      <c r="BI57" s="814"/>
      <c r="BJ57" s="814"/>
      <c r="BK57" s="814"/>
      <c r="BL57" s="814"/>
      <c r="BM57" s="814"/>
      <c r="BN57" s="814"/>
      <c r="BO57" s="814"/>
      <c r="BP57" s="814"/>
      <c r="BQ57" s="814"/>
      <c r="BR57" s="814"/>
      <c r="BS57" s="814"/>
      <c r="BT57" s="814"/>
      <c r="BU57" s="814"/>
      <c r="BV57" s="814"/>
      <c r="BW57" s="815"/>
      <c r="BX57" s="816"/>
      <c r="BY57" s="817"/>
      <c r="BZ57" s="817"/>
      <c r="CA57" s="817"/>
      <c r="CB57" s="817"/>
      <c r="CC57" s="817"/>
      <c r="CD57" s="817"/>
      <c r="CE57" s="818"/>
      <c r="CF57" s="819"/>
      <c r="CG57" s="817"/>
      <c r="CH57" s="817"/>
      <c r="CI57" s="817"/>
      <c r="CJ57" s="817"/>
      <c r="CK57" s="817"/>
      <c r="CL57" s="817"/>
      <c r="CM57" s="817"/>
      <c r="CN57" s="817"/>
      <c r="CO57" s="817"/>
      <c r="CP57" s="817"/>
      <c r="CQ57" s="817"/>
      <c r="CR57" s="818"/>
      <c r="CS57" s="819"/>
      <c r="CT57" s="817"/>
      <c r="CU57" s="817"/>
      <c r="CV57" s="817"/>
      <c r="CW57" s="817"/>
      <c r="CX57" s="817"/>
      <c r="CY57" s="817"/>
      <c r="CZ57" s="817"/>
      <c r="DA57" s="817"/>
      <c r="DB57" s="817"/>
      <c r="DC57" s="817"/>
      <c r="DD57" s="817"/>
      <c r="DE57" s="818"/>
      <c r="DF57" s="807"/>
      <c r="DG57" s="808"/>
      <c r="DH57" s="808"/>
      <c r="DI57" s="808"/>
      <c r="DJ57" s="808"/>
      <c r="DK57" s="808"/>
      <c r="DL57" s="808"/>
      <c r="DM57" s="808"/>
      <c r="DN57" s="808"/>
      <c r="DO57" s="808"/>
      <c r="DP57" s="808"/>
      <c r="DQ57" s="808"/>
      <c r="DR57" s="809"/>
      <c r="DS57" s="807"/>
      <c r="DT57" s="808"/>
      <c r="DU57" s="808"/>
      <c r="DV57" s="808"/>
      <c r="DW57" s="808"/>
      <c r="DX57" s="808"/>
      <c r="DY57" s="808"/>
      <c r="DZ57" s="808"/>
      <c r="EA57" s="808"/>
      <c r="EB57" s="808"/>
      <c r="EC57" s="808"/>
      <c r="ED57" s="808"/>
      <c r="EE57" s="809"/>
      <c r="EF57" s="807"/>
      <c r="EG57" s="808"/>
      <c r="EH57" s="808"/>
      <c r="EI57" s="808"/>
      <c r="EJ57" s="808"/>
      <c r="EK57" s="808"/>
      <c r="EL57" s="808"/>
      <c r="EM57" s="808"/>
      <c r="EN57" s="808"/>
      <c r="EO57" s="808"/>
      <c r="EP57" s="808"/>
      <c r="EQ57" s="808"/>
      <c r="ER57" s="809"/>
      <c r="ES57" s="810"/>
      <c r="ET57" s="811"/>
      <c r="EU57" s="811"/>
      <c r="EV57" s="811"/>
      <c r="EW57" s="811"/>
      <c r="EX57" s="811"/>
      <c r="EY57" s="811"/>
      <c r="EZ57" s="811"/>
      <c r="FA57" s="811"/>
      <c r="FB57" s="811"/>
      <c r="FC57" s="811"/>
      <c r="FD57" s="811"/>
      <c r="FE57" s="812"/>
    </row>
    <row r="58" spans="1:164" ht="11.1" customHeight="1" x14ac:dyDescent="0.2">
      <c r="A58" s="813"/>
      <c r="B58" s="814"/>
      <c r="C58" s="814"/>
      <c r="D58" s="814"/>
      <c r="E58" s="814"/>
      <c r="F58" s="814"/>
      <c r="G58" s="814"/>
      <c r="H58" s="814"/>
      <c r="I58" s="814"/>
      <c r="J58" s="814"/>
      <c r="K58" s="814"/>
      <c r="L58" s="814"/>
      <c r="M58" s="814"/>
      <c r="N58" s="814"/>
      <c r="O58" s="814"/>
      <c r="P58" s="814"/>
      <c r="Q58" s="814"/>
      <c r="R58" s="814"/>
      <c r="S58" s="814"/>
      <c r="T58" s="814"/>
      <c r="U58" s="814"/>
      <c r="V58" s="814"/>
      <c r="W58" s="814"/>
      <c r="X58" s="814"/>
      <c r="Y58" s="814"/>
      <c r="Z58" s="814"/>
      <c r="AA58" s="814"/>
      <c r="AB58" s="814"/>
      <c r="AC58" s="814"/>
      <c r="AD58" s="814"/>
      <c r="AE58" s="814"/>
      <c r="AF58" s="814"/>
      <c r="AG58" s="814"/>
      <c r="AH58" s="814"/>
      <c r="AI58" s="814"/>
      <c r="AJ58" s="814"/>
      <c r="AK58" s="814"/>
      <c r="AL58" s="814"/>
      <c r="AM58" s="814"/>
      <c r="AN58" s="814"/>
      <c r="AO58" s="814"/>
      <c r="AP58" s="814"/>
      <c r="AQ58" s="814"/>
      <c r="AR58" s="814"/>
      <c r="AS58" s="814"/>
      <c r="AT58" s="814"/>
      <c r="AU58" s="814"/>
      <c r="AV58" s="814"/>
      <c r="AW58" s="814"/>
      <c r="AX58" s="814"/>
      <c r="AY58" s="814"/>
      <c r="AZ58" s="814"/>
      <c r="BA58" s="814"/>
      <c r="BB58" s="814"/>
      <c r="BC58" s="814"/>
      <c r="BD58" s="814"/>
      <c r="BE58" s="814"/>
      <c r="BF58" s="814"/>
      <c r="BG58" s="814"/>
      <c r="BH58" s="814"/>
      <c r="BI58" s="814"/>
      <c r="BJ58" s="814"/>
      <c r="BK58" s="814"/>
      <c r="BL58" s="814"/>
      <c r="BM58" s="814"/>
      <c r="BN58" s="814"/>
      <c r="BO58" s="814"/>
      <c r="BP58" s="814"/>
      <c r="BQ58" s="814"/>
      <c r="BR58" s="814"/>
      <c r="BS58" s="814"/>
      <c r="BT58" s="814"/>
      <c r="BU58" s="814"/>
      <c r="BV58" s="814"/>
      <c r="BW58" s="815"/>
      <c r="BX58" s="782"/>
      <c r="BY58" s="783"/>
      <c r="BZ58" s="783"/>
      <c r="CA58" s="783"/>
      <c r="CB58" s="783"/>
      <c r="CC58" s="783"/>
      <c r="CD58" s="783"/>
      <c r="CE58" s="784"/>
      <c r="CF58" s="785"/>
      <c r="CG58" s="783"/>
      <c r="CH58" s="783"/>
      <c r="CI58" s="783"/>
      <c r="CJ58" s="783"/>
      <c r="CK58" s="783"/>
      <c r="CL58" s="783"/>
      <c r="CM58" s="783"/>
      <c r="CN58" s="783"/>
      <c r="CO58" s="783"/>
      <c r="CP58" s="783"/>
      <c r="CQ58" s="783"/>
      <c r="CR58" s="784"/>
      <c r="CS58" s="785"/>
      <c r="CT58" s="783"/>
      <c r="CU58" s="783"/>
      <c r="CV58" s="783"/>
      <c r="CW58" s="783"/>
      <c r="CX58" s="783"/>
      <c r="CY58" s="783"/>
      <c r="CZ58" s="783"/>
      <c r="DA58" s="783"/>
      <c r="DB58" s="783"/>
      <c r="DC58" s="783"/>
      <c r="DD58" s="783"/>
      <c r="DE58" s="784"/>
      <c r="DF58" s="776"/>
      <c r="DG58" s="777"/>
      <c r="DH58" s="777"/>
      <c r="DI58" s="777"/>
      <c r="DJ58" s="777"/>
      <c r="DK58" s="777"/>
      <c r="DL58" s="777"/>
      <c r="DM58" s="777"/>
      <c r="DN58" s="777"/>
      <c r="DO58" s="777"/>
      <c r="DP58" s="777"/>
      <c r="DQ58" s="777"/>
      <c r="DR58" s="778"/>
      <c r="DS58" s="776"/>
      <c r="DT58" s="777"/>
      <c r="DU58" s="777"/>
      <c r="DV58" s="777"/>
      <c r="DW58" s="777"/>
      <c r="DX58" s="777"/>
      <c r="DY58" s="777"/>
      <c r="DZ58" s="777"/>
      <c r="EA58" s="777"/>
      <c r="EB58" s="777"/>
      <c r="EC58" s="777"/>
      <c r="ED58" s="777"/>
      <c r="EE58" s="778"/>
      <c r="EF58" s="776"/>
      <c r="EG58" s="777"/>
      <c r="EH58" s="777"/>
      <c r="EI58" s="777"/>
      <c r="EJ58" s="777"/>
      <c r="EK58" s="777"/>
      <c r="EL58" s="777"/>
      <c r="EM58" s="777"/>
      <c r="EN58" s="777"/>
      <c r="EO58" s="777"/>
      <c r="EP58" s="777"/>
      <c r="EQ58" s="777"/>
      <c r="ER58" s="778"/>
      <c r="ES58" s="779"/>
      <c r="ET58" s="780"/>
      <c r="EU58" s="780"/>
      <c r="EV58" s="780"/>
      <c r="EW58" s="780"/>
      <c r="EX58" s="780"/>
      <c r="EY58" s="780"/>
      <c r="EZ58" s="780"/>
      <c r="FA58" s="780"/>
      <c r="FB58" s="780"/>
      <c r="FC58" s="780"/>
      <c r="FD58" s="780"/>
      <c r="FE58" s="781"/>
    </row>
    <row r="59" spans="1:164" s="490" customFormat="1" ht="12.75" customHeight="1" x14ac:dyDescent="0.15">
      <c r="A59" s="863" t="s">
        <v>859</v>
      </c>
      <c r="B59" s="864"/>
      <c r="C59" s="864"/>
      <c r="D59" s="864"/>
      <c r="E59" s="864"/>
      <c r="F59" s="864"/>
      <c r="G59" s="864"/>
      <c r="H59" s="864"/>
      <c r="I59" s="864"/>
      <c r="J59" s="864"/>
      <c r="K59" s="864"/>
      <c r="L59" s="864"/>
      <c r="M59" s="864"/>
      <c r="N59" s="864"/>
      <c r="O59" s="864"/>
      <c r="P59" s="864"/>
      <c r="Q59" s="864"/>
      <c r="R59" s="864"/>
      <c r="S59" s="864"/>
      <c r="T59" s="864"/>
      <c r="U59" s="864"/>
      <c r="V59" s="864"/>
      <c r="W59" s="864"/>
      <c r="X59" s="864"/>
      <c r="Y59" s="864"/>
      <c r="Z59" s="864"/>
      <c r="AA59" s="864"/>
      <c r="AB59" s="864"/>
      <c r="AC59" s="864"/>
      <c r="AD59" s="864"/>
      <c r="AE59" s="864"/>
      <c r="AF59" s="864"/>
      <c r="AG59" s="864"/>
      <c r="AH59" s="864"/>
      <c r="AI59" s="864"/>
      <c r="AJ59" s="864"/>
      <c r="AK59" s="864"/>
      <c r="AL59" s="864"/>
      <c r="AM59" s="864"/>
      <c r="AN59" s="864"/>
      <c r="AO59" s="864"/>
      <c r="AP59" s="864"/>
      <c r="AQ59" s="864"/>
      <c r="AR59" s="864"/>
      <c r="AS59" s="864"/>
      <c r="AT59" s="864"/>
      <c r="AU59" s="864"/>
      <c r="AV59" s="864"/>
      <c r="AW59" s="864"/>
      <c r="AX59" s="864"/>
      <c r="AY59" s="864"/>
      <c r="AZ59" s="864"/>
      <c r="BA59" s="864"/>
      <c r="BB59" s="864"/>
      <c r="BC59" s="864"/>
      <c r="BD59" s="864"/>
      <c r="BE59" s="864"/>
      <c r="BF59" s="864"/>
      <c r="BG59" s="864"/>
      <c r="BH59" s="864"/>
      <c r="BI59" s="864"/>
      <c r="BJ59" s="864"/>
      <c r="BK59" s="864"/>
      <c r="BL59" s="864"/>
      <c r="BM59" s="864"/>
      <c r="BN59" s="864"/>
      <c r="BO59" s="864"/>
      <c r="BP59" s="864"/>
      <c r="BQ59" s="864"/>
      <c r="BR59" s="864"/>
      <c r="BS59" s="864"/>
      <c r="BT59" s="864"/>
      <c r="BU59" s="864"/>
      <c r="BV59" s="864"/>
      <c r="BW59" s="865"/>
      <c r="BX59" s="787" t="s">
        <v>860</v>
      </c>
      <c r="BY59" s="788"/>
      <c r="BZ59" s="788"/>
      <c r="CA59" s="788"/>
      <c r="CB59" s="788"/>
      <c r="CC59" s="788"/>
      <c r="CD59" s="788"/>
      <c r="CE59" s="789"/>
      <c r="CF59" s="790" t="s">
        <v>74</v>
      </c>
      <c r="CG59" s="788"/>
      <c r="CH59" s="788"/>
      <c r="CI59" s="788"/>
      <c r="CJ59" s="788"/>
      <c r="CK59" s="788"/>
      <c r="CL59" s="788"/>
      <c r="CM59" s="788"/>
      <c r="CN59" s="788"/>
      <c r="CO59" s="788"/>
      <c r="CP59" s="788"/>
      <c r="CQ59" s="788"/>
      <c r="CR59" s="789"/>
      <c r="CS59" s="790"/>
      <c r="CT59" s="788"/>
      <c r="CU59" s="788"/>
      <c r="CV59" s="788"/>
      <c r="CW59" s="788"/>
      <c r="CX59" s="788"/>
      <c r="CY59" s="788"/>
      <c r="CZ59" s="788"/>
      <c r="DA59" s="788"/>
      <c r="DB59" s="788"/>
      <c r="DC59" s="788"/>
      <c r="DD59" s="788"/>
      <c r="DE59" s="789"/>
      <c r="DF59" s="827">
        <f>DF60</f>
        <v>0</v>
      </c>
      <c r="DG59" s="828"/>
      <c r="DH59" s="828"/>
      <c r="DI59" s="828"/>
      <c r="DJ59" s="828"/>
      <c r="DK59" s="828"/>
      <c r="DL59" s="828"/>
      <c r="DM59" s="828"/>
      <c r="DN59" s="828"/>
      <c r="DO59" s="828"/>
      <c r="DP59" s="828"/>
      <c r="DQ59" s="828"/>
      <c r="DR59" s="829"/>
      <c r="DS59" s="827">
        <f>DS60</f>
        <v>0</v>
      </c>
      <c r="DT59" s="828"/>
      <c r="DU59" s="828"/>
      <c r="DV59" s="828"/>
      <c r="DW59" s="828"/>
      <c r="DX59" s="828"/>
      <c r="DY59" s="828"/>
      <c r="DZ59" s="828"/>
      <c r="EA59" s="828"/>
      <c r="EB59" s="828"/>
      <c r="EC59" s="828"/>
      <c r="ED59" s="828"/>
      <c r="EE59" s="829"/>
      <c r="EF59" s="827">
        <f>EF60</f>
        <v>0</v>
      </c>
      <c r="EG59" s="828"/>
      <c r="EH59" s="828"/>
      <c r="EI59" s="828"/>
      <c r="EJ59" s="828"/>
      <c r="EK59" s="828"/>
      <c r="EL59" s="828"/>
      <c r="EM59" s="828"/>
      <c r="EN59" s="828"/>
      <c r="EO59" s="828"/>
      <c r="EP59" s="828"/>
      <c r="EQ59" s="828"/>
      <c r="ER59" s="829"/>
      <c r="ES59" s="830"/>
      <c r="ET59" s="831"/>
      <c r="EU59" s="831"/>
      <c r="EV59" s="831"/>
      <c r="EW59" s="831"/>
      <c r="EX59" s="831"/>
      <c r="EY59" s="831"/>
      <c r="EZ59" s="831"/>
      <c r="FA59" s="831"/>
      <c r="FB59" s="831"/>
      <c r="FC59" s="831"/>
      <c r="FD59" s="831"/>
      <c r="FE59" s="832"/>
    </row>
    <row r="60" spans="1:164" ht="33.75" customHeight="1" x14ac:dyDescent="0.2">
      <c r="A60" s="805" t="s">
        <v>861</v>
      </c>
      <c r="B60" s="806"/>
      <c r="C60" s="806"/>
      <c r="D60" s="806"/>
      <c r="E60" s="806"/>
      <c r="F60" s="806"/>
      <c r="G60" s="806"/>
      <c r="H60" s="806"/>
      <c r="I60" s="806"/>
      <c r="J60" s="806"/>
      <c r="K60" s="806"/>
      <c r="L60" s="806"/>
      <c r="M60" s="806"/>
      <c r="N60" s="806"/>
      <c r="O60" s="806"/>
      <c r="P60" s="806"/>
      <c r="Q60" s="806"/>
      <c r="R60" s="806"/>
      <c r="S60" s="806"/>
      <c r="T60" s="806"/>
      <c r="U60" s="806"/>
      <c r="V60" s="806"/>
      <c r="W60" s="806"/>
      <c r="X60" s="806"/>
      <c r="Y60" s="806"/>
      <c r="Z60" s="806"/>
      <c r="AA60" s="806"/>
      <c r="AB60" s="806"/>
      <c r="AC60" s="806"/>
      <c r="AD60" s="806"/>
      <c r="AE60" s="806"/>
      <c r="AF60" s="806"/>
      <c r="AG60" s="806"/>
      <c r="AH60" s="806"/>
      <c r="AI60" s="806"/>
      <c r="AJ60" s="806"/>
      <c r="AK60" s="806"/>
      <c r="AL60" s="806"/>
      <c r="AM60" s="806"/>
      <c r="AN60" s="806"/>
      <c r="AO60" s="806"/>
      <c r="AP60" s="806"/>
      <c r="AQ60" s="806"/>
      <c r="AR60" s="806"/>
      <c r="AS60" s="806"/>
      <c r="AT60" s="806"/>
      <c r="AU60" s="806"/>
      <c r="AV60" s="806"/>
      <c r="AW60" s="806"/>
      <c r="AX60" s="806"/>
      <c r="AY60" s="806"/>
      <c r="AZ60" s="806"/>
      <c r="BA60" s="806"/>
      <c r="BB60" s="806"/>
      <c r="BC60" s="806"/>
      <c r="BD60" s="806"/>
      <c r="BE60" s="806"/>
      <c r="BF60" s="806"/>
      <c r="BG60" s="806"/>
      <c r="BH60" s="806"/>
      <c r="BI60" s="806"/>
      <c r="BJ60" s="806"/>
      <c r="BK60" s="806"/>
      <c r="BL60" s="806"/>
      <c r="BM60" s="806"/>
      <c r="BN60" s="806"/>
      <c r="BO60" s="806"/>
      <c r="BP60" s="806"/>
      <c r="BQ60" s="806"/>
      <c r="BR60" s="806"/>
      <c r="BS60" s="806"/>
      <c r="BT60" s="806"/>
      <c r="BU60" s="806"/>
      <c r="BV60" s="806"/>
      <c r="BW60" s="806"/>
      <c r="BX60" s="782" t="s">
        <v>862</v>
      </c>
      <c r="BY60" s="783"/>
      <c r="BZ60" s="783"/>
      <c r="CA60" s="783"/>
      <c r="CB60" s="783"/>
      <c r="CC60" s="783"/>
      <c r="CD60" s="783"/>
      <c r="CE60" s="784"/>
      <c r="CF60" s="785" t="s">
        <v>863</v>
      </c>
      <c r="CG60" s="783"/>
      <c r="CH60" s="783"/>
      <c r="CI60" s="783"/>
      <c r="CJ60" s="783"/>
      <c r="CK60" s="783"/>
      <c r="CL60" s="783"/>
      <c r="CM60" s="783"/>
      <c r="CN60" s="783"/>
      <c r="CO60" s="783"/>
      <c r="CP60" s="783"/>
      <c r="CQ60" s="783"/>
      <c r="CR60" s="784"/>
      <c r="CS60" s="785"/>
      <c r="CT60" s="783"/>
      <c r="CU60" s="783"/>
      <c r="CV60" s="783"/>
      <c r="CW60" s="783"/>
      <c r="CX60" s="783"/>
      <c r="CY60" s="783"/>
      <c r="CZ60" s="783"/>
      <c r="DA60" s="783"/>
      <c r="DB60" s="783"/>
      <c r="DC60" s="783"/>
      <c r="DD60" s="783"/>
      <c r="DE60" s="784"/>
      <c r="DF60" s="776">
        <v>0</v>
      </c>
      <c r="DG60" s="777"/>
      <c r="DH60" s="777"/>
      <c r="DI60" s="777"/>
      <c r="DJ60" s="777"/>
      <c r="DK60" s="777"/>
      <c r="DL60" s="777"/>
      <c r="DM60" s="777"/>
      <c r="DN60" s="777"/>
      <c r="DO60" s="777"/>
      <c r="DP60" s="777"/>
      <c r="DQ60" s="777"/>
      <c r="DR60" s="778"/>
      <c r="DS60" s="776">
        <v>0</v>
      </c>
      <c r="DT60" s="777"/>
      <c r="DU60" s="777"/>
      <c r="DV60" s="777"/>
      <c r="DW60" s="777"/>
      <c r="DX60" s="777"/>
      <c r="DY60" s="777"/>
      <c r="DZ60" s="777"/>
      <c r="EA60" s="777"/>
      <c r="EB60" s="777"/>
      <c r="EC60" s="777"/>
      <c r="ED60" s="777"/>
      <c r="EE60" s="778"/>
      <c r="EF60" s="776">
        <v>0</v>
      </c>
      <c r="EG60" s="777"/>
      <c r="EH60" s="777"/>
      <c r="EI60" s="777"/>
      <c r="EJ60" s="777"/>
      <c r="EK60" s="777"/>
      <c r="EL60" s="777"/>
      <c r="EM60" s="777"/>
      <c r="EN60" s="777"/>
      <c r="EO60" s="777"/>
      <c r="EP60" s="777"/>
      <c r="EQ60" s="777"/>
      <c r="ER60" s="778"/>
      <c r="ES60" s="779" t="s">
        <v>74</v>
      </c>
      <c r="ET60" s="780"/>
      <c r="EU60" s="780"/>
      <c r="EV60" s="780"/>
      <c r="EW60" s="780"/>
      <c r="EX60" s="780"/>
      <c r="EY60" s="780"/>
      <c r="EZ60" s="780"/>
      <c r="FA60" s="780"/>
      <c r="FB60" s="780"/>
      <c r="FC60" s="780"/>
      <c r="FD60" s="780"/>
      <c r="FE60" s="781"/>
    </row>
    <row r="61" spans="1:164" ht="11.1" customHeight="1" x14ac:dyDescent="0.2">
      <c r="A61" s="813"/>
      <c r="B61" s="814"/>
      <c r="C61" s="814"/>
      <c r="D61" s="814"/>
      <c r="E61" s="814"/>
      <c r="F61" s="814"/>
      <c r="G61" s="814"/>
      <c r="H61" s="814"/>
      <c r="I61" s="814"/>
      <c r="J61" s="814"/>
      <c r="K61" s="814"/>
      <c r="L61" s="814"/>
      <c r="M61" s="814"/>
      <c r="N61" s="814"/>
      <c r="O61" s="814"/>
      <c r="P61" s="814"/>
      <c r="Q61" s="814"/>
      <c r="R61" s="814"/>
      <c r="S61" s="814"/>
      <c r="T61" s="814"/>
      <c r="U61" s="814"/>
      <c r="V61" s="814"/>
      <c r="W61" s="814"/>
      <c r="X61" s="814"/>
      <c r="Y61" s="814"/>
      <c r="Z61" s="814"/>
      <c r="AA61" s="814"/>
      <c r="AB61" s="814"/>
      <c r="AC61" s="814"/>
      <c r="AD61" s="814"/>
      <c r="AE61" s="814"/>
      <c r="AF61" s="814"/>
      <c r="AG61" s="814"/>
      <c r="AH61" s="814"/>
      <c r="AI61" s="814"/>
      <c r="AJ61" s="814"/>
      <c r="AK61" s="814"/>
      <c r="AL61" s="814"/>
      <c r="AM61" s="814"/>
      <c r="AN61" s="814"/>
      <c r="AO61" s="814"/>
      <c r="AP61" s="814"/>
      <c r="AQ61" s="814"/>
      <c r="AR61" s="814"/>
      <c r="AS61" s="814"/>
      <c r="AT61" s="814"/>
      <c r="AU61" s="814"/>
      <c r="AV61" s="814"/>
      <c r="AW61" s="814"/>
      <c r="AX61" s="814"/>
      <c r="AY61" s="814"/>
      <c r="AZ61" s="814"/>
      <c r="BA61" s="814"/>
      <c r="BB61" s="814"/>
      <c r="BC61" s="814"/>
      <c r="BD61" s="814"/>
      <c r="BE61" s="814"/>
      <c r="BF61" s="814"/>
      <c r="BG61" s="814"/>
      <c r="BH61" s="814"/>
      <c r="BI61" s="814"/>
      <c r="BJ61" s="814"/>
      <c r="BK61" s="814"/>
      <c r="BL61" s="814"/>
      <c r="BM61" s="814"/>
      <c r="BN61" s="814"/>
      <c r="BO61" s="814"/>
      <c r="BP61" s="814"/>
      <c r="BQ61" s="814"/>
      <c r="BR61" s="814"/>
      <c r="BS61" s="814"/>
      <c r="BT61" s="814"/>
      <c r="BU61" s="814"/>
      <c r="BV61" s="814"/>
      <c r="BW61" s="815"/>
      <c r="BX61" s="782"/>
      <c r="BY61" s="783"/>
      <c r="BZ61" s="783"/>
      <c r="CA61" s="783"/>
      <c r="CB61" s="783"/>
      <c r="CC61" s="783"/>
      <c r="CD61" s="783"/>
      <c r="CE61" s="784"/>
      <c r="CF61" s="785"/>
      <c r="CG61" s="783"/>
      <c r="CH61" s="783"/>
      <c r="CI61" s="783"/>
      <c r="CJ61" s="783"/>
      <c r="CK61" s="783"/>
      <c r="CL61" s="783"/>
      <c r="CM61" s="783"/>
      <c r="CN61" s="783"/>
      <c r="CO61" s="783"/>
      <c r="CP61" s="783"/>
      <c r="CQ61" s="783"/>
      <c r="CR61" s="784"/>
      <c r="CS61" s="785"/>
      <c r="CT61" s="783"/>
      <c r="CU61" s="783"/>
      <c r="CV61" s="783"/>
      <c r="CW61" s="783"/>
      <c r="CX61" s="783"/>
      <c r="CY61" s="783"/>
      <c r="CZ61" s="783"/>
      <c r="DA61" s="783"/>
      <c r="DB61" s="783"/>
      <c r="DC61" s="783"/>
      <c r="DD61" s="783"/>
      <c r="DE61" s="784"/>
      <c r="DF61" s="776"/>
      <c r="DG61" s="777"/>
      <c r="DH61" s="777"/>
      <c r="DI61" s="777"/>
      <c r="DJ61" s="777"/>
      <c r="DK61" s="777"/>
      <c r="DL61" s="777"/>
      <c r="DM61" s="777"/>
      <c r="DN61" s="777"/>
      <c r="DO61" s="777"/>
      <c r="DP61" s="777"/>
      <c r="DQ61" s="777"/>
      <c r="DR61" s="778"/>
      <c r="DS61" s="776"/>
      <c r="DT61" s="777"/>
      <c r="DU61" s="777"/>
      <c r="DV61" s="777"/>
      <c r="DW61" s="777"/>
      <c r="DX61" s="777"/>
      <c r="DY61" s="777"/>
      <c r="DZ61" s="777"/>
      <c r="EA61" s="777"/>
      <c r="EB61" s="777"/>
      <c r="EC61" s="777"/>
      <c r="ED61" s="777"/>
      <c r="EE61" s="778"/>
      <c r="EF61" s="776"/>
      <c r="EG61" s="777"/>
      <c r="EH61" s="777"/>
      <c r="EI61" s="777"/>
      <c r="EJ61" s="777"/>
      <c r="EK61" s="777"/>
      <c r="EL61" s="777"/>
      <c r="EM61" s="777"/>
      <c r="EN61" s="777"/>
      <c r="EO61" s="777"/>
      <c r="EP61" s="777"/>
      <c r="EQ61" s="777"/>
      <c r="ER61" s="778"/>
      <c r="ES61" s="779"/>
      <c r="ET61" s="780"/>
      <c r="EU61" s="780"/>
      <c r="EV61" s="780"/>
      <c r="EW61" s="780"/>
      <c r="EX61" s="780"/>
      <c r="EY61" s="780"/>
      <c r="EZ61" s="780"/>
      <c r="FA61" s="780"/>
      <c r="FB61" s="780"/>
      <c r="FC61" s="780"/>
      <c r="FD61" s="780"/>
      <c r="FE61" s="781"/>
    </row>
    <row r="62" spans="1:164" ht="11.25" customHeight="1" x14ac:dyDescent="0.2">
      <c r="A62" s="786" t="s">
        <v>388</v>
      </c>
      <c r="B62" s="786"/>
      <c r="C62" s="786"/>
      <c r="D62" s="786"/>
      <c r="E62" s="786"/>
      <c r="F62" s="786"/>
      <c r="G62" s="786"/>
      <c r="H62" s="786"/>
      <c r="I62" s="786"/>
      <c r="J62" s="786"/>
      <c r="K62" s="786"/>
      <c r="L62" s="786"/>
      <c r="M62" s="786"/>
      <c r="N62" s="786"/>
      <c r="O62" s="786"/>
      <c r="P62" s="786"/>
      <c r="Q62" s="786"/>
      <c r="R62" s="786"/>
      <c r="S62" s="786"/>
      <c r="T62" s="786"/>
      <c r="U62" s="786"/>
      <c r="V62" s="786"/>
      <c r="W62" s="786"/>
      <c r="X62" s="786"/>
      <c r="Y62" s="786"/>
      <c r="Z62" s="786"/>
      <c r="AA62" s="786"/>
      <c r="AB62" s="786"/>
      <c r="AC62" s="786"/>
      <c r="AD62" s="786"/>
      <c r="AE62" s="786"/>
      <c r="AF62" s="786"/>
      <c r="AG62" s="786"/>
      <c r="AH62" s="786"/>
      <c r="AI62" s="786"/>
      <c r="AJ62" s="786"/>
      <c r="AK62" s="786"/>
      <c r="AL62" s="786"/>
      <c r="AM62" s="786"/>
      <c r="AN62" s="786"/>
      <c r="AO62" s="786"/>
      <c r="AP62" s="786"/>
      <c r="AQ62" s="786"/>
      <c r="AR62" s="786"/>
      <c r="AS62" s="786"/>
      <c r="AT62" s="786"/>
      <c r="AU62" s="786"/>
      <c r="AV62" s="786"/>
      <c r="AW62" s="786"/>
      <c r="AX62" s="786"/>
      <c r="AY62" s="786"/>
      <c r="AZ62" s="786"/>
      <c r="BA62" s="786"/>
      <c r="BB62" s="786"/>
      <c r="BC62" s="786"/>
      <c r="BD62" s="786"/>
      <c r="BE62" s="786"/>
      <c r="BF62" s="786"/>
      <c r="BG62" s="786"/>
      <c r="BH62" s="786"/>
      <c r="BI62" s="786"/>
      <c r="BJ62" s="786"/>
      <c r="BK62" s="786"/>
      <c r="BL62" s="786"/>
      <c r="BM62" s="786"/>
      <c r="BN62" s="786"/>
      <c r="BO62" s="786"/>
      <c r="BP62" s="786"/>
      <c r="BQ62" s="786"/>
      <c r="BR62" s="786"/>
      <c r="BS62" s="786"/>
      <c r="BT62" s="786"/>
      <c r="BU62" s="786"/>
      <c r="BV62" s="786"/>
      <c r="BW62" s="786"/>
      <c r="BX62" s="787" t="s">
        <v>864</v>
      </c>
      <c r="BY62" s="788"/>
      <c r="BZ62" s="788"/>
      <c r="CA62" s="788"/>
      <c r="CB62" s="788"/>
      <c r="CC62" s="788"/>
      <c r="CD62" s="788"/>
      <c r="CE62" s="789"/>
      <c r="CF62" s="790" t="s">
        <v>74</v>
      </c>
      <c r="CG62" s="788"/>
      <c r="CH62" s="788"/>
      <c r="CI62" s="788"/>
      <c r="CJ62" s="788"/>
      <c r="CK62" s="788"/>
      <c r="CL62" s="788"/>
      <c r="CM62" s="788"/>
      <c r="CN62" s="788"/>
      <c r="CO62" s="788"/>
      <c r="CP62" s="788"/>
      <c r="CQ62" s="788"/>
      <c r="CR62" s="789"/>
      <c r="CS62" s="785"/>
      <c r="CT62" s="783"/>
      <c r="CU62" s="783"/>
      <c r="CV62" s="783"/>
      <c r="CW62" s="783"/>
      <c r="CX62" s="783"/>
      <c r="CY62" s="783"/>
      <c r="CZ62" s="783"/>
      <c r="DA62" s="783"/>
      <c r="DB62" s="783"/>
      <c r="DC62" s="783"/>
      <c r="DD62" s="783"/>
      <c r="DE62" s="784"/>
      <c r="DF62" s="827">
        <f>DF63+DF75+DF82+DF96</f>
        <v>180383660</v>
      </c>
      <c r="DG62" s="828"/>
      <c r="DH62" s="828"/>
      <c r="DI62" s="828"/>
      <c r="DJ62" s="828"/>
      <c r="DK62" s="828"/>
      <c r="DL62" s="828"/>
      <c r="DM62" s="828"/>
      <c r="DN62" s="828"/>
      <c r="DO62" s="828"/>
      <c r="DP62" s="828"/>
      <c r="DQ62" s="828"/>
      <c r="DR62" s="829"/>
      <c r="DS62" s="827">
        <f t="shared" ref="DS62" si="2">DS63+DS75+DS82+DS96</f>
        <v>181480260</v>
      </c>
      <c r="DT62" s="828"/>
      <c r="DU62" s="828"/>
      <c r="DV62" s="828"/>
      <c r="DW62" s="828"/>
      <c r="DX62" s="828"/>
      <c r="DY62" s="828"/>
      <c r="DZ62" s="828"/>
      <c r="EA62" s="828"/>
      <c r="EB62" s="828"/>
      <c r="EC62" s="828"/>
      <c r="ED62" s="828"/>
      <c r="EE62" s="829"/>
      <c r="EF62" s="827">
        <f t="shared" ref="EF62" si="3">EF63+EF75+EF82+EF96</f>
        <v>183498600</v>
      </c>
      <c r="EG62" s="828"/>
      <c r="EH62" s="828"/>
      <c r="EI62" s="828"/>
      <c r="EJ62" s="828"/>
      <c r="EK62" s="828"/>
      <c r="EL62" s="828"/>
      <c r="EM62" s="828"/>
      <c r="EN62" s="828"/>
      <c r="EO62" s="828"/>
      <c r="EP62" s="828"/>
      <c r="EQ62" s="828"/>
      <c r="ER62" s="829"/>
      <c r="ES62" s="779"/>
      <c r="ET62" s="780"/>
      <c r="EU62" s="780"/>
      <c r="EV62" s="780"/>
      <c r="EW62" s="780"/>
      <c r="EX62" s="780"/>
      <c r="EY62" s="780"/>
      <c r="EZ62" s="780"/>
      <c r="FA62" s="780"/>
      <c r="FB62" s="780"/>
      <c r="FC62" s="780"/>
      <c r="FD62" s="780"/>
      <c r="FE62" s="781"/>
      <c r="FF62" s="510">
        <f>DF62-DF35</f>
        <v>0</v>
      </c>
    </row>
    <row r="63" spans="1:164" s="490" customFormat="1" ht="22.5" customHeight="1" x14ac:dyDescent="0.15">
      <c r="A63" s="861" t="s">
        <v>865</v>
      </c>
      <c r="B63" s="862"/>
      <c r="C63" s="862"/>
      <c r="D63" s="862"/>
      <c r="E63" s="862"/>
      <c r="F63" s="862"/>
      <c r="G63" s="862"/>
      <c r="H63" s="862"/>
      <c r="I63" s="862"/>
      <c r="J63" s="862"/>
      <c r="K63" s="862"/>
      <c r="L63" s="862"/>
      <c r="M63" s="862"/>
      <c r="N63" s="862"/>
      <c r="O63" s="862"/>
      <c r="P63" s="862"/>
      <c r="Q63" s="862"/>
      <c r="R63" s="862"/>
      <c r="S63" s="862"/>
      <c r="T63" s="862"/>
      <c r="U63" s="862"/>
      <c r="V63" s="862"/>
      <c r="W63" s="862"/>
      <c r="X63" s="862"/>
      <c r="Y63" s="862"/>
      <c r="Z63" s="862"/>
      <c r="AA63" s="862"/>
      <c r="AB63" s="862"/>
      <c r="AC63" s="862"/>
      <c r="AD63" s="862"/>
      <c r="AE63" s="862"/>
      <c r="AF63" s="862"/>
      <c r="AG63" s="862"/>
      <c r="AH63" s="862"/>
      <c r="AI63" s="862"/>
      <c r="AJ63" s="862"/>
      <c r="AK63" s="862"/>
      <c r="AL63" s="862"/>
      <c r="AM63" s="862"/>
      <c r="AN63" s="862"/>
      <c r="AO63" s="862"/>
      <c r="AP63" s="862"/>
      <c r="AQ63" s="862"/>
      <c r="AR63" s="862"/>
      <c r="AS63" s="862"/>
      <c r="AT63" s="862"/>
      <c r="AU63" s="862"/>
      <c r="AV63" s="862"/>
      <c r="AW63" s="862"/>
      <c r="AX63" s="862"/>
      <c r="AY63" s="862"/>
      <c r="AZ63" s="862"/>
      <c r="BA63" s="862"/>
      <c r="BB63" s="862"/>
      <c r="BC63" s="862"/>
      <c r="BD63" s="862"/>
      <c r="BE63" s="862"/>
      <c r="BF63" s="862"/>
      <c r="BG63" s="862"/>
      <c r="BH63" s="862"/>
      <c r="BI63" s="862"/>
      <c r="BJ63" s="862"/>
      <c r="BK63" s="862"/>
      <c r="BL63" s="862"/>
      <c r="BM63" s="862"/>
      <c r="BN63" s="862"/>
      <c r="BO63" s="862"/>
      <c r="BP63" s="862"/>
      <c r="BQ63" s="862"/>
      <c r="BR63" s="862"/>
      <c r="BS63" s="862"/>
      <c r="BT63" s="862"/>
      <c r="BU63" s="862"/>
      <c r="BV63" s="862"/>
      <c r="BW63" s="862"/>
      <c r="BX63" s="787" t="s">
        <v>866</v>
      </c>
      <c r="BY63" s="788"/>
      <c r="BZ63" s="788"/>
      <c r="CA63" s="788"/>
      <c r="CB63" s="788"/>
      <c r="CC63" s="788"/>
      <c r="CD63" s="788"/>
      <c r="CE63" s="789"/>
      <c r="CF63" s="790" t="s">
        <v>74</v>
      </c>
      <c r="CG63" s="788"/>
      <c r="CH63" s="788"/>
      <c r="CI63" s="788"/>
      <c r="CJ63" s="788"/>
      <c r="CK63" s="788"/>
      <c r="CL63" s="788"/>
      <c r="CM63" s="788"/>
      <c r="CN63" s="788"/>
      <c r="CO63" s="788"/>
      <c r="CP63" s="788"/>
      <c r="CQ63" s="788"/>
      <c r="CR63" s="789"/>
      <c r="CS63" s="790"/>
      <c r="CT63" s="788"/>
      <c r="CU63" s="788"/>
      <c r="CV63" s="788"/>
      <c r="CW63" s="788"/>
      <c r="CX63" s="788"/>
      <c r="CY63" s="788"/>
      <c r="CZ63" s="788"/>
      <c r="DA63" s="788"/>
      <c r="DB63" s="788"/>
      <c r="DC63" s="788"/>
      <c r="DD63" s="788"/>
      <c r="DE63" s="789"/>
      <c r="DF63" s="827">
        <f>DF64+DF65+DF66+DF67</f>
        <v>138863360</v>
      </c>
      <c r="DG63" s="828"/>
      <c r="DH63" s="828"/>
      <c r="DI63" s="828"/>
      <c r="DJ63" s="828"/>
      <c r="DK63" s="828"/>
      <c r="DL63" s="828"/>
      <c r="DM63" s="828"/>
      <c r="DN63" s="828"/>
      <c r="DO63" s="828"/>
      <c r="DP63" s="828"/>
      <c r="DQ63" s="828"/>
      <c r="DR63" s="829"/>
      <c r="DS63" s="827">
        <f t="shared" ref="DS63" si="4">DS64+DS65+DS66+DS67</f>
        <v>139505400</v>
      </c>
      <c r="DT63" s="828"/>
      <c r="DU63" s="828"/>
      <c r="DV63" s="828"/>
      <c r="DW63" s="828"/>
      <c r="DX63" s="828"/>
      <c r="DY63" s="828"/>
      <c r="DZ63" s="828"/>
      <c r="EA63" s="828"/>
      <c r="EB63" s="828"/>
      <c r="EC63" s="828"/>
      <c r="ED63" s="828"/>
      <c r="EE63" s="829"/>
      <c r="EF63" s="827">
        <f t="shared" ref="EF63" si="5">EF64+EF65+EF66+EF67</f>
        <v>141337640</v>
      </c>
      <c r="EG63" s="828"/>
      <c r="EH63" s="828"/>
      <c r="EI63" s="828"/>
      <c r="EJ63" s="828"/>
      <c r="EK63" s="828"/>
      <c r="EL63" s="828"/>
      <c r="EM63" s="828"/>
      <c r="EN63" s="828"/>
      <c r="EO63" s="828"/>
      <c r="EP63" s="828"/>
      <c r="EQ63" s="828"/>
      <c r="ER63" s="829"/>
      <c r="ES63" s="830" t="s">
        <v>74</v>
      </c>
      <c r="ET63" s="831"/>
      <c r="EU63" s="831"/>
      <c r="EV63" s="831"/>
      <c r="EW63" s="831"/>
      <c r="EX63" s="831"/>
      <c r="EY63" s="831"/>
      <c r="EZ63" s="831"/>
      <c r="FA63" s="831"/>
      <c r="FB63" s="831"/>
      <c r="FC63" s="831"/>
      <c r="FD63" s="831"/>
      <c r="FE63" s="832"/>
    </row>
    <row r="64" spans="1:164" ht="22.5" customHeight="1" x14ac:dyDescent="0.2">
      <c r="A64" s="805" t="s">
        <v>867</v>
      </c>
      <c r="B64" s="806"/>
      <c r="C64" s="806"/>
      <c r="D64" s="806"/>
      <c r="E64" s="806"/>
      <c r="F64" s="806"/>
      <c r="G64" s="806"/>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6"/>
      <c r="AQ64" s="806"/>
      <c r="AR64" s="806"/>
      <c r="AS64" s="806"/>
      <c r="AT64" s="806"/>
      <c r="AU64" s="806"/>
      <c r="AV64" s="806"/>
      <c r="AW64" s="806"/>
      <c r="AX64" s="806"/>
      <c r="AY64" s="806"/>
      <c r="AZ64" s="806"/>
      <c r="BA64" s="806"/>
      <c r="BB64" s="806"/>
      <c r="BC64" s="806"/>
      <c r="BD64" s="806"/>
      <c r="BE64" s="806"/>
      <c r="BF64" s="806"/>
      <c r="BG64" s="806"/>
      <c r="BH64" s="806"/>
      <c r="BI64" s="806"/>
      <c r="BJ64" s="806"/>
      <c r="BK64" s="806"/>
      <c r="BL64" s="806"/>
      <c r="BM64" s="806"/>
      <c r="BN64" s="806"/>
      <c r="BO64" s="806"/>
      <c r="BP64" s="806"/>
      <c r="BQ64" s="806"/>
      <c r="BR64" s="806"/>
      <c r="BS64" s="806"/>
      <c r="BT64" s="806"/>
      <c r="BU64" s="806"/>
      <c r="BV64" s="806"/>
      <c r="BW64" s="806"/>
      <c r="BX64" s="782" t="s">
        <v>868</v>
      </c>
      <c r="BY64" s="783"/>
      <c r="BZ64" s="783"/>
      <c r="CA64" s="783"/>
      <c r="CB64" s="783"/>
      <c r="CC64" s="783"/>
      <c r="CD64" s="783"/>
      <c r="CE64" s="784"/>
      <c r="CF64" s="785" t="s">
        <v>869</v>
      </c>
      <c r="CG64" s="783"/>
      <c r="CH64" s="783"/>
      <c r="CI64" s="783"/>
      <c r="CJ64" s="783"/>
      <c r="CK64" s="783"/>
      <c r="CL64" s="783"/>
      <c r="CM64" s="783"/>
      <c r="CN64" s="783"/>
      <c r="CO64" s="783"/>
      <c r="CP64" s="783"/>
      <c r="CQ64" s="783"/>
      <c r="CR64" s="784"/>
      <c r="CS64" s="785" t="s">
        <v>870</v>
      </c>
      <c r="CT64" s="783"/>
      <c r="CU64" s="783"/>
      <c r="CV64" s="783"/>
      <c r="CW64" s="783"/>
      <c r="CX64" s="783"/>
      <c r="CY64" s="783"/>
      <c r="CZ64" s="783"/>
      <c r="DA64" s="783"/>
      <c r="DB64" s="783"/>
      <c r="DC64" s="783"/>
      <c r="DD64" s="783"/>
      <c r="DE64" s="784"/>
      <c r="DF64" s="776">
        <f>100739000+900000+216000+4200000+145000</f>
        <v>106200000</v>
      </c>
      <c r="DG64" s="777"/>
      <c r="DH64" s="777"/>
      <c r="DI64" s="777"/>
      <c r="DJ64" s="777"/>
      <c r="DK64" s="777"/>
      <c r="DL64" s="777"/>
      <c r="DM64" s="777"/>
      <c r="DN64" s="777"/>
      <c r="DO64" s="777"/>
      <c r="DP64" s="777"/>
      <c r="DQ64" s="777"/>
      <c r="DR64" s="778"/>
      <c r="DS64" s="776">
        <f>101432000+900000+4200000+145000</f>
        <v>106677000</v>
      </c>
      <c r="DT64" s="777"/>
      <c r="DU64" s="777"/>
      <c r="DV64" s="777"/>
      <c r="DW64" s="777"/>
      <c r="DX64" s="777"/>
      <c r="DY64" s="777"/>
      <c r="DZ64" s="777"/>
      <c r="EA64" s="777"/>
      <c r="EB64" s="777"/>
      <c r="EC64" s="777"/>
      <c r="ED64" s="777"/>
      <c r="EE64" s="778"/>
      <c r="EF64" s="776">
        <f>102640000+900000+145000+4320000</f>
        <v>108005000</v>
      </c>
      <c r="EG64" s="777"/>
      <c r="EH64" s="777"/>
      <c r="EI64" s="777"/>
      <c r="EJ64" s="777"/>
      <c r="EK64" s="777"/>
      <c r="EL64" s="777"/>
      <c r="EM64" s="777"/>
      <c r="EN64" s="777"/>
      <c r="EO64" s="777"/>
      <c r="EP64" s="777"/>
      <c r="EQ64" s="777"/>
      <c r="ER64" s="778"/>
      <c r="ES64" s="779" t="s">
        <v>74</v>
      </c>
      <c r="ET64" s="780"/>
      <c r="EU64" s="780"/>
      <c r="EV64" s="780"/>
      <c r="EW64" s="780"/>
      <c r="EX64" s="780"/>
      <c r="EY64" s="780"/>
      <c r="EZ64" s="780"/>
      <c r="FA64" s="780"/>
      <c r="FB64" s="780"/>
      <c r="FC64" s="780"/>
      <c r="FD64" s="780"/>
      <c r="FE64" s="781"/>
      <c r="FF64" s="482">
        <v>101351937</v>
      </c>
      <c r="FG64" s="482">
        <f>145000+102402000+900000+4320000+238000</f>
        <v>108005000</v>
      </c>
      <c r="FH64" s="510">
        <f>FG64-EF64</f>
        <v>0</v>
      </c>
    </row>
    <row r="65" spans="1:163" ht="15.75" customHeight="1" x14ac:dyDescent="0.2">
      <c r="A65" s="813" t="s">
        <v>389</v>
      </c>
      <c r="B65" s="814"/>
      <c r="C65" s="814"/>
      <c r="D65" s="814"/>
      <c r="E65" s="814"/>
      <c r="F65" s="814"/>
      <c r="G65" s="814"/>
      <c r="H65" s="814"/>
      <c r="I65" s="814"/>
      <c r="J65" s="814"/>
      <c r="K65" s="814"/>
      <c r="L65" s="814"/>
      <c r="M65" s="814"/>
      <c r="N65" s="814"/>
      <c r="O65" s="814"/>
      <c r="P65" s="814"/>
      <c r="Q65" s="814"/>
      <c r="R65" s="814"/>
      <c r="S65" s="814"/>
      <c r="T65" s="814"/>
      <c r="U65" s="814"/>
      <c r="V65" s="814"/>
      <c r="W65" s="814"/>
      <c r="X65" s="814"/>
      <c r="Y65" s="814"/>
      <c r="Z65" s="814"/>
      <c r="AA65" s="814"/>
      <c r="AB65" s="814"/>
      <c r="AC65" s="814"/>
      <c r="AD65" s="814"/>
      <c r="AE65" s="814"/>
      <c r="AF65" s="814"/>
      <c r="AG65" s="814"/>
      <c r="AH65" s="814"/>
      <c r="AI65" s="814"/>
      <c r="AJ65" s="814"/>
      <c r="AK65" s="814"/>
      <c r="AL65" s="814"/>
      <c r="AM65" s="814"/>
      <c r="AN65" s="814"/>
      <c r="AO65" s="814"/>
      <c r="AP65" s="814"/>
      <c r="AQ65" s="814"/>
      <c r="AR65" s="814"/>
      <c r="AS65" s="814"/>
      <c r="AT65" s="814"/>
      <c r="AU65" s="814"/>
      <c r="AV65" s="814"/>
      <c r="AW65" s="814"/>
      <c r="AX65" s="814"/>
      <c r="AY65" s="814"/>
      <c r="AZ65" s="814"/>
      <c r="BA65" s="814"/>
      <c r="BB65" s="814"/>
      <c r="BC65" s="814"/>
      <c r="BD65" s="814"/>
      <c r="BE65" s="814"/>
      <c r="BF65" s="814"/>
      <c r="BG65" s="814"/>
      <c r="BH65" s="814"/>
      <c r="BI65" s="814"/>
      <c r="BJ65" s="814"/>
      <c r="BK65" s="814"/>
      <c r="BL65" s="814"/>
      <c r="BM65" s="814"/>
      <c r="BN65" s="814"/>
      <c r="BO65" s="814"/>
      <c r="BP65" s="814"/>
      <c r="BQ65" s="814"/>
      <c r="BR65" s="814"/>
      <c r="BS65" s="814"/>
      <c r="BT65" s="814"/>
      <c r="BU65" s="814"/>
      <c r="BV65" s="814"/>
      <c r="BW65" s="815"/>
      <c r="BX65" s="782" t="s">
        <v>871</v>
      </c>
      <c r="BY65" s="783"/>
      <c r="BZ65" s="783"/>
      <c r="CA65" s="783"/>
      <c r="CB65" s="783"/>
      <c r="CC65" s="783"/>
      <c r="CD65" s="783"/>
      <c r="CE65" s="784"/>
      <c r="CF65" s="785" t="s">
        <v>872</v>
      </c>
      <c r="CG65" s="783"/>
      <c r="CH65" s="783"/>
      <c r="CI65" s="783"/>
      <c r="CJ65" s="783"/>
      <c r="CK65" s="783"/>
      <c r="CL65" s="783"/>
      <c r="CM65" s="783"/>
      <c r="CN65" s="783"/>
      <c r="CO65" s="783"/>
      <c r="CP65" s="783"/>
      <c r="CQ65" s="783"/>
      <c r="CR65" s="784"/>
      <c r="CS65" s="785" t="s">
        <v>873</v>
      </c>
      <c r="CT65" s="783"/>
      <c r="CU65" s="783"/>
      <c r="CV65" s="783"/>
      <c r="CW65" s="783"/>
      <c r="CX65" s="783"/>
      <c r="CY65" s="783"/>
      <c r="CZ65" s="783"/>
      <c r="DA65" s="783"/>
      <c r="DB65" s="783"/>
      <c r="DC65" s="783"/>
      <c r="DD65" s="783"/>
      <c r="DE65" s="784"/>
      <c r="DF65" s="776">
        <f>871000+12000+65360+1500+11500</f>
        <v>961360</v>
      </c>
      <c r="DG65" s="777"/>
      <c r="DH65" s="777"/>
      <c r="DI65" s="777"/>
      <c r="DJ65" s="777"/>
      <c r="DK65" s="777"/>
      <c r="DL65" s="777"/>
      <c r="DM65" s="777"/>
      <c r="DN65" s="777"/>
      <c r="DO65" s="777"/>
      <c r="DP65" s="777"/>
      <c r="DQ65" s="777"/>
      <c r="DR65" s="778"/>
      <c r="DS65" s="776">
        <f>1077000+13000</f>
        <v>1090000</v>
      </c>
      <c r="DT65" s="777"/>
      <c r="DU65" s="777"/>
      <c r="DV65" s="777"/>
      <c r="DW65" s="777"/>
      <c r="DX65" s="777"/>
      <c r="DY65" s="777"/>
      <c r="DZ65" s="777"/>
      <c r="EA65" s="777"/>
      <c r="EB65" s="777"/>
      <c r="EC65" s="777"/>
      <c r="ED65" s="777"/>
      <c r="EE65" s="778"/>
      <c r="EF65" s="776">
        <f>1127000+13000</f>
        <v>1140000</v>
      </c>
      <c r="EG65" s="777"/>
      <c r="EH65" s="777"/>
      <c r="EI65" s="777"/>
      <c r="EJ65" s="777"/>
      <c r="EK65" s="777"/>
      <c r="EL65" s="777"/>
      <c r="EM65" s="777"/>
      <c r="EN65" s="777"/>
      <c r="EO65" s="777"/>
      <c r="EP65" s="777"/>
      <c r="EQ65" s="777"/>
      <c r="ER65" s="778"/>
      <c r="ES65" s="779" t="s">
        <v>74</v>
      </c>
      <c r="ET65" s="780"/>
      <c r="EU65" s="780"/>
      <c r="EV65" s="780"/>
      <c r="EW65" s="780"/>
      <c r="EX65" s="780"/>
      <c r="EY65" s="780"/>
      <c r="EZ65" s="780"/>
      <c r="FA65" s="780"/>
      <c r="FB65" s="780"/>
      <c r="FC65" s="780"/>
      <c r="FD65" s="780"/>
      <c r="FE65" s="781"/>
      <c r="FF65" s="482">
        <v>1154329.52</v>
      </c>
      <c r="FG65" s="482">
        <f>1500+11500+1087000+40000</f>
        <v>1140000</v>
      </c>
    </row>
    <row r="66" spans="1:163" ht="22.5" customHeight="1" x14ac:dyDescent="0.2">
      <c r="A66" s="805" t="s">
        <v>390</v>
      </c>
      <c r="B66" s="806"/>
      <c r="C66" s="806"/>
      <c r="D66" s="806"/>
      <c r="E66" s="806"/>
      <c r="F66" s="806"/>
      <c r="G66" s="806"/>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6"/>
      <c r="AY66" s="806"/>
      <c r="AZ66" s="806"/>
      <c r="BA66" s="806"/>
      <c r="BB66" s="806"/>
      <c r="BC66" s="806"/>
      <c r="BD66" s="806"/>
      <c r="BE66" s="806"/>
      <c r="BF66" s="806"/>
      <c r="BG66" s="806"/>
      <c r="BH66" s="806"/>
      <c r="BI66" s="806"/>
      <c r="BJ66" s="806"/>
      <c r="BK66" s="806"/>
      <c r="BL66" s="806"/>
      <c r="BM66" s="806"/>
      <c r="BN66" s="806"/>
      <c r="BO66" s="806"/>
      <c r="BP66" s="806"/>
      <c r="BQ66" s="806"/>
      <c r="BR66" s="806"/>
      <c r="BS66" s="806"/>
      <c r="BT66" s="806"/>
      <c r="BU66" s="806"/>
      <c r="BV66" s="806"/>
      <c r="BW66" s="806"/>
      <c r="BX66" s="782" t="s">
        <v>874</v>
      </c>
      <c r="BY66" s="783"/>
      <c r="BZ66" s="783"/>
      <c r="CA66" s="783"/>
      <c r="CB66" s="783"/>
      <c r="CC66" s="783"/>
      <c r="CD66" s="783"/>
      <c r="CE66" s="784"/>
      <c r="CF66" s="785" t="s">
        <v>875</v>
      </c>
      <c r="CG66" s="783"/>
      <c r="CH66" s="783"/>
      <c r="CI66" s="783"/>
      <c r="CJ66" s="783"/>
      <c r="CK66" s="783"/>
      <c r="CL66" s="783"/>
      <c r="CM66" s="783"/>
      <c r="CN66" s="783"/>
      <c r="CO66" s="783"/>
      <c r="CP66" s="783"/>
      <c r="CQ66" s="783"/>
      <c r="CR66" s="784"/>
      <c r="CS66" s="785" t="s">
        <v>876</v>
      </c>
      <c r="CT66" s="783"/>
      <c r="CU66" s="783"/>
      <c r="CV66" s="783"/>
      <c r="CW66" s="783"/>
      <c r="CX66" s="783"/>
      <c r="CY66" s="783"/>
      <c r="CZ66" s="783"/>
      <c r="DA66" s="783"/>
      <c r="DB66" s="783"/>
      <c r="DC66" s="783"/>
      <c r="DD66" s="783"/>
      <c r="DE66" s="784"/>
      <c r="DF66" s="776">
        <v>95200</v>
      </c>
      <c r="DG66" s="777"/>
      <c r="DH66" s="777"/>
      <c r="DI66" s="777"/>
      <c r="DJ66" s="777"/>
      <c r="DK66" s="777"/>
      <c r="DL66" s="777"/>
      <c r="DM66" s="777"/>
      <c r="DN66" s="777"/>
      <c r="DO66" s="777"/>
      <c r="DP66" s="777"/>
      <c r="DQ66" s="777"/>
      <c r="DR66" s="778"/>
      <c r="DS66" s="776">
        <v>0</v>
      </c>
      <c r="DT66" s="777"/>
      <c r="DU66" s="777"/>
      <c r="DV66" s="777"/>
      <c r="DW66" s="777"/>
      <c r="DX66" s="777"/>
      <c r="DY66" s="777"/>
      <c r="DZ66" s="777"/>
      <c r="EA66" s="777"/>
      <c r="EB66" s="777"/>
      <c r="EC66" s="777"/>
      <c r="ED66" s="777"/>
      <c r="EE66" s="778"/>
      <c r="EF66" s="776">
        <v>0</v>
      </c>
      <c r="EG66" s="777"/>
      <c r="EH66" s="777"/>
      <c r="EI66" s="777"/>
      <c r="EJ66" s="777"/>
      <c r="EK66" s="777"/>
      <c r="EL66" s="777"/>
      <c r="EM66" s="777"/>
      <c r="EN66" s="777"/>
      <c r="EO66" s="777"/>
      <c r="EP66" s="777"/>
      <c r="EQ66" s="777"/>
      <c r="ER66" s="778"/>
      <c r="ES66" s="779" t="s">
        <v>74</v>
      </c>
      <c r="ET66" s="780"/>
      <c r="EU66" s="780"/>
      <c r="EV66" s="780"/>
      <c r="EW66" s="780"/>
      <c r="EX66" s="780"/>
      <c r="EY66" s="780"/>
      <c r="EZ66" s="780"/>
      <c r="FA66" s="780"/>
      <c r="FB66" s="780"/>
      <c r="FC66" s="780"/>
      <c r="FD66" s="780"/>
      <c r="FE66" s="781"/>
    </row>
    <row r="67" spans="1:163" ht="22.5" customHeight="1" x14ac:dyDescent="0.2">
      <c r="A67" s="805" t="s">
        <v>391</v>
      </c>
      <c r="B67" s="806"/>
      <c r="C67" s="806"/>
      <c r="D67" s="806"/>
      <c r="E67" s="806"/>
      <c r="F67" s="806"/>
      <c r="G67" s="806"/>
      <c r="H67" s="806"/>
      <c r="I67" s="806"/>
      <c r="J67" s="806"/>
      <c r="K67" s="806"/>
      <c r="L67" s="806"/>
      <c r="M67" s="806"/>
      <c r="N67" s="806"/>
      <c r="O67" s="806"/>
      <c r="P67" s="806"/>
      <c r="Q67" s="806"/>
      <c r="R67" s="806"/>
      <c r="S67" s="806"/>
      <c r="T67" s="806"/>
      <c r="U67" s="806"/>
      <c r="V67" s="806"/>
      <c r="W67" s="806"/>
      <c r="X67" s="806"/>
      <c r="Y67" s="806"/>
      <c r="Z67" s="806"/>
      <c r="AA67" s="806"/>
      <c r="AB67" s="806"/>
      <c r="AC67" s="806"/>
      <c r="AD67" s="806"/>
      <c r="AE67" s="806"/>
      <c r="AF67" s="806"/>
      <c r="AG67" s="806"/>
      <c r="AH67" s="806"/>
      <c r="AI67" s="806"/>
      <c r="AJ67" s="806"/>
      <c r="AK67" s="806"/>
      <c r="AL67" s="806"/>
      <c r="AM67" s="806"/>
      <c r="AN67" s="806"/>
      <c r="AO67" s="806"/>
      <c r="AP67" s="806"/>
      <c r="AQ67" s="806"/>
      <c r="AR67" s="806"/>
      <c r="AS67" s="806"/>
      <c r="AT67" s="806"/>
      <c r="AU67" s="806"/>
      <c r="AV67" s="806"/>
      <c r="AW67" s="806"/>
      <c r="AX67" s="806"/>
      <c r="AY67" s="806"/>
      <c r="AZ67" s="806"/>
      <c r="BA67" s="806"/>
      <c r="BB67" s="806"/>
      <c r="BC67" s="806"/>
      <c r="BD67" s="806"/>
      <c r="BE67" s="806"/>
      <c r="BF67" s="806"/>
      <c r="BG67" s="806"/>
      <c r="BH67" s="806"/>
      <c r="BI67" s="806"/>
      <c r="BJ67" s="806"/>
      <c r="BK67" s="806"/>
      <c r="BL67" s="806"/>
      <c r="BM67" s="806"/>
      <c r="BN67" s="806"/>
      <c r="BO67" s="806"/>
      <c r="BP67" s="806"/>
      <c r="BQ67" s="806"/>
      <c r="BR67" s="806"/>
      <c r="BS67" s="806"/>
      <c r="BT67" s="806"/>
      <c r="BU67" s="806"/>
      <c r="BV67" s="806"/>
      <c r="BW67" s="806"/>
      <c r="BX67" s="782" t="s">
        <v>877</v>
      </c>
      <c r="BY67" s="783"/>
      <c r="BZ67" s="783"/>
      <c r="CA67" s="783"/>
      <c r="CB67" s="783"/>
      <c r="CC67" s="783"/>
      <c r="CD67" s="783"/>
      <c r="CE67" s="784"/>
      <c r="CF67" s="785" t="s">
        <v>878</v>
      </c>
      <c r="CG67" s="783"/>
      <c r="CH67" s="783"/>
      <c r="CI67" s="783"/>
      <c r="CJ67" s="783"/>
      <c r="CK67" s="783"/>
      <c r="CL67" s="783"/>
      <c r="CM67" s="783"/>
      <c r="CN67" s="783"/>
      <c r="CO67" s="783"/>
      <c r="CP67" s="783"/>
      <c r="CQ67" s="783"/>
      <c r="CR67" s="784"/>
      <c r="CS67" s="785" t="s">
        <v>879</v>
      </c>
      <c r="CT67" s="783"/>
      <c r="CU67" s="783"/>
      <c r="CV67" s="783"/>
      <c r="CW67" s="783"/>
      <c r="CX67" s="783"/>
      <c r="CY67" s="783"/>
      <c r="CZ67" s="783"/>
      <c r="DA67" s="783"/>
      <c r="DB67" s="783"/>
      <c r="DC67" s="783"/>
      <c r="DD67" s="783"/>
      <c r="DE67" s="784"/>
      <c r="DF67" s="776">
        <f>DF68</f>
        <v>31606800</v>
      </c>
      <c r="DG67" s="777"/>
      <c r="DH67" s="777"/>
      <c r="DI67" s="777"/>
      <c r="DJ67" s="777"/>
      <c r="DK67" s="777"/>
      <c r="DL67" s="777"/>
      <c r="DM67" s="777"/>
      <c r="DN67" s="777"/>
      <c r="DO67" s="777"/>
      <c r="DP67" s="777"/>
      <c r="DQ67" s="777"/>
      <c r="DR67" s="778"/>
      <c r="DS67" s="776">
        <f>DS68</f>
        <v>31738400</v>
      </c>
      <c r="DT67" s="777"/>
      <c r="DU67" s="777"/>
      <c r="DV67" s="777"/>
      <c r="DW67" s="777"/>
      <c r="DX67" s="777"/>
      <c r="DY67" s="777"/>
      <c r="DZ67" s="777"/>
      <c r="EA67" s="777"/>
      <c r="EB67" s="777"/>
      <c r="EC67" s="777"/>
      <c r="ED67" s="777"/>
      <c r="EE67" s="778"/>
      <c r="EF67" s="776">
        <f t="shared" ref="EF67" si="6">EF68</f>
        <v>32192640</v>
      </c>
      <c r="EG67" s="777"/>
      <c r="EH67" s="777"/>
      <c r="EI67" s="777"/>
      <c r="EJ67" s="777"/>
      <c r="EK67" s="777"/>
      <c r="EL67" s="777"/>
      <c r="EM67" s="777"/>
      <c r="EN67" s="777"/>
      <c r="EO67" s="777"/>
      <c r="EP67" s="777"/>
      <c r="EQ67" s="777"/>
      <c r="ER67" s="778"/>
      <c r="ES67" s="776" t="str">
        <f t="shared" ref="ES67" si="7">ES68</f>
        <v>х</v>
      </c>
      <c r="ET67" s="777"/>
      <c r="EU67" s="777"/>
      <c r="EV67" s="777"/>
      <c r="EW67" s="777"/>
      <c r="EX67" s="777"/>
      <c r="EY67" s="777"/>
      <c r="EZ67" s="777"/>
      <c r="FA67" s="777"/>
      <c r="FB67" s="777"/>
      <c r="FC67" s="777"/>
      <c r="FD67" s="777"/>
      <c r="FE67" s="778"/>
      <c r="FG67" s="482">
        <f>36000+30790000+62000+1304640</f>
        <v>32192640</v>
      </c>
    </row>
    <row r="68" spans="1:163" ht="22.5" customHeight="1" x14ac:dyDescent="0.2">
      <c r="A68" s="803" t="s">
        <v>880</v>
      </c>
      <c r="B68" s="804"/>
      <c r="C68" s="804"/>
      <c r="D68" s="804"/>
      <c r="E68" s="804"/>
      <c r="F68" s="804"/>
      <c r="G68" s="804"/>
      <c r="H68" s="804"/>
      <c r="I68" s="804"/>
      <c r="J68" s="804"/>
      <c r="K68" s="804"/>
      <c r="L68" s="804"/>
      <c r="M68" s="804"/>
      <c r="N68" s="804"/>
      <c r="O68" s="804"/>
      <c r="P68" s="804"/>
      <c r="Q68" s="804"/>
      <c r="R68" s="804"/>
      <c r="S68" s="804"/>
      <c r="T68" s="804"/>
      <c r="U68" s="804"/>
      <c r="V68" s="804"/>
      <c r="W68" s="804"/>
      <c r="X68" s="804"/>
      <c r="Y68" s="804"/>
      <c r="Z68" s="804"/>
      <c r="AA68" s="804"/>
      <c r="AB68" s="804"/>
      <c r="AC68" s="804"/>
      <c r="AD68" s="804"/>
      <c r="AE68" s="804"/>
      <c r="AF68" s="804"/>
      <c r="AG68" s="804"/>
      <c r="AH68" s="804"/>
      <c r="AI68" s="804"/>
      <c r="AJ68" s="804"/>
      <c r="AK68" s="804"/>
      <c r="AL68" s="804"/>
      <c r="AM68" s="804"/>
      <c r="AN68" s="804"/>
      <c r="AO68" s="804"/>
      <c r="AP68" s="804"/>
      <c r="AQ68" s="804"/>
      <c r="AR68" s="804"/>
      <c r="AS68" s="804"/>
      <c r="AT68" s="804"/>
      <c r="AU68" s="804"/>
      <c r="AV68" s="804"/>
      <c r="AW68" s="804"/>
      <c r="AX68" s="804"/>
      <c r="AY68" s="804"/>
      <c r="AZ68" s="804"/>
      <c r="BA68" s="804"/>
      <c r="BB68" s="804"/>
      <c r="BC68" s="804"/>
      <c r="BD68" s="804"/>
      <c r="BE68" s="804"/>
      <c r="BF68" s="804"/>
      <c r="BG68" s="804"/>
      <c r="BH68" s="804"/>
      <c r="BI68" s="804"/>
      <c r="BJ68" s="804"/>
      <c r="BK68" s="804"/>
      <c r="BL68" s="804"/>
      <c r="BM68" s="804"/>
      <c r="BN68" s="804"/>
      <c r="BO68" s="804"/>
      <c r="BP68" s="804"/>
      <c r="BQ68" s="804"/>
      <c r="BR68" s="804"/>
      <c r="BS68" s="804"/>
      <c r="BT68" s="804"/>
      <c r="BU68" s="804"/>
      <c r="BV68" s="804"/>
      <c r="BW68" s="804"/>
      <c r="BX68" s="782" t="s">
        <v>881</v>
      </c>
      <c r="BY68" s="783"/>
      <c r="BZ68" s="783"/>
      <c r="CA68" s="783"/>
      <c r="CB68" s="783"/>
      <c r="CC68" s="783"/>
      <c r="CD68" s="783"/>
      <c r="CE68" s="784"/>
      <c r="CF68" s="785" t="s">
        <v>878</v>
      </c>
      <c r="CG68" s="783"/>
      <c r="CH68" s="783"/>
      <c r="CI68" s="783"/>
      <c r="CJ68" s="783"/>
      <c r="CK68" s="783"/>
      <c r="CL68" s="783"/>
      <c r="CM68" s="783"/>
      <c r="CN68" s="783"/>
      <c r="CO68" s="783"/>
      <c r="CP68" s="783"/>
      <c r="CQ68" s="783"/>
      <c r="CR68" s="784"/>
      <c r="CS68" s="785" t="s">
        <v>882</v>
      </c>
      <c r="CT68" s="783"/>
      <c r="CU68" s="783"/>
      <c r="CV68" s="783"/>
      <c r="CW68" s="783"/>
      <c r="CX68" s="783"/>
      <c r="CY68" s="783"/>
      <c r="CZ68" s="783"/>
      <c r="DA68" s="783"/>
      <c r="DB68" s="783"/>
      <c r="DC68" s="783"/>
      <c r="DD68" s="783"/>
      <c r="DE68" s="784"/>
      <c r="DF68" s="776">
        <f>30248400+54000+1268400+36000</f>
        <v>31606800</v>
      </c>
      <c r="DG68" s="777"/>
      <c r="DH68" s="777"/>
      <c r="DI68" s="777"/>
      <c r="DJ68" s="777"/>
      <c r="DK68" s="777"/>
      <c r="DL68" s="777"/>
      <c r="DM68" s="777"/>
      <c r="DN68" s="777"/>
      <c r="DO68" s="777"/>
      <c r="DP68" s="777"/>
      <c r="DQ68" s="777"/>
      <c r="DR68" s="778"/>
      <c r="DS68" s="776">
        <f>30434000+1268400+36000</f>
        <v>31738400</v>
      </c>
      <c r="DT68" s="777"/>
      <c r="DU68" s="777"/>
      <c r="DV68" s="777"/>
      <c r="DW68" s="777"/>
      <c r="DX68" s="777"/>
      <c r="DY68" s="777"/>
      <c r="DZ68" s="777"/>
      <c r="EA68" s="777"/>
      <c r="EB68" s="777"/>
      <c r="EC68" s="777"/>
      <c r="ED68" s="777"/>
      <c r="EE68" s="778"/>
      <c r="EF68" s="776">
        <f>30852000+36000+1304640</f>
        <v>32192640</v>
      </c>
      <c r="EG68" s="777"/>
      <c r="EH68" s="777"/>
      <c r="EI68" s="777"/>
      <c r="EJ68" s="777"/>
      <c r="EK68" s="777"/>
      <c r="EL68" s="777"/>
      <c r="EM68" s="777"/>
      <c r="EN68" s="777"/>
      <c r="EO68" s="777"/>
      <c r="EP68" s="777"/>
      <c r="EQ68" s="777"/>
      <c r="ER68" s="778"/>
      <c r="ES68" s="779" t="s">
        <v>74</v>
      </c>
      <c r="ET68" s="780"/>
      <c r="EU68" s="780"/>
      <c r="EV68" s="780"/>
      <c r="EW68" s="780"/>
      <c r="EX68" s="780"/>
      <c r="EY68" s="780"/>
      <c r="EZ68" s="780"/>
      <c r="FA68" s="780"/>
      <c r="FB68" s="780"/>
      <c r="FC68" s="780"/>
      <c r="FD68" s="780"/>
      <c r="FE68" s="781"/>
    </row>
    <row r="69" spans="1:163" s="491" customFormat="1" ht="11.25" customHeight="1" x14ac:dyDescent="0.25">
      <c r="A69" s="848" t="s">
        <v>392</v>
      </c>
      <c r="B69" s="849"/>
      <c r="C69" s="849"/>
      <c r="D69" s="849"/>
      <c r="E69" s="849"/>
      <c r="F69" s="849"/>
      <c r="G69" s="849"/>
      <c r="H69" s="849"/>
      <c r="I69" s="849"/>
      <c r="J69" s="849"/>
      <c r="K69" s="849"/>
      <c r="L69" s="849"/>
      <c r="M69" s="849"/>
      <c r="N69" s="849"/>
      <c r="O69" s="849"/>
      <c r="P69" s="849"/>
      <c r="Q69" s="849"/>
      <c r="R69" s="849"/>
      <c r="S69" s="849"/>
      <c r="T69" s="849"/>
      <c r="U69" s="849"/>
      <c r="V69" s="849"/>
      <c r="W69" s="849"/>
      <c r="X69" s="849"/>
      <c r="Y69" s="849"/>
      <c r="Z69" s="849"/>
      <c r="AA69" s="849"/>
      <c r="AB69" s="849"/>
      <c r="AC69" s="849"/>
      <c r="AD69" s="849"/>
      <c r="AE69" s="849"/>
      <c r="AF69" s="849"/>
      <c r="AG69" s="849"/>
      <c r="AH69" s="849"/>
      <c r="AI69" s="849"/>
      <c r="AJ69" s="849"/>
      <c r="AK69" s="849"/>
      <c r="AL69" s="849"/>
      <c r="AM69" s="849"/>
      <c r="AN69" s="849"/>
      <c r="AO69" s="849"/>
      <c r="AP69" s="849"/>
      <c r="AQ69" s="849"/>
      <c r="AR69" s="849"/>
      <c r="AS69" s="849"/>
      <c r="AT69" s="849"/>
      <c r="AU69" s="849"/>
      <c r="AV69" s="849"/>
      <c r="AW69" s="849"/>
      <c r="AX69" s="849"/>
      <c r="AY69" s="849"/>
      <c r="AZ69" s="849"/>
      <c r="BA69" s="849"/>
      <c r="BB69" s="849"/>
      <c r="BC69" s="849"/>
      <c r="BD69" s="849"/>
      <c r="BE69" s="849"/>
      <c r="BF69" s="849"/>
      <c r="BG69" s="849"/>
      <c r="BH69" s="849"/>
      <c r="BI69" s="849"/>
      <c r="BJ69" s="849"/>
      <c r="BK69" s="849"/>
      <c r="BL69" s="849"/>
      <c r="BM69" s="849"/>
      <c r="BN69" s="849"/>
      <c r="BO69" s="849"/>
      <c r="BP69" s="849"/>
      <c r="BQ69" s="849"/>
      <c r="BR69" s="849"/>
      <c r="BS69" s="849"/>
      <c r="BT69" s="849"/>
      <c r="BU69" s="849"/>
      <c r="BV69" s="849"/>
      <c r="BW69" s="850"/>
      <c r="BX69" s="851" t="s">
        <v>883</v>
      </c>
      <c r="BY69" s="852"/>
      <c r="BZ69" s="852"/>
      <c r="CA69" s="852"/>
      <c r="CB69" s="852"/>
      <c r="CC69" s="852"/>
      <c r="CD69" s="852"/>
      <c r="CE69" s="853"/>
      <c r="CF69" s="854" t="s">
        <v>878</v>
      </c>
      <c r="CG69" s="852"/>
      <c r="CH69" s="852"/>
      <c r="CI69" s="852"/>
      <c r="CJ69" s="852"/>
      <c r="CK69" s="852"/>
      <c r="CL69" s="852"/>
      <c r="CM69" s="852"/>
      <c r="CN69" s="852"/>
      <c r="CO69" s="852"/>
      <c r="CP69" s="852"/>
      <c r="CQ69" s="852"/>
      <c r="CR69" s="853"/>
      <c r="CS69" s="854"/>
      <c r="CT69" s="852"/>
      <c r="CU69" s="852"/>
      <c r="CV69" s="852"/>
      <c r="CW69" s="852"/>
      <c r="CX69" s="852"/>
      <c r="CY69" s="852"/>
      <c r="CZ69" s="852"/>
      <c r="DA69" s="852"/>
      <c r="DB69" s="852"/>
      <c r="DC69" s="852"/>
      <c r="DD69" s="852"/>
      <c r="DE69" s="853"/>
      <c r="DF69" s="855"/>
      <c r="DG69" s="856"/>
      <c r="DH69" s="856"/>
      <c r="DI69" s="856"/>
      <c r="DJ69" s="856"/>
      <c r="DK69" s="856"/>
      <c r="DL69" s="856"/>
      <c r="DM69" s="856"/>
      <c r="DN69" s="856"/>
      <c r="DO69" s="856"/>
      <c r="DP69" s="856"/>
      <c r="DQ69" s="856"/>
      <c r="DR69" s="857"/>
      <c r="DS69" s="855"/>
      <c r="DT69" s="856"/>
      <c r="DU69" s="856"/>
      <c r="DV69" s="856"/>
      <c r="DW69" s="856"/>
      <c r="DX69" s="856"/>
      <c r="DY69" s="856"/>
      <c r="DZ69" s="856"/>
      <c r="EA69" s="856"/>
      <c r="EB69" s="856"/>
      <c r="EC69" s="856"/>
      <c r="ED69" s="856"/>
      <c r="EE69" s="857"/>
      <c r="EF69" s="855"/>
      <c r="EG69" s="856"/>
      <c r="EH69" s="856"/>
      <c r="EI69" s="856"/>
      <c r="EJ69" s="856"/>
      <c r="EK69" s="856"/>
      <c r="EL69" s="856"/>
      <c r="EM69" s="856"/>
      <c r="EN69" s="856"/>
      <c r="EO69" s="856"/>
      <c r="EP69" s="856"/>
      <c r="EQ69" s="856"/>
      <c r="ER69" s="857"/>
      <c r="ES69" s="858" t="s">
        <v>74</v>
      </c>
      <c r="ET69" s="859"/>
      <c r="EU69" s="859"/>
      <c r="EV69" s="859"/>
      <c r="EW69" s="859"/>
      <c r="EX69" s="859"/>
      <c r="EY69" s="859"/>
      <c r="EZ69" s="859"/>
      <c r="FA69" s="859"/>
      <c r="FB69" s="859"/>
      <c r="FC69" s="859"/>
      <c r="FD69" s="859"/>
      <c r="FE69" s="860"/>
    </row>
    <row r="70" spans="1:163" ht="11.25" customHeight="1" x14ac:dyDescent="0.2">
      <c r="A70" s="813" t="s">
        <v>393</v>
      </c>
      <c r="B70" s="814"/>
      <c r="C70" s="814"/>
      <c r="D70" s="814"/>
      <c r="E70" s="814"/>
      <c r="F70" s="814"/>
      <c r="G70" s="814"/>
      <c r="H70" s="814"/>
      <c r="I70" s="814"/>
      <c r="J70" s="814"/>
      <c r="K70" s="814"/>
      <c r="L70" s="814"/>
      <c r="M70" s="814"/>
      <c r="N70" s="814"/>
      <c r="O70" s="814"/>
      <c r="P70" s="814"/>
      <c r="Q70" s="814"/>
      <c r="R70" s="814"/>
      <c r="S70" s="814"/>
      <c r="T70" s="814"/>
      <c r="U70" s="814"/>
      <c r="V70" s="814"/>
      <c r="W70" s="814"/>
      <c r="X70" s="814"/>
      <c r="Y70" s="814"/>
      <c r="Z70" s="814"/>
      <c r="AA70" s="814"/>
      <c r="AB70" s="814"/>
      <c r="AC70" s="814"/>
      <c r="AD70" s="814"/>
      <c r="AE70" s="814"/>
      <c r="AF70" s="814"/>
      <c r="AG70" s="814"/>
      <c r="AH70" s="814"/>
      <c r="AI70" s="814"/>
      <c r="AJ70" s="814"/>
      <c r="AK70" s="814"/>
      <c r="AL70" s="814"/>
      <c r="AM70" s="814"/>
      <c r="AN70" s="814"/>
      <c r="AO70" s="814"/>
      <c r="AP70" s="814"/>
      <c r="AQ70" s="814"/>
      <c r="AR70" s="814"/>
      <c r="AS70" s="814"/>
      <c r="AT70" s="814"/>
      <c r="AU70" s="814"/>
      <c r="AV70" s="814"/>
      <c r="AW70" s="814"/>
      <c r="AX70" s="814"/>
      <c r="AY70" s="814"/>
      <c r="AZ70" s="814"/>
      <c r="BA70" s="814"/>
      <c r="BB70" s="814"/>
      <c r="BC70" s="814"/>
      <c r="BD70" s="814"/>
      <c r="BE70" s="814"/>
      <c r="BF70" s="814"/>
      <c r="BG70" s="814"/>
      <c r="BH70" s="814"/>
      <c r="BI70" s="814"/>
      <c r="BJ70" s="814"/>
      <c r="BK70" s="814"/>
      <c r="BL70" s="814"/>
      <c r="BM70" s="814"/>
      <c r="BN70" s="814"/>
      <c r="BO70" s="814"/>
      <c r="BP70" s="814"/>
      <c r="BQ70" s="814"/>
      <c r="BR70" s="814"/>
      <c r="BS70" s="814"/>
      <c r="BT70" s="814"/>
      <c r="BU70" s="814"/>
      <c r="BV70" s="814"/>
      <c r="BW70" s="815"/>
      <c r="BX70" s="782" t="s">
        <v>884</v>
      </c>
      <c r="BY70" s="783"/>
      <c r="BZ70" s="783"/>
      <c r="CA70" s="783"/>
      <c r="CB70" s="783"/>
      <c r="CC70" s="783"/>
      <c r="CD70" s="783"/>
      <c r="CE70" s="784"/>
      <c r="CF70" s="785" t="s">
        <v>842</v>
      </c>
      <c r="CG70" s="783"/>
      <c r="CH70" s="783"/>
      <c r="CI70" s="783"/>
      <c r="CJ70" s="783"/>
      <c r="CK70" s="783"/>
      <c r="CL70" s="783"/>
      <c r="CM70" s="783"/>
      <c r="CN70" s="783"/>
      <c r="CO70" s="783"/>
      <c r="CP70" s="783"/>
      <c r="CQ70" s="783"/>
      <c r="CR70" s="784"/>
      <c r="CS70" s="785"/>
      <c r="CT70" s="783"/>
      <c r="CU70" s="783"/>
      <c r="CV70" s="783"/>
      <c r="CW70" s="783"/>
      <c r="CX70" s="783"/>
      <c r="CY70" s="783"/>
      <c r="CZ70" s="783"/>
      <c r="DA70" s="783"/>
      <c r="DB70" s="783"/>
      <c r="DC70" s="783"/>
      <c r="DD70" s="783"/>
      <c r="DE70" s="784"/>
      <c r="DF70" s="776"/>
      <c r="DG70" s="777"/>
      <c r="DH70" s="777"/>
      <c r="DI70" s="777"/>
      <c r="DJ70" s="777"/>
      <c r="DK70" s="777"/>
      <c r="DL70" s="777"/>
      <c r="DM70" s="777"/>
      <c r="DN70" s="777"/>
      <c r="DO70" s="777"/>
      <c r="DP70" s="777"/>
      <c r="DQ70" s="777"/>
      <c r="DR70" s="778"/>
      <c r="DS70" s="776"/>
      <c r="DT70" s="777"/>
      <c r="DU70" s="777"/>
      <c r="DV70" s="777"/>
      <c r="DW70" s="777"/>
      <c r="DX70" s="777"/>
      <c r="DY70" s="777"/>
      <c r="DZ70" s="777"/>
      <c r="EA70" s="777"/>
      <c r="EB70" s="777"/>
      <c r="EC70" s="777"/>
      <c r="ED70" s="777"/>
      <c r="EE70" s="778"/>
      <c r="EF70" s="776"/>
      <c r="EG70" s="777"/>
      <c r="EH70" s="777"/>
      <c r="EI70" s="777"/>
      <c r="EJ70" s="777"/>
      <c r="EK70" s="777"/>
      <c r="EL70" s="777"/>
      <c r="EM70" s="777"/>
      <c r="EN70" s="777"/>
      <c r="EO70" s="777"/>
      <c r="EP70" s="777"/>
      <c r="EQ70" s="777"/>
      <c r="ER70" s="778"/>
      <c r="ES70" s="779" t="s">
        <v>74</v>
      </c>
      <c r="ET70" s="780"/>
      <c r="EU70" s="780"/>
      <c r="EV70" s="780"/>
      <c r="EW70" s="780"/>
      <c r="EX70" s="780"/>
      <c r="EY70" s="780"/>
      <c r="EZ70" s="780"/>
      <c r="FA70" s="780"/>
      <c r="FB70" s="780"/>
      <c r="FC70" s="780"/>
      <c r="FD70" s="780"/>
      <c r="FE70" s="781"/>
    </row>
    <row r="71" spans="1:163" ht="21.75" customHeight="1" x14ac:dyDescent="0.2">
      <c r="A71" s="813" t="s">
        <v>592</v>
      </c>
      <c r="B71" s="814"/>
      <c r="C71" s="814"/>
      <c r="D71" s="814"/>
      <c r="E71" s="814"/>
      <c r="F71" s="814"/>
      <c r="G71" s="814"/>
      <c r="H71" s="814"/>
      <c r="I71" s="814"/>
      <c r="J71" s="814"/>
      <c r="K71" s="814"/>
      <c r="L71" s="814"/>
      <c r="M71" s="814"/>
      <c r="N71" s="814"/>
      <c r="O71" s="814"/>
      <c r="P71" s="814"/>
      <c r="Q71" s="814"/>
      <c r="R71" s="814"/>
      <c r="S71" s="814"/>
      <c r="T71" s="814"/>
      <c r="U71" s="814"/>
      <c r="V71" s="814"/>
      <c r="W71" s="814"/>
      <c r="X71" s="814"/>
      <c r="Y71" s="814"/>
      <c r="Z71" s="814"/>
      <c r="AA71" s="814"/>
      <c r="AB71" s="814"/>
      <c r="AC71" s="814"/>
      <c r="AD71" s="814"/>
      <c r="AE71" s="814"/>
      <c r="AF71" s="814"/>
      <c r="AG71" s="814"/>
      <c r="AH71" s="814"/>
      <c r="AI71" s="814"/>
      <c r="AJ71" s="814"/>
      <c r="AK71" s="814"/>
      <c r="AL71" s="814"/>
      <c r="AM71" s="814"/>
      <c r="AN71" s="814"/>
      <c r="AO71" s="814"/>
      <c r="AP71" s="814"/>
      <c r="AQ71" s="814"/>
      <c r="AR71" s="814"/>
      <c r="AS71" s="814"/>
      <c r="AT71" s="814"/>
      <c r="AU71" s="814"/>
      <c r="AV71" s="814"/>
      <c r="AW71" s="814"/>
      <c r="AX71" s="814"/>
      <c r="AY71" s="814"/>
      <c r="AZ71" s="814"/>
      <c r="BA71" s="814"/>
      <c r="BB71" s="814"/>
      <c r="BC71" s="814"/>
      <c r="BD71" s="814"/>
      <c r="BE71" s="814"/>
      <c r="BF71" s="814"/>
      <c r="BG71" s="814"/>
      <c r="BH71" s="814"/>
      <c r="BI71" s="814"/>
      <c r="BJ71" s="814"/>
      <c r="BK71" s="814"/>
      <c r="BL71" s="814"/>
      <c r="BM71" s="814"/>
      <c r="BN71" s="814"/>
      <c r="BO71" s="814"/>
      <c r="BP71" s="814"/>
      <c r="BQ71" s="814"/>
      <c r="BR71" s="814"/>
      <c r="BS71" s="814"/>
      <c r="BT71" s="814"/>
      <c r="BU71" s="814"/>
      <c r="BV71" s="814"/>
      <c r="BW71" s="815"/>
      <c r="BX71" s="782" t="s">
        <v>885</v>
      </c>
      <c r="BY71" s="783"/>
      <c r="BZ71" s="783"/>
      <c r="CA71" s="783"/>
      <c r="CB71" s="783"/>
      <c r="CC71" s="783"/>
      <c r="CD71" s="783"/>
      <c r="CE71" s="784"/>
      <c r="CF71" s="785" t="s">
        <v>886</v>
      </c>
      <c r="CG71" s="783"/>
      <c r="CH71" s="783"/>
      <c r="CI71" s="783"/>
      <c r="CJ71" s="783"/>
      <c r="CK71" s="783"/>
      <c r="CL71" s="783"/>
      <c r="CM71" s="783"/>
      <c r="CN71" s="783"/>
      <c r="CO71" s="783"/>
      <c r="CP71" s="783"/>
      <c r="CQ71" s="783"/>
      <c r="CR71" s="784"/>
      <c r="CS71" s="785"/>
      <c r="CT71" s="783"/>
      <c r="CU71" s="783"/>
      <c r="CV71" s="783"/>
      <c r="CW71" s="783"/>
      <c r="CX71" s="783"/>
      <c r="CY71" s="783"/>
      <c r="CZ71" s="783"/>
      <c r="DA71" s="783"/>
      <c r="DB71" s="783"/>
      <c r="DC71" s="783"/>
      <c r="DD71" s="783"/>
      <c r="DE71" s="784"/>
      <c r="DF71" s="776"/>
      <c r="DG71" s="777"/>
      <c r="DH71" s="777"/>
      <c r="DI71" s="777"/>
      <c r="DJ71" s="777"/>
      <c r="DK71" s="777"/>
      <c r="DL71" s="777"/>
      <c r="DM71" s="777"/>
      <c r="DN71" s="777"/>
      <c r="DO71" s="777"/>
      <c r="DP71" s="777"/>
      <c r="DQ71" s="777"/>
      <c r="DR71" s="778"/>
      <c r="DS71" s="776"/>
      <c r="DT71" s="777"/>
      <c r="DU71" s="777"/>
      <c r="DV71" s="777"/>
      <c r="DW71" s="777"/>
      <c r="DX71" s="777"/>
      <c r="DY71" s="777"/>
      <c r="DZ71" s="777"/>
      <c r="EA71" s="777"/>
      <c r="EB71" s="777"/>
      <c r="EC71" s="777"/>
      <c r="ED71" s="777"/>
      <c r="EE71" s="778"/>
      <c r="EF71" s="776"/>
      <c r="EG71" s="777"/>
      <c r="EH71" s="777"/>
      <c r="EI71" s="777"/>
      <c r="EJ71" s="777"/>
      <c r="EK71" s="777"/>
      <c r="EL71" s="777"/>
      <c r="EM71" s="777"/>
      <c r="EN71" s="777"/>
      <c r="EO71" s="777"/>
      <c r="EP71" s="777"/>
      <c r="EQ71" s="777"/>
      <c r="ER71" s="778"/>
      <c r="ES71" s="779" t="s">
        <v>74</v>
      </c>
      <c r="ET71" s="780"/>
      <c r="EU71" s="780"/>
      <c r="EV71" s="780"/>
      <c r="EW71" s="780"/>
      <c r="EX71" s="780"/>
      <c r="EY71" s="780"/>
      <c r="EZ71" s="780"/>
      <c r="FA71" s="780"/>
      <c r="FB71" s="780"/>
      <c r="FC71" s="780"/>
      <c r="FD71" s="780"/>
      <c r="FE71" s="781"/>
    </row>
    <row r="72" spans="1:163" s="491" customFormat="1" ht="12" customHeight="1" thickBot="1" x14ac:dyDescent="0.3">
      <c r="A72" s="841" t="s">
        <v>394</v>
      </c>
      <c r="B72" s="842"/>
      <c r="C72" s="842"/>
      <c r="D72" s="842"/>
      <c r="E72" s="842"/>
      <c r="F72" s="842"/>
      <c r="G72" s="842"/>
      <c r="H72" s="842"/>
      <c r="I72" s="842"/>
      <c r="J72" s="842"/>
      <c r="K72" s="842"/>
      <c r="L72" s="842"/>
      <c r="M72" s="842"/>
      <c r="N72" s="842"/>
      <c r="O72" s="842"/>
      <c r="P72" s="842"/>
      <c r="Q72" s="842"/>
      <c r="R72" s="842"/>
      <c r="S72" s="842"/>
      <c r="T72" s="842"/>
      <c r="U72" s="842"/>
      <c r="V72" s="842"/>
      <c r="W72" s="842"/>
      <c r="X72" s="842"/>
      <c r="Y72" s="842"/>
      <c r="Z72" s="842"/>
      <c r="AA72" s="842"/>
      <c r="AB72" s="842"/>
      <c r="AC72" s="842"/>
      <c r="AD72" s="842"/>
      <c r="AE72" s="842"/>
      <c r="AF72" s="842"/>
      <c r="AG72" s="842"/>
      <c r="AH72" s="842"/>
      <c r="AI72" s="842"/>
      <c r="AJ72" s="842"/>
      <c r="AK72" s="842"/>
      <c r="AL72" s="842"/>
      <c r="AM72" s="842"/>
      <c r="AN72" s="842"/>
      <c r="AO72" s="842"/>
      <c r="AP72" s="842"/>
      <c r="AQ72" s="842"/>
      <c r="AR72" s="842"/>
      <c r="AS72" s="842"/>
      <c r="AT72" s="842"/>
      <c r="AU72" s="842"/>
      <c r="AV72" s="842"/>
      <c r="AW72" s="842"/>
      <c r="AX72" s="842"/>
      <c r="AY72" s="842"/>
      <c r="AZ72" s="842"/>
      <c r="BA72" s="842"/>
      <c r="BB72" s="842"/>
      <c r="BC72" s="842"/>
      <c r="BD72" s="842"/>
      <c r="BE72" s="842"/>
      <c r="BF72" s="842"/>
      <c r="BG72" s="842"/>
      <c r="BH72" s="842"/>
      <c r="BI72" s="842"/>
      <c r="BJ72" s="842"/>
      <c r="BK72" s="842"/>
      <c r="BL72" s="842"/>
      <c r="BM72" s="842"/>
      <c r="BN72" s="842"/>
      <c r="BO72" s="842"/>
      <c r="BP72" s="842"/>
      <c r="BQ72" s="842"/>
      <c r="BR72" s="842"/>
      <c r="BS72" s="842"/>
      <c r="BT72" s="842"/>
      <c r="BU72" s="842"/>
      <c r="BV72" s="842"/>
      <c r="BW72" s="843"/>
      <c r="BX72" s="844" t="s">
        <v>887</v>
      </c>
      <c r="BY72" s="845"/>
      <c r="BZ72" s="845"/>
      <c r="CA72" s="845"/>
      <c r="CB72" s="845"/>
      <c r="CC72" s="845"/>
      <c r="CD72" s="845"/>
      <c r="CE72" s="846"/>
      <c r="CF72" s="847" t="s">
        <v>888</v>
      </c>
      <c r="CG72" s="845"/>
      <c r="CH72" s="845"/>
      <c r="CI72" s="845"/>
      <c r="CJ72" s="845"/>
      <c r="CK72" s="845"/>
      <c r="CL72" s="845"/>
      <c r="CM72" s="845"/>
      <c r="CN72" s="845"/>
      <c r="CO72" s="845"/>
      <c r="CP72" s="845"/>
      <c r="CQ72" s="845"/>
      <c r="CR72" s="846"/>
      <c r="CS72" s="847"/>
      <c r="CT72" s="845"/>
      <c r="CU72" s="845"/>
      <c r="CV72" s="845"/>
      <c r="CW72" s="845"/>
      <c r="CX72" s="845"/>
      <c r="CY72" s="845"/>
      <c r="CZ72" s="845"/>
      <c r="DA72" s="845"/>
      <c r="DB72" s="845"/>
      <c r="DC72" s="845"/>
      <c r="DD72" s="845"/>
      <c r="DE72" s="846"/>
      <c r="DF72" s="835"/>
      <c r="DG72" s="836"/>
      <c r="DH72" s="836"/>
      <c r="DI72" s="836"/>
      <c r="DJ72" s="836"/>
      <c r="DK72" s="836"/>
      <c r="DL72" s="836"/>
      <c r="DM72" s="836"/>
      <c r="DN72" s="836"/>
      <c r="DO72" s="836"/>
      <c r="DP72" s="836"/>
      <c r="DQ72" s="836"/>
      <c r="DR72" s="837"/>
      <c r="DS72" s="835"/>
      <c r="DT72" s="836"/>
      <c r="DU72" s="836"/>
      <c r="DV72" s="836"/>
      <c r="DW72" s="836"/>
      <c r="DX72" s="836"/>
      <c r="DY72" s="836"/>
      <c r="DZ72" s="836"/>
      <c r="EA72" s="836"/>
      <c r="EB72" s="836"/>
      <c r="EC72" s="836"/>
      <c r="ED72" s="836"/>
      <c r="EE72" s="837"/>
      <c r="EF72" s="835"/>
      <c r="EG72" s="836"/>
      <c r="EH72" s="836"/>
      <c r="EI72" s="836"/>
      <c r="EJ72" s="836"/>
      <c r="EK72" s="836"/>
      <c r="EL72" s="836"/>
      <c r="EM72" s="836"/>
      <c r="EN72" s="836"/>
      <c r="EO72" s="836"/>
      <c r="EP72" s="836"/>
      <c r="EQ72" s="836"/>
      <c r="ER72" s="837"/>
      <c r="ES72" s="838" t="s">
        <v>74</v>
      </c>
      <c r="ET72" s="839"/>
      <c r="EU72" s="839"/>
      <c r="EV72" s="839"/>
      <c r="EW72" s="839"/>
      <c r="EX72" s="839"/>
      <c r="EY72" s="839"/>
      <c r="EZ72" s="839"/>
      <c r="FA72" s="839"/>
      <c r="FB72" s="839"/>
      <c r="FC72" s="839"/>
      <c r="FD72" s="839"/>
      <c r="FE72" s="840"/>
    </row>
    <row r="73" spans="1:163" ht="21" customHeight="1" x14ac:dyDescent="0.2">
      <c r="A73" s="813" t="s">
        <v>395</v>
      </c>
      <c r="B73" s="814"/>
      <c r="C73" s="814"/>
      <c r="D73" s="814"/>
      <c r="E73" s="814"/>
      <c r="F73" s="814"/>
      <c r="G73" s="814"/>
      <c r="H73" s="814"/>
      <c r="I73" s="814"/>
      <c r="J73" s="814"/>
      <c r="K73" s="814"/>
      <c r="L73" s="814"/>
      <c r="M73" s="814"/>
      <c r="N73" s="814"/>
      <c r="O73" s="814"/>
      <c r="P73" s="814"/>
      <c r="Q73" s="814"/>
      <c r="R73" s="814"/>
      <c r="S73" s="814"/>
      <c r="T73" s="814"/>
      <c r="U73" s="814"/>
      <c r="V73" s="814"/>
      <c r="W73" s="814"/>
      <c r="X73" s="814"/>
      <c r="Y73" s="814"/>
      <c r="Z73" s="814"/>
      <c r="AA73" s="814"/>
      <c r="AB73" s="814"/>
      <c r="AC73" s="814"/>
      <c r="AD73" s="814"/>
      <c r="AE73" s="814"/>
      <c r="AF73" s="814"/>
      <c r="AG73" s="814"/>
      <c r="AH73" s="814"/>
      <c r="AI73" s="814"/>
      <c r="AJ73" s="814"/>
      <c r="AK73" s="814"/>
      <c r="AL73" s="814"/>
      <c r="AM73" s="814"/>
      <c r="AN73" s="814"/>
      <c r="AO73" s="814"/>
      <c r="AP73" s="814"/>
      <c r="AQ73" s="814"/>
      <c r="AR73" s="814"/>
      <c r="AS73" s="814"/>
      <c r="AT73" s="814"/>
      <c r="AU73" s="814"/>
      <c r="AV73" s="814"/>
      <c r="AW73" s="814"/>
      <c r="AX73" s="814"/>
      <c r="AY73" s="814"/>
      <c r="AZ73" s="814"/>
      <c r="BA73" s="814"/>
      <c r="BB73" s="814"/>
      <c r="BC73" s="814"/>
      <c r="BD73" s="814"/>
      <c r="BE73" s="814"/>
      <c r="BF73" s="814"/>
      <c r="BG73" s="814"/>
      <c r="BH73" s="814"/>
      <c r="BI73" s="814"/>
      <c r="BJ73" s="814"/>
      <c r="BK73" s="814"/>
      <c r="BL73" s="814"/>
      <c r="BM73" s="814"/>
      <c r="BN73" s="814"/>
      <c r="BO73" s="814"/>
      <c r="BP73" s="814"/>
      <c r="BQ73" s="814"/>
      <c r="BR73" s="814"/>
      <c r="BS73" s="814"/>
      <c r="BT73" s="814"/>
      <c r="BU73" s="814"/>
      <c r="BV73" s="814"/>
      <c r="BW73" s="815"/>
      <c r="BX73" s="816" t="s">
        <v>593</v>
      </c>
      <c r="BY73" s="817"/>
      <c r="BZ73" s="817"/>
      <c r="CA73" s="817"/>
      <c r="CB73" s="817"/>
      <c r="CC73" s="817"/>
      <c r="CD73" s="817"/>
      <c r="CE73" s="818"/>
      <c r="CF73" s="819" t="s">
        <v>889</v>
      </c>
      <c r="CG73" s="817"/>
      <c r="CH73" s="817"/>
      <c r="CI73" s="817"/>
      <c r="CJ73" s="817"/>
      <c r="CK73" s="817"/>
      <c r="CL73" s="817"/>
      <c r="CM73" s="817"/>
      <c r="CN73" s="817"/>
      <c r="CO73" s="817"/>
      <c r="CP73" s="817"/>
      <c r="CQ73" s="817"/>
      <c r="CR73" s="818"/>
      <c r="CS73" s="819"/>
      <c r="CT73" s="817"/>
      <c r="CU73" s="817"/>
      <c r="CV73" s="817"/>
      <c r="CW73" s="817"/>
      <c r="CX73" s="817"/>
      <c r="CY73" s="817"/>
      <c r="CZ73" s="817"/>
      <c r="DA73" s="817"/>
      <c r="DB73" s="817"/>
      <c r="DC73" s="817"/>
      <c r="DD73" s="817"/>
      <c r="DE73" s="818"/>
      <c r="DF73" s="807"/>
      <c r="DG73" s="808"/>
      <c r="DH73" s="808"/>
      <c r="DI73" s="808"/>
      <c r="DJ73" s="808"/>
      <c r="DK73" s="808"/>
      <c r="DL73" s="808"/>
      <c r="DM73" s="808"/>
      <c r="DN73" s="808"/>
      <c r="DO73" s="808"/>
      <c r="DP73" s="808"/>
      <c r="DQ73" s="808"/>
      <c r="DR73" s="809"/>
      <c r="DS73" s="807"/>
      <c r="DT73" s="808"/>
      <c r="DU73" s="808"/>
      <c r="DV73" s="808"/>
      <c r="DW73" s="808"/>
      <c r="DX73" s="808"/>
      <c r="DY73" s="808"/>
      <c r="DZ73" s="808"/>
      <c r="EA73" s="808"/>
      <c r="EB73" s="808"/>
      <c r="EC73" s="808"/>
      <c r="ED73" s="808"/>
      <c r="EE73" s="809"/>
      <c r="EF73" s="807"/>
      <c r="EG73" s="808"/>
      <c r="EH73" s="808"/>
      <c r="EI73" s="808"/>
      <c r="EJ73" s="808"/>
      <c r="EK73" s="808"/>
      <c r="EL73" s="808"/>
      <c r="EM73" s="808"/>
      <c r="EN73" s="808"/>
      <c r="EO73" s="808"/>
      <c r="EP73" s="808"/>
      <c r="EQ73" s="808"/>
      <c r="ER73" s="809"/>
      <c r="ES73" s="810" t="s">
        <v>74</v>
      </c>
      <c r="ET73" s="811"/>
      <c r="EU73" s="811"/>
      <c r="EV73" s="811"/>
      <c r="EW73" s="811"/>
      <c r="EX73" s="811"/>
      <c r="EY73" s="811"/>
      <c r="EZ73" s="811"/>
      <c r="FA73" s="811"/>
      <c r="FB73" s="811"/>
      <c r="FC73" s="811"/>
      <c r="FD73" s="811"/>
      <c r="FE73" s="812"/>
    </row>
    <row r="74" spans="1:163" ht="21.75" customHeight="1" x14ac:dyDescent="0.2">
      <c r="A74" s="803" t="s">
        <v>890</v>
      </c>
      <c r="B74" s="804"/>
      <c r="C74" s="804"/>
      <c r="D74" s="804"/>
      <c r="E74" s="804"/>
      <c r="F74" s="804"/>
      <c r="G74" s="804"/>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4"/>
      <c r="AL74" s="804"/>
      <c r="AM74" s="804"/>
      <c r="AN74" s="804"/>
      <c r="AO74" s="804"/>
      <c r="AP74" s="804"/>
      <c r="AQ74" s="804"/>
      <c r="AR74" s="804"/>
      <c r="AS74" s="804"/>
      <c r="AT74" s="804"/>
      <c r="AU74" s="804"/>
      <c r="AV74" s="804"/>
      <c r="AW74" s="804"/>
      <c r="AX74" s="804"/>
      <c r="AY74" s="804"/>
      <c r="AZ74" s="804"/>
      <c r="BA74" s="804"/>
      <c r="BB74" s="804"/>
      <c r="BC74" s="804"/>
      <c r="BD74" s="804"/>
      <c r="BE74" s="804"/>
      <c r="BF74" s="804"/>
      <c r="BG74" s="804"/>
      <c r="BH74" s="804"/>
      <c r="BI74" s="804"/>
      <c r="BJ74" s="804"/>
      <c r="BK74" s="804"/>
      <c r="BL74" s="804"/>
      <c r="BM74" s="804"/>
      <c r="BN74" s="804"/>
      <c r="BO74" s="804"/>
      <c r="BP74" s="804"/>
      <c r="BQ74" s="804"/>
      <c r="BR74" s="804"/>
      <c r="BS74" s="804"/>
      <c r="BT74" s="804"/>
      <c r="BU74" s="804"/>
      <c r="BV74" s="804"/>
      <c r="BW74" s="804"/>
      <c r="BX74" s="782" t="s">
        <v>594</v>
      </c>
      <c r="BY74" s="783"/>
      <c r="BZ74" s="783"/>
      <c r="CA74" s="783"/>
      <c r="CB74" s="783"/>
      <c r="CC74" s="783"/>
      <c r="CD74" s="783"/>
      <c r="CE74" s="784"/>
      <c r="CF74" s="785" t="s">
        <v>889</v>
      </c>
      <c r="CG74" s="783"/>
      <c r="CH74" s="783"/>
      <c r="CI74" s="783"/>
      <c r="CJ74" s="783"/>
      <c r="CK74" s="783"/>
      <c r="CL74" s="783"/>
      <c r="CM74" s="783"/>
      <c r="CN74" s="783"/>
      <c r="CO74" s="783"/>
      <c r="CP74" s="783"/>
      <c r="CQ74" s="783"/>
      <c r="CR74" s="784"/>
      <c r="CS74" s="785"/>
      <c r="CT74" s="783"/>
      <c r="CU74" s="783"/>
      <c r="CV74" s="783"/>
      <c r="CW74" s="783"/>
      <c r="CX74" s="783"/>
      <c r="CY74" s="783"/>
      <c r="CZ74" s="783"/>
      <c r="DA74" s="783"/>
      <c r="DB74" s="783"/>
      <c r="DC74" s="783"/>
      <c r="DD74" s="783"/>
      <c r="DE74" s="784"/>
      <c r="DF74" s="776"/>
      <c r="DG74" s="777"/>
      <c r="DH74" s="777"/>
      <c r="DI74" s="777"/>
      <c r="DJ74" s="777"/>
      <c r="DK74" s="777"/>
      <c r="DL74" s="777"/>
      <c r="DM74" s="777"/>
      <c r="DN74" s="777"/>
      <c r="DO74" s="777"/>
      <c r="DP74" s="777"/>
      <c r="DQ74" s="777"/>
      <c r="DR74" s="778"/>
      <c r="DS74" s="776"/>
      <c r="DT74" s="777"/>
      <c r="DU74" s="777"/>
      <c r="DV74" s="777"/>
      <c r="DW74" s="777"/>
      <c r="DX74" s="777"/>
      <c r="DY74" s="777"/>
      <c r="DZ74" s="777"/>
      <c r="EA74" s="777"/>
      <c r="EB74" s="777"/>
      <c r="EC74" s="777"/>
      <c r="ED74" s="777"/>
      <c r="EE74" s="778"/>
      <c r="EF74" s="776"/>
      <c r="EG74" s="777"/>
      <c r="EH74" s="777"/>
      <c r="EI74" s="777"/>
      <c r="EJ74" s="777"/>
      <c r="EK74" s="777"/>
      <c r="EL74" s="777"/>
      <c r="EM74" s="777"/>
      <c r="EN74" s="777"/>
      <c r="EO74" s="777"/>
      <c r="EP74" s="777"/>
      <c r="EQ74" s="777"/>
      <c r="ER74" s="778"/>
      <c r="ES74" s="779" t="s">
        <v>74</v>
      </c>
      <c r="ET74" s="780"/>
      <c r="EU74" s="780"/>
      <c r="EV74" s="780"/>
      <c r="EW74" s="780"/>
      <c r="EX74" s="780"/>
      <c r="EY74" s="780"/>
      <c r="EZ74" s="780"/>
      <c r="FA74" s="780"/>
      <c r="FB74" s="780"/>
      <c r="FC74" s="780"/>
      <c r="FD74" s="780"/>
      <c r="FE74" s="781"/>
    </row>
    <row r="75" spans="1:163" s="490" customFormat="1" ht="11.1" customHeight="1" x14ac:dyDescent="0.15">
      <c r="A75" s="833" t="s">
        <v>269</v>
      </c>
      <c r="B75" s="834"/>
      <c r="C75" s="834"/>
      <c r="D75" s="834"/>
      <c r="E75" s="834"/>
      <c r="F75" s="834"/>
      <c r="G75" s="834"/>
      <c r="H75" s="834"/>
      <c r="I75" s="834"/>
      <c r="J75" s="834"/>
      <c r="K75" s="834"/>
      <c r="L75" s="834"/>
      <c r="M75" s="834"/>
      <c r="N75" s="834"/>
      <c r="O75" s="834"/>
      <c r="P75" s="834"/>
      <c r="Q75" s="834"/>
      <c r="R75" s="834"/>
      <c r="S75" s="834"/>
      <c r="T75" s="834"/>
      <c r="U75" s="834"/>
      <c r="V75" s="834"/>
      <c r="W75" s="834"/>
      <c r="X75" s="834"/>
      <c r="Y75" s="834"/>
      <c r="Z75" s="834"/>
      <c r="AA75" s="834"/>
      <c r="AB75" s="834"/>
      <c r="AC75" s="834"/>
      <c r="AD75" s="834"/>
      <c r="AE75" s="834"/>
      <c r="AF75" s="834"/>
      <c r="AG75" s="834"/>
      <c r="AH75" s="834"/>
      <c r="AI75" s="834"/>
      <c r="AJ75" s="834"/>
      <c r="AK75" s="834"/>
      <c r="AL75" s="834"/>
      <c r="AM75" s="834"/>
      <c r="AN75" s="834"/>
      <c r="AO75" s="834"/>
      <c r="AP75" s="834"/>
      <c r="AQ75" s="834"/>
      <c r="AR75" s="834"/>
      <c r="AS75" s="834"/>
      <c r="AT75" s="834"/>
      <c r="AU75" s="834"/>
      <c r="AV75" s="834"/>
      <c r="AW75" s="834"/>
      <c r="AX75" s="834"/>
      <c r="AY75" s="834"/>
      <c r="AZ75" s="834"/>
      <c r="BA75" s="834"/>
      <c r="BB75" s="834"/>
      <c r="BC75" s="834"/>
      <c r="BD75" s="834"/>
      <c r="BE75" s="834"/>
      <c r="BF75" s="834"/>
      <c r="BG75" s="834"/>
      <c r="BH75" s="834"/>
      <c r="BI75" s="834"/>
      <c r="BJ75" s="834"/>
      <c r="BK75" s="834"/>
      <c r="BL75" s="834"/>
      <c r="BM75" s="834"/>
      <c r="BN75" s="834"/>
      <c r="BO75" s="834"/>
      <c r="BP75" s="834"/>
      <c r="BQ75" s="834"/>
      <c r="BR75" s="834"/>
      <c r="BS75" s="834"/>
      <c r="BT75" s="834"/>
      <c r="BU75" s="834"/>
      <c r="BV75" s="834"/>
      <c r="BW75" s="834"/>
      <c r="BX75" s="787" t="s">
        <v>891</v>
      </c>
      <c r="BY75" s="788"/>
      <c r="BZ75" s="788"/>
      <c r="CA75" s="788"/>
      <c r="CB75" s="788"/>
      <c r="CC75" s="788"/>
      <c r="CD75" s="788"/>
      <c r="CE75" s="789"/>
      <c r="CF75" s="790" t="s">
        <v>892</v>
      </c>
      <c r="CG75" s="788"/>
      <c r="CH75" s="788"/>
      <c r="CI75" s="788"/>
      <c r="CJ75" s="788"/>
      <c r="CK75" s="788"/>
      <c r="CL75" s="788"/>
      <c r="CM75" s="788"/>
      <c r="CN75" s="788"/>
      <c r="CO75" s="788"/>
      <c r="CP75" s="788"/>
      <c r="CQ75" s="788"/>
      <c r="CR75" s="789"/>
      <c r="CS75" s="790" t="s">
        <v>893</v>
      </c>
      <c r="CT75" s="788"/>
      <c r="CU75" s="788"/>
      <c r="CV75" s="788"/>
      <c r="CW75" s="788"/>
      <c r="CX75" s="788"/>
      <c r="CY75" s="788"/>
      <c r="CZ75" s="788"/>
      <c r="DA75" s="788"/>
      <c r="DB75" s="788"/>
      <c r="DC75" s="788"/>
      <c r="DD75" s="788"/>
      <c r="DE75" s="789"/>
      <c r="DF75" s="827">
        <f>DF76+DF77+DF80</f>
        <v>662400</v>
      </c>
      <c r="DG75" s="828"/>
      <c r="DH75" s="828"/>
      <c r="DI75" s="828"/>
      <c r="DJ75" s="828"/>
      <c r="DK75" s="828"/>
      <c r="DL75" s="828"/>
      <c r="DM75" s="828"/>
      <c r="DN75" s="828"/>
      <c r="DO75" s="828"/>
      <c r="DP75" s="828"/>
      <c r="DQ75" s="828"/>
      <c r="DR75" s="829"/>
      <c r="DS75" s="827">
        <f>DS76+DS77+DS80</f>
        <v>662400</v>
      </c>
      <c r="DT75" s="828"/>
      <c r="DU75" s="828"/>
      <c r="DV75" s="828"/>
      <c r="DW75" s="828"/>
      <c r="DX75" s="828"/>
      <c r="DY75" s="828"/>
      <c r="DZ75" s="828"/>
      <c r="EA75" s="828"/>
      <c r="EB75" s="828"/>
      <c r="EC75" s="828"/>
      <c r="ED75" s="828"/>
      <c r="EE75" s="829"/>
      <c r="EF75" s="827">
        <f>EF76+EF77+EF80</f>
        <v>662400</v>
      </c>
      <c r="EG75" s="828"/>
      <c r="EH75" s="828"/>
      <c r="EI75" s="828"/>
      <c r="EJ75" s="828"/>
      <c r="EK75" s="828"/>
      <c r="EL75" s="828"/>
      <c r="EM75" s="828"/>
      <c r="EN75" s="828"/>
      <c r="EO75" s="828"/>
      <c r="EP75" s="828"/>
      <c r="EQ75" s="828"/>
      <c r="ER75" s="829"/>
      <c r="ES75" s="830" t="s">
        <v>74</v>
      </c>
      <c r="ET75" s="831"/>
      <c r="EU75" s="831"/>
      <c r="EV75" s="831"/>
      <c r="EW75" s="831"/>
      <c r="EX75" s="831"/>
      <c r="EY75" s="831"/>
      <c r="EZ75" s="831"/>
      <c r="FA75" s="831"/>
      <c r="FB75" s="831"/>
      <c r="FC75" s="831"/>
      <c r="FD75" s="831"/>
      <c r="FE75" s="832"/>
    </row>
    <row r="76" spans="1:163" ht="21.75" customHeight="1" x14ac:dyDescent="0.2">
      <c r="A76" s="805" t="s">
        <v>894</v>
      </c>
      <c r="B76" s="806"/>
      <c r="C76" s="806"/>
      <c r="D76" s="806"/>
      <c r="E76" s="806"/>
      <c r="F76" s="806"/>
      <c r="G76" s="806"/>
      <c r="H76" s="806"/>
      <c r="I76" s="806"/>
      <c r="J76" s="806"/>
      <c r="K76" s="806"/>
      <c r="L76" s="806"/>
      <c r="M76" s="806"/>
      <c r="N76" s="806"/>
      <c r="O76" s="806"/>
      <c r="P76" s="806"/>
      <c r="Q76" s="806"/>
      <c r="R76" s="806"/>
      <c r="S76" s="806"/>
      <c r="T76" s="806"/>
      <c r="U76" s="806"/>
      <c r="V76" s="806"/>
      <c r="W76" s="806"/>
      <c r="X76" s="806"/>
      <c r="Y76" s="806"/>
      <c r="Z76" s="806"/>
      <c r="AA76" s="806"/>
      <c r="AB76" s="806"/>
      <c r="AC76" s="806"/>
      <c r="AD76" s="806"/>
      <c r="AE76" s="806"/>
      <c r="AF76" s="806"/>
      <c r="AG76" s="806"/>
      <c r="AH76" s="806"/>
      <c r="AI76" s="806"/>
      <c r="AJ76" s="806"/>
      <c r="AK76" s="806"/>
      <c r="AL76" s="806"/>
      <c r="AM76" s="806"/>
      <c r="AN76" s="806"/>
      <c r="AO76" s="806"/>
      <c r="AP76" s="806"/>
      <c r="AQ76" s="806"/>
      <c r="AR76" s="806"/>
      <c r="AS76" s="806"/>
      <c r="AT76" s="806"/>
      <c r="AU76" s="806"/>
      <c r="AV76" s="806"/>
      <c r="AW76" s="806"/>
      <c r="AX76" s="806"/>
      <c r="AY76" s="806"/>
      <c r="AZ76" s="806"/>
      <c r="BA76" s="806"/>
      <c r="BB76" s="806"/>
      <c r="BC76" s="806"/>
      <c r="BD76" s="806"/>
      <c r="BE76" s="806"/>
      <c r="BF76" s="806"/>
      <c r="BG76" s="806"/>
      <c r="BH76" s="806"/>
      <c r="BI76" s="806"/>
      <c r="BJ76" s="806"/>
      <c r="BK76" s="806"/>
      <c r="BL76" s="806"/>
      <c r="BM76" s="806"/>
      <c r="BN76" s="806"/>
      <c r="BO76" s="806"/>
      <c r="BP76" s="806"/>
      <c r="BQ76" s="806"/>
      <c r="BR76" s="806"/>
      <c r="BS76" s="806"/>
      <c r="BT76" s="806"/>
      <c r="BU76" s="806"/>
      <c r="BV76" s="806"/>
      <c r="BW76" s="806"/>
      <c r="BX76" s="782" t="s">
        <v>895</v>
      </c>
      <c r="BY76" s="783"/>
      <c r="BZ76" s="783"/>
      <c r="CA76" s="783"/>
      <c r="CB76" s="783"/>
      <c r="CC76" s="783"/>
      <c r="CD76" s="783"/>
      <c r="CE76" s="784"/>
      <c r="CF76" s="785" t="s">
        <v>896</v>
      </c>
      <c r="CG76" s="783"/>
      <c r="CH76" s="783"/>
      <c r="CI76" s="783"/>
      <c r="CJ76" s="783"/>
      <c r="CK76" s="783"/>
      <c r="CL76" s="783"/>
      <c r="CM76" s="783"/>
      <c r="CN76" s="783"/>
      <c r="CO76" s="783"/>
      <c r="CP76" s="783"/>
      <c r="CQ76" s="783"/>
      <c r="CR76" s="784"/>
      <c r="CS76" s="785" t="s">
        <v>897</v>
      </c>
      <c r="CT76" s="783"/>
      <c r="CU76" s="783"/>
      <c r="CV76" s="783"/>
      <c r="CW76" s="783"/>
      <c r="CX76" s="783"/>
      <c r="CY76" s="783"/>
      <c r="CZ76" s="783"/>
      <c r="DA76" s="783"/>
      <c r="DB76" s="783"/>
      <c r="DC76" s="783"/>
      <c r="DD76" s="783"/>
      <c r="DE76" s="784"/>
      <c r="DF76" s="776"/>
      <c r="DG76" s="777"/>
      <c r="DH76" s="777"/>
      <c r="DI76" s="777"/>
      <c r="DJ76" s="777"/>
      <c r="DK76" s="777"/>
      <c r="DL76" s="777"/>
      <c r="DM76" s="777"/>
      <c r="DN76" s="777"/>
      <c r="DO76" s="777"/>
      <c r="DP76" s="777"/>
      <c r="DQ76" s="777"/>
      <c r="DR76" s="778"/>
      <c r="DS76" s="776"/>
      <c r="DT76" s="777"/>
      <c r="DU76" s="777"/>
      <c r="DV76" s="777"/>
      <c r="DW76" s="777"/>
      <c r="DX76" s="777"/>
      <c r="DY76" s="777"/>
      <c r="DZ76" s="777"/>
      <c r="EA76" s="777"/>
      <c r="EB76" s="777"/>
      <c r="EC76" s="777"/>
      <c r="ED76" s="777"/>
      <c r="EE76" s="778"/>
      <c r="EF76" s="776"/>
      <c r="EG76" s="777"/>
      <c r="EH76" s="777"/>
      <c r="EI76" s="777"/>
      <c r="EJ76" s="777"/>
      <c r="EK76" s="777"/>
      <c r="EL76" s="777"/>
      <c r="EM76" s="777"/>
      <c r="EN76" s="777"/>
      <c r="EO76" s="777"/>
      <c r="EP76" s="777"/>
      <c r="EQ76" s="777"/>
      <c r="ER76" s="778"/>
      <c r="ES76" s="779" t="s">
        <v>74</v>
      </c>
      <c r="ET76" s="780"/>
      <c r="EU76" s="780"/>
      <c r="EV76" s="780"/>
      <c r="EW76" s="780"/>
      <c r="EX76" s="780"/>
      <c r="EY76" s="780"/>
      <c r="EZ76" s="780"/>
      <c r="FA76" s="780"/>
      <c r="FB76" s="780"/>
      <c r="FC76" s="780"/>
      <c r="FD76" s="780"/>
      <c r="FE76" s="781"/>
    </row>
    <row r="77" spans="1:163" ht="33.75" customHeight="1" x14ac:dyDescent="0.2">
      <c r="A77" s="803" t="s">
        <v>898</v>
      </c>
      <c r="B77" s="804"/>
      <c r="C77" s="804"/>
      <c r="D77" s="804"/>
      <c r="E77" s="804"/>
      <c r="F77" s="804"/>
      <c r="G77" s="804"/>
      <c r="H77" s="804"/>
      <c r="I77" s="804"/>
      <c r="J77" s="804"/>
      <c r="K77" s="804"/>
      <c r="L77" s="804"/>
      <c r="M77" s="804"/>
      <c r="N77" s="804"/>
      <c r="O77" s="804"/>
      <c r="P77" s="804"/>
      <c r="Q77" s="804"/>
      <c r="R77" s="804"/>
      <c r="S77" s="804"/>
      <c r="T77" s="804"/>
      <c r="U77" s="804"/>
      <c r="V77" s="804"/>
      <c r="W77" s="804"/>
      <c r="X77" s="804"/>
      <c r="Y77" s="804"/>
      <c r="Z77" s="804"/>
      <c r="AA77" s="804"/>
      <c r="AB77" s="804"/>
      <c r="AC77" s="804"/>
      <c r="AD77" s="804"/>
      <c r="AE77" s="804"/>
      <c r="AF77" s="804"/>
      <c r="AG77" s="804"/>
      <c r="AH77" s="804"/>
      <c r="AI77" s="804"/>
      <c r="AJ77" s="804"/>
      <c r="AK77" s="804"/>
      <c r="AL77" s="804"/>
      <c r="AM77" s="804"/>
      <c r="AN77" s="804"/>
      <c r="AO77" s="804"/>
      <c r="AP77" s="804"/>
      <c r="AQ77" s="804"/>
      <c r="AR77" s="804"/>
      <c r="AS77" s="804"/>
      <c r="AT77" s="804"/>
      <c r="AU77" s="804"/>
      <c r="AV77" s="804"/>
      <c r="AW77" s="804"/>
      <c r="AX77" s="804"/>
      <c r="AY77" s="804"/>
      <c r="AZ77" s="804"/>
      <c r="BA77" s="804"/>
      <c r="BB77" s="804"/>
      <c r="BC77" s="804"/>
      <c r="BD77" s="804"/>
      <c r="BE77" s="804"/>
      <c r="BF77" s="804"/>
      <c r="BG77" s="804"/>
      <c r="BH77" s="804"/>
      <c r="BI77" s="804"/>
      <c r="BJ77" s="804"/>
      <c r="BK77" s="804"/>
      <c r="BL77" s="804"/>
      <c r="BM77" s="804"/>
      <c r="BN77" s="804"/>
      <c r="BO77" s="804"/>
      <c r="BP77" s="804"/>
      <c r="BQ77" s="804"/>
      <c r="BR77" s="804"/>
      <c r="BS77" s="804"/>
      <c r="BT77" s="804"/>
      <c r="BU77" s="804"/>
      <c r="BV77" s="804"/>
      <c r="BW77" s="804"/>
      <c r="BX77" s="782" t="s">
        <v>899</v>
      </c>
      <c r="BY77" s="783"/>
      <c r="BZ77" s="783"/>
      <c r="CA77" s="783"/>
      <c r="CB77" s="783"/>
      <c r="CC77" s="783"/>
      <c r="CD77" s="783"/>
      <c r="CE77" s="784"/>
      <c r="CF77" s="785" t="s">
        <v>900</v>
      </c>
      <c r="CG77" s="783"/>
      <c r="CH77" s="783"/>
      <c r="CI77" s="783"/>
      <c r="CJ77" s="783"/>
      <c r="CK77" s="783"/>
      <c r="CL77" s="783"/>
      <c r="CM77" s="783"/>
      <c r="CN77" s="783"/>
      <c r="CO77" s="783"/>
      <c r="CP77" s="783"/>
      <c r="CQ77" s="783"/>
      <c r="CR77" s="784"/>
      <c r="CS77" s="785" t="s">
        <v>901</v>
      </c>
      <c r="CT77" s="783"/>
      <c r="CU77" s="783"/>
      <c r="CV77" s="783"/>
      <c r="CW77" s="783"/>
      <c r="CX77" s="783"/>
      <c r="CY77" s="783"/>
      <c r="CZ77" s="783"/>
      <c r="DA77" s="783"/>
      <c r="DB77" s="783"/>
      <c r="DC77" s="783"/>
      <c r="DD77" s="783"/>
      <c r="DE77" s="784"/>
      <c r="DF77" s="776">
        <v>662400</v>
      </c>
      <c r="DG77" s="777"/>
      <c r="DH77" s="777"/>
      <c r="DI77" s="777"/>
      <c r="DJ77" s="777"/>
      <c r="DK77" s="777"/>
      <c r="DL77" s="777"/>
      <c r="DM77" s="777"/>
      <c r="DN77" s="777"/>
      <c r="DO77" s="777"/>
      <c r="DP77" s="777"/>
      <c r="DQ77" s="777"/>
      <c r="DR77" s="778"/>
      <c r="DS77" s="776">
        <v>662400</v>
      </c>
      <c r="DT77" s="777"/>
      <c r="DU77" s="777"/>
      <c r="DV77" s="777"/>
      <c r="DW77" s="777"/>
      <c r="DX77" s="777"/>
      <c r="DY77" s="777"/>
      <c r="DZ77" s="777"/>
      <c r="EA77" s="777"/>
      <c r="EB77" s="777"/>
      <c r="EC77" s="777"/>
      <c r="ED77" s="777"/>
      <c r="EE77" s="778"/>
      <c r="EF77" s="776">
        <v>662400</v>
      </c>
      <c r="EG77" s="777"/>
      <c r="EH77" s="777"/>
      <c r="EI77" s="777"/>
      <c r="EJ77" s="777"/>
      <c r="EK77" s="777"/>
      <c r="EL77" s="777"/>
      <c r="EM77" s="777"/>
      <c r="EN77" s="777"/>
      <c r="EO77" s="777"/>
      <c r="EP77" s="777"/>
      <c r="EQ77" s="777"/>
      <c r="ER77" s="778"/>
      <c r="ES77" s="779" t="s">
        <v>74</v>
      </c>
      <c r="ET77" s="780"/>
      <c r="EU77" s="780"/>
      <c r="EV77" s="780"/>
      <c r="EW77" s="780"/>
      <c r="EX77" s="780"/>
      <c r="EY77" s="780"/>
      <c r="EZ77" s="780"/>
      <c r="FA77" s="780"/>
      <c r="FB77" s="780"/>
      <c r="FC77" s="780"/>
      <c r="FD77" s="780"/>
      <c r="FE77" s="781"/>
      <c r="FG77" s="482">
        <v>662400</v>
      </c>
    </row>
    <row r="78" spans="1:163" ht="11.1" customHeight="1" x14ac:dyDescent="0.2">
      <c r="A78" s="803"/>
      <c r="B78" s="804"/>
      <c r="C78" s="804"/>
      <c r="D78" s="804"/>
      <c r="E78" s="804"/>
      <c r="F78" s="804"/>
      <c r="G78" s="804"/>
      <c r="H78" s="804"/>
      <c r="I78" s="804"/>
      <c r="J78" s="804"/>
      <c r="K78" s="804"/>
      <c r="L78" s="804"/>
      <c r="M78" s="804"/>
      <c r="N78" s="804"/>
      <c r="O78" s="804"/>
      <c r="P78" s="804"/>
      <c r="Q78" s="804"/>
      <c r="R78" s="804"/>
      <c r="S78" s="804"/>
      <c r="T78" s="804"/>
      <c r="U78" s="804"/>
      <c r="V78" s="804"/>
      <c r="W78" s="804"/>
      <c r="X78" s="804"/>
      <c r="Y78" s="804"/>
      <c r="Z78" s="804"/>
      <c r="AA78" s="804"/>
      <c r="AB78" s="804"/>
      <c r="AC78" s="804"/>
      <c r="AD78" s="804"/>
      <c r="AE78" s="804"/>
      <c r="AF78" s="804"/>
      <c r="AG78" s="804"/>
      <c r="AH78" s="804"/>
      <c r="AI78" s="804"/>
      <c r="AJ78" s="804"/>
      <c r="AK78" s="804"/>
      <c r="AL78" s="804"/>
      <c r="AM78" s="804"/>
      <c r="AN78" s="804"/>
      <c r="AO78" s="804"/>
      <c r="AP78" s="804"/>
      <c r="AQ78" s="804"/>
      <c r="AR78" s="804"/>
      <c r="AS78" s="804"/>
      <c r="AT78" s="804"/>
      <c r="AU78" s="804"/>
      <c r="AV78" s="804"/>
      <c r="AW78" s="804"/>
      <c r="AX78" s="804"/>
      <c r="AY78" s="804"/>
      <c r="AZ78" s="804"/>
      <c r="BA78" s="804"/>
      <c r="BB78" s="804"/>
      <c r="BC78" s="804"/>
      <c r="BD78" s="804"/>
      <c r="BE78" s="804"/>
      <c r="BF78" s="804"/>
      <c r="BG78" s="804"/>
      <c r="BH78" s="804"/>
      <c r="BI78" s="804"/>
      <c r="BJ78" s="804"/>
      <c r="BK78" s="804"/>
      <c r="BL78" s="804"/>
      <c r="BM78" s="804"/>
      <c r="BN78" s="804"/>
      <c r="BO78" s="804"/>
      <c r="BP78" s="804"/>
      <c r="BQ78" s="804"/>
      <c r="BR78" s="804"/>
      <c r="BS78" s="804"/>
      <c r="BT78" s="804"/>
      <c r="BU78" s="804"/>
      <c r="BV78" s="804"/>
      <c r="BW78" s="804"/>
      <c r="BX78" s="782"/>
      <c r="BY78" s="783"/>
      <c r="BZ78" s="783"/>
      <c r="CA78" s="783"/>
      <c r="CB78" s="783"/>
      <c r="CC78" s="783"/>
      <c r="CD78" s="783"/>
      <c r="CE78" s="784"/>
      <c r="CF78" s="785"/>
      <c r="CG78" s="783"/>
      <c r="CH78" s="783"/>
      <c r="CI78" s="783"/>
      <c r="CJ78" s="783"/>
      <c r="CK78" s="783"/>
      <c r="CL78" s="783"/>
      <c r="CM78" s="783"/>
      <c r="CN78" s="783"/>
      <c r="CO78" s="783"/>
      <c r="CP78" s="783"/>
      <c r="CQ78" s="783"/>
      <c r="CR78" s="784"/>
      <c r="CS78" s="785"/>
      <c r="CT78" s="783"/>
      <c r="CU78" s="783"/>
      <c r="CV78" s="783"/>
      <c r="CW78" s="783"/>
      <c r="CX78" s="783"/>
      <c r="CY78" s="783"/>
      <c r="CZ78" s="783"/>
      <c r="DA78" s="783"/>
      <c r="DB78" s="783"/>
      <c r="DC78" s="783"/>
      <c r="DD78" s="783"/>
      <c r="DE78" s="784"/>
      <c r="DF78" s="776"/>
      <c r="DG78" s="777"/>
      <c r="DH78" s="777"/>
      <c r="DI78" s="777"/>
      <c r="DJ78" s="777"/>
      <c r="DK78" s="777"/>
      <c r="DL78" s="777"/>
      <c r="DM78" s="777"/>
      <c r="DN78" s="777"/>
      <c r="DO78" s="777"/>
      <c r="DP78" s="777"/>
      <c r="DQ78" s="777"/>
      <c r="DR78" s="778"/>
      <c r="DS78" s="776"/>
      <c r="DT78" s="777"/>
      <c r="DU78" s="777"/>
      <c r="DV78" s="777"/>
      <c r="DW78" s="777"/>
      <c r="DX78" s="777"/>
      <c r="DY78" s="777"/>
      <c r="DZ78" s="777"/>
      <c r="EA78" s="777"/>
      <c r="EB78" s="777"/>
      <c r="EC78" s="777"/>
      <c r="ED78" s="777"/>
      <c r="EE78" s="778"/>
      <c r="EF78" s="776"/>
      <c r="EG78" s="777"/>
      <c r="EH78" s="777"/>
      <c r="EI78" s="777"/>
      <c r="EJ78" s="777"/>
      <c r="EK78" s="777"/>
      <c r="EL78" s="777"/>
      <c r="EM78" s="777"/>
      <c r="EN78" s="777"/>
      <c r="EO78" s="777"/>
      <c r="EP78" s="777"/>
      <c r="EQ78" s="777"/>
      <c r="ER78" s="778"/>
      <c r="ES78" s="779"/>
      <c r="ET78" s="780"/>
      <c r="EU78" s="780"/>
      <c r="EV78" s="780"/>
      <c r="EW78" s="780"/>
      <c r="EX78" s="780"/>
      <c r="EY78" s="780"/>
      <c r="EZ78" s="780"/>
      <c r="FA78" s="780"/>
      <c r="FB78" s="780"/>
      <c r="FC78" s="780"/>
      <c r="FD78" s="780"/>
      <c r="FE78" s="781"/>
    </row>
    <row r="79" spans="1:163" ht="21.75" customHeight="1" x14ac:dyDescent="0.2">
      <c r="A79" s="805" t="s">
        <v>396</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6"/>
      <c r="AR79" s="806"/>
      <c r="AS79" s="806"/>
      <c r="AT79" s="806"/>
      <c r="AU79" s="806"/>
      <c r="AV79" s="806"/>
      <c r="AW79" s="806"/>
      <c r="AX79" s="806"/>
      <c r="AY79" s="806"/>
      <c r="AZ79" s="806"/>
      <c r="BA79" s="806"/>
      <c r="BB79" s="806"/>
      <c r="BC79" s="806"/>
      <c r="BD79" s="806"/>
      <c r="BE79" s="806"/>
      <c r="BF79" s="806"/>
      <c r="BG79" s="806"/>
      <c r="BH79" s="806"/>
      <c r="BI79" s="806"/>
      <c r="BJ79" s="806"/>
      <c r="BK79" s="806"/>
      <c r="BL79" s="806"/>
      <c r="BM79" s="806"/>
      <c r="BN79" s="806"/>
      <c r="BO79" s="806"/>
      <c r="BP79" s="806"/>
      <c r="BQ79" s="806"/>
      <c r="BR79" s="806"/>
      <c r="BS79" s="806"/>
      <c r="BT79" s="806"/>
      <c r="BU79" s="806"/>
      <c r="BV79" s="806"/>
      <c r="BW79" s="806"/>
      <c r="BX79" s="782" t="s">
        <v>902</v>
      </c>
      <c r="BY79" s="783"/>
      <c r="BZ79" s="783"/>
      <c r="CA79" s="783"/>
      <c r="CB79" s="783"/>
      <c r="CC79" s="783"/>
      <c r="CD79" s="783"/>
      <c r="CE79" s="784"/>
      <c r="CF79" s="785" t="s">
        <v>903</v>
      </c>
      <c r="CG79" s="783"/>
      <c r="CH79" s="783"/>
      <c r="CI79" s="783"/>
      <c r="CJ79" s="783"/>
      <c r="CK79" s="783"/>
      <c r="CL79" s="783"/>
      <c r="CM79" s="783"/>
      <c r="CN79" s="783"/>
      <c r="CO79" s="783"/>
      <c r="CP79" s="783"/>
      <c r="CQ79" s="783"/>
      <c r="CR79" s="784"/>
      <c r="CS79" s="785"/>
      <c r="CT79" s="783"/>
      <c r="CU79" s="783"/>
      <c r="CV79" s="783"/>
      <c r="CW79" s="783"/>
      <c r="CX79" s="783"/>
      <c r="CY79" s="783"/>
      <c r="CZ79" s="783"/>
      <c r="DA79" s="783"/>
      <c r="DB79" s="783"/>
      <c r="DC79" s="783"/>
      <c r="DD79" s="783"/>
      <c r="DE79" s="784"/>
      <c r="DF79" s="776"/>
      <c r="DG79" s="777"/>
      <c r="DH79" s="777"/>
      <c r="DI79" s="777"/>
      <c r="DJ79" s="777"/>
      <c r="DK79" s="777"/>
      <c r="DL79" s="777"/>
      <c r="DM79" s="777"/>
      <c r="DN79" s="777"/>
      <c r="DO79" s="777"/>
      <c r="DP79" s="777"/>
      <c r="DQ79" s="777"/>
      <c r="DR79" s="778"/>
      <c r="DS79" s="776"/>
      <c r="DT79" s="777"/>
      <c r="DU79" s="777"/>
      <c r="DV79" s="777"/>
      <c r="DW79" s="777"/>
      <c r="DX79" s="777"/>
      <c r="DY79" s="777"/>
      <c r="DZ79" s="777"/>
      <c r="EA79" s="777"/>
      <c r="EB79" s="777"/>
      <c r="EC79" s="777"/>
      <c r="ED79" s="777"/>
      <c r="EE79" s="778"/>
      <c r="EF79" s="776"/>
      <c r="EG79" s="777"/>
      <c r="EH79" s="777"/>
      <c r="EI79" s="777"/>
      <c r="EJ79" s="777"/>
      <c r="EK79" s="777"/>
      <c r="EL79" s="777"/>
      <c r="EM79" s="777"/>
      <c r="EN79" s="777"/>
      <c r="EO79" s="777"/>
      <c r="EP79" s="777"/>
      <c r="EQ79" s="777"/>
      <c r="ER79" s="778"/>
      <c r="ES79" s="779" t="s">
        <v>74</v>
      </c>
      <c r="ET79" s="780"/>
      <c r="EU79" s="780"/>
      <c r="EV79" s="780"/>
      <c r="EW79" s="780"/>
      <c r="EX79" s="780"/>
      <c r="EY79" s="780"/>
      <c r="EZ79" s="780"/>
      <c r="FA79" s="780"/>
      <c r="FB79" s="780"/>
      <c r="FC79" s="780"/>
      <c r="FD79" s="780"/>
      <c r="FE79" s="781"/>
    </row>
    <row r="80" spans="1:163" ht="33.75" customHeight="1" x14ac:dyDescent="0.2">
      <c r="A80" s="805" t="s">
        <v>397</v>
      </c>
      <c r="B80" s="806"/>
      <c r="C80" s="806"/>
      <c r="D80" s="806"/>
      <c r="E80" s="806"/>
      <c r="F80" s="806"/>
      <c r="G80" s="806"/>
      <c r="H80" s="806"/>
      <c r="I80" s="806"/>
      <c r="J80" s="806"/>
      <c r="K80" s="806"/>
      <c r="L80" s="806"/>
      <c r="M80" s="806"/>
      <c r="N80" s="806"/>
      <c r="O80" s="806"/>
      <c r="P80" s="806"/>
      <c r="Q80" s="806"/>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6"/>
      <c r="AY80" s="806"/>
      <c r="AZ80" s="806"/>
      <c r="BA80" s="806"/>
      <c r="BB80" s="806"/>
      <c r="BC80" s="806"/>
      <c r="BD80" s="806"/>
      <c r="BE80" s="806"/>
      <c r="BF80" s="806"/>
      <c r="BG80" s="806"/>
      <c r="BH80" s="806"/>
      <c r="BI80" s="806"/>
      <c r="BJ80" s="806"/>
      <c r="BK80" s="806"/>
      <c r="BL80" s="806"/>
      <c r="BM80" s="806"/>
      <c r="BN80" s="806"/>
      <c r="BO80" s="806"/>
      <c r="BP80" s="806"/>
      <c r="BQ80" s="806"/>
      <c r="BR80" s="806"/>
      <c r="BS80" s="806"/>
      <c r="BT80" s="806"/>
      <c r="BU80" s="806"/>
      <c r="BV80" s="806"/>
      <c r="BW80" s="806"/>
      <c r="BX80" s="782" t="s">
        <v>904</v>
      </c>
      <c r="BY80" s="783"/>
      <c r="BZ80" s="783"/>
      <c r="CA80" s="783"/>
      <c r="CB80" s="783"/>
      <c r="CC80" s="783"/>
      <c r="CD80" s="783"/>
      <c r="CE80" s="784"/>
      <c r="CF80" s="785" t="s">
        <v>905</v>
      </c>
      <c r="CG80" s="783"/>
      <c r="CH80" s="783"/>
      <c r="CI80" s="783"/>
      <c r="CJ80" s="783"/>
      <c r="CK80" s="783"/>
      <c r="CL80" s="783"/>
      <c r="CM80" s="783"/>
      <c r="CN80" s="783"/>
      <c r="CO80" s="783"/>
      <c r="CP80" s="783"/>
      <c r="CQ80" s="783"/>
      <c r="CR80" s="784"/>
      <c r="CS80" s="785" t="s">
        <v>906</v>
      </c>
      <c r="CT80" s="783"/>
      <c r="CU80" s="783"/>
      <c r="CV80" s="783"/>
      <c r="CW80" s="783"/>
      <c r="CX80" s="783"/>
      <c r="CY80" s="783"/>
      <c r="CZ80" s="783"/>
      <c r="DA80" s="783"/>
      <c r="DB80" s="783"/>
      <c r="DC80" s="783"/>
      <c r="DD80" s="783"/>
      <c r="DE80" s="784"/>
      <c r="DF80" s="776">
        <v>0</v>
      </c>
      <c r="DG80" s="777"/>
      <c r="DH80" s="777"/>
      <c r="DI80" s="777"/>
      <c r="DJ80" s="777"/>
      <c r="DK80" s="777"/>
      <c r="DL80" s="777"/>
      <c r="DM80" s="777"/>
      <c r="DN80" s="777"/>
      <c r="DO80" s="777"/>
      <c r="DP80" s="777"/>
      <c r="DQ80" s="777"/>
      <c r="DR80" s="778"/>
      <c r="DS80" s="776">
        <v>0</v>
      </c>
      <c r="DT80" s="777"/>
      <c r="DU80" s="777"/>
      <c r="DV80" s="777"/>
      <c r="DW80" s="777"/>
      <c r="DX80" s="777"/>
      <c r="DY80" s="777"/>
      <c r="DZ80" s="777"/>
      <c r="EA80" s="777"/>
      <c r="EB80" s="777"/>
      <c r="EC80" s="777"/>
      <c r="ED80" s="777"/>
      <c r="EE80" s="778"/>
      <c r="EF80" s="776">
        <v>0</v>
      </c>
      <c r="EG80" s="777"/>
      <c r="EH80" s="777"/>
      <c r="EI80" s="777"/>
      <c r="EJ80" s="777"/>
      <c r="EK80" s="777"/>
      <c r="EL80" s="777"/>
      <c r="EM80" s="777"/>
      <c r="EN80" s="777"/>
      <c r="EO80" s="777"/>
      <c r="EP80" s="777"/>
      <c r="EQ80" s="777"/>
      <c r="ER80" s="778"/>
      <c r="ES80" s="779" t="s">
        <v>74</v>
      </c>
      <c r="ET80" s="780"/>
      <c r="EU80" s="780"/>
      <c r="EV80" s="780"/>
      <c r="EW80" s="780"/>
      <c r="EX80" s="780"/>
      <c r="EY80" s="780"/>
      <c r="EZ80" s="780"/>
      <c r="FA80" s="780"/>
      <c r="FB80" s="780"/>
      <c r="FC80" s="780"/>
      <c r="FD80" s="780"/>
      <c r="FE80" s="781"/>
    </row>
    <row r="81" spans="1:163" ht="11.1" customHeight="1" x14ac:dyDescent="0.2">
      <c r="A81" s="805" t="s">
        <v>907</v>
      </c>
      <c r="B81" s="806"/>
      <c r="C81" s="806"/>
      <c r="D81" s="806"/>
      <c r="E81" s="806"/>
      <c r="F81" s="806"/>
      <c r="G81" s="806"/>
      <c r="H81" s="806"/>
      <c r="I81" s="806"/>
      <c r="J81" s="806"/>
      <c r="K81" s="806"/>
      <c r="L81" s="806"/>
      <c r="M81" s="806"/>
      <c r="N81" s="806"/>
      <c r="O81" s="806"/>
      <c r="P81" s="806"/>
      <c r="Q81" s="806"/>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806"/>
      <c r="AP81" s="806"/>
      <c r="AQ81" s="806"/>
      <c r="AR81" s="806"/>
      <c r="AS81" s="806"/>
      <c r="AT81" s="806"/>
      <c r="AU81" s="806"/>
      <c r="AV81" s="806"/>
      <c r="AW81" s="806"/>
      <c r="AX81" s="806"/>
      <c r="AY81" s="806"/>
      <c r="AZ81" s="806"/>
      <c r="BA81" s="806"/>
      <c r="BB81" s="806"/>
      <c r="BC81" s="806"/>
      <c r="BD81" s="806"/>
      <c r="BE81" s="806"/>
      <c r="BF81" s="806"/>
      <c r="BG81" s="806"/>
      <c r="BH81" s="806"/>
      <c r="BI81" s="806"/>
      <c r="BJ81" s="806"/>
      <c r="BK81" s="806"/>
      <c r="BL81" s="806"/>
      <c r="BM81" s="806"/>
      <c r="BN81" s="806"/>
      <c r="BO81" s="806"/>
      <c r="BP81" s="806"/>
      <c r="BQ81" s="806"/>
      <c r="BR81" s="806"/>
      <c r="BS81" s="806"/>
      <c r="BT81" s="806"/>
      <c r="BU81" s="806"/>
      <c r="BV81" s="806"/>
      <c r="BW81" s="806"/>
      <c r="BX81" s="782" t="s">
        <v>908</v>
      </c>
      <c r="BY81" s="783"/>
      <c r="BZ81" s="783"/>
      <c r="CA81" s="783"/>
      <c r="CB81" s="783"/>
      <c r="CC81" s="783"/>
      <c r="CD81" s="783"/>
      <c r="CE81" s="784"/>
      <c r="CF81" s="785" t="s">
        <v>909</v>
      </c>
      <c r="CG81" s="783"/>
      <c r="CH81" s="783"/>
      <c r="CI81" s="783"/>
      <c r="CJ81" s="783"/>
      <c r="CK81" s="783"/>
      <c r="CL81" s="783"/>
      <c r="CM81" s="783"/>
      <c r="CN81" s="783"/>
      <c r="CO81" s="783"/>
      <c r="CP81" s="783"/>
      <c r="CQ81" s="783"/>
      <c r="CR81" s="784"/>
      <c r="CS81" s="785"/>
      <c r="CT81" s="783"/>
      <c r="CU81" s="783"/>
      <c r="CV81" s="783"/>
      <c r="CW81" s="783"/>
      <c r="CX81" s="783"/>
      <c r="CY81" s="783"/>
      <c r="CZ81" s="783"/>
      <c r="DA81" s="783"/>
      <c r="DB81" s="783"/>
      <c r="DC81" s="783"/>
      <c r="DD81" s="783"/>
      <c r="DE81" s="784"/>
      <c r="DF81" s="776"/>
      <c r="DG81" s="777"/>
      <c r="DH81" s="777"/>
      <c r="DI81" s="777"/>
      <c r="DJ81" s="777"/>
      <c r="DK81" s="777"/>
      <c r="DL81" s="777"/>
      <c r="DM81" s="777"/>
      <c r="DN81" s="777"/>
      <c r="DO81" s="777"/>
      <c r="DP81" s="777"/>
      <c r="DQ81" s="777"/>
      <c r="DR81" s="778"/>
      <c r="DS81" s="776"/>
      <c r="DT81" s="777"/>
      <c r="DU81" s="777"/>
      <c r="DV81" s="777"/>
      <c r="DW81" s="777"/>
      <c r="DX81" s="777"/>
      <c r="DY81" s="777"/>
      <c r="DZ81" s="777"/>
      <c r="EA81" s="777"/>
      <c r="EB81" s="777"/>
      <c r="EC81" s="777"/>
      <c r="ED81" s="777"/>
      <c r="EE81" s="778"/>
      <c r="EF81" s="776"/>
      <c r="EG81" s="777"/>
      <c r="EH81" s="777"/>
      <c r="EI81" s="777"/>
      <c r="EJ81" s="777"/>
      <c r="EK81" s="777"/>
      <c r="EL81" s="777"/>
      <c r="EM81" s="777"/>
      <c r="EN81" s="777"/>
      <c r="EO81" s="777"/>
      <c r="EP81" s="777"/>
      <c r="EQ81" s="777"/>
      <c r="ER81" s="778"/>
      <c r="ES81" s="779" t="s">
        <v>74</v>
      </c>
      <c r="ET81" s="780"/>
      <c r="EU81" s="780"/>
      <c r="EV81" s="780"/>
      <c r="EW81" s="780"/>
      <c r="EX81" s="780"/>
      <c r="EY81" s="780"/>
      <c r="EZ81" s="780"/>
      <c r="FA81" s="780"/>
      <c r="FB81" s="780"/>
      <c r="FC81" s="780"/>
      <c r="FD81" s="780"/>
      <c r="FE81" s="781"/>
    </row>
    <row r="82" spans="1:163" s="490" customFormat="1" ht="11.1" customHeight="1" x14ac:dyDescent="0.15">
      <c r="A82" s="833" t="s">
        <v>398</v>
      </c>
      <c r="B82" s="834"/>
      <c r="C82" s="834"/>
      <c r="D82" s="834"/>
      <c r="E82" s="834"/>
      <c r="F82" s="834"/>
      <c r="G82" s="834"/>
      <c r="H82" s="834"/>
      <c r="I82" s="834"/>
      <c r="J82" s="834"/>
      <c r="K82" s="834"/>
      <c r="L82" s="834"/>
      <c r="M82" s="834"/>
      <c r="N82" s="834"/>
      <c r="O82" s="834"/>
      <c r="P82" s="834"/>
      <c r="Q82" s="834"/>
      <c r="R82" s="834"/>
      <c r="S82" s="834"/>
      <c r="T82" s="834"/>
      <c r="U82" s="834"/>
      <c r="V82" s="834"/>
      <c r="W82" s="834"/>
      <c r="X82" s="834"/>
      <c r="Y82" s="834"/>
      <c r="Z82" s="834"/>
      <c r="AA82" s="834"/>
      <c r="AB82" s="834"/>
      <c r="AC82" s="834"/>
      <c r="AD82" s="834"/>
      <c r="AE82" s="834"/>
      <c r="AF82" s="834"/>
      <c r="AG82" s="834"/>
      <c r="AH82" s="834"/>
      <c r="AI82" s="834"/>
      <c r="AJ82" s="834"/>
      <c r="AK82" s="834"/>
      <c r="AL82" s="834"/>
      <c r="AM82" s="834"/>
      <c r="AN82" s="834"/>
      <c r="AO82" s="834"/>
      <c r="AP82" s="834"/>
      <c r="AQ82" s="834"/>
      <c r="AR82" s="834"/>
      <c r="AS82" s="834"/>
      <c r="AT82" s="834"/>
      <c r="AU82" s="834"/>
      <c r="AV82" s="834"/>
      <c r="AW82" s="834"/>
      <c r="AX82" s="834"/>
      <c r="AY82" s="834"/>
      <c r="AZ82" s="834"/>
      <c r="BA82" s="834"/>
      <c r="BB82" s="834"/>
      <c r="BC82" s="834"/>
      <c r="BD82" s="834"/>
      <c r="BE82" s="834"/>
      <c r="BF82" s="834"/>
      <c r="BG82" s="834"/>
      <c r="BH82" s="834"/>
      <c r="BI82" s="834"/>
      <c r="BJ82" s="834"/>
      <c r="BK82" s="834"/>
      <c r="BL82" s="834"/>
      <c r="BM82" s="834"/>
      <c r="BN82" s="834"/>
      <c r="BO82" s="834"/>
      <c r="BP82" s="834"/>
      <c r="BQ82" s="834"/>
      <c r="BR82" s="834"/>
      <c r="BS82" s="834"/>
      <c r="BT82" s="834"/>
      <c r="BU82" s="834"/>
      <c r="BV82" s="834"/>
      <c r="BW82" s="834"/>
      <c r="BX82" s="787" t="s">
        <v>910</v>
      </c>
      <c r="BY82" s="788"/>
      <c r="BZ82" s="788"/>
      <c r="CA82" s="788"/>
      <c r="CB82" s="788"/>
      <c r="CC82" s="788"/>
      <c r="CD82" s="788"/>
      <c r="CE82" s="789"/>
      <c r="CF82" s="790" t="s">
        <v>911</v>
      </c>
      <c r="CG82" s="788"/>
      <c r="CH82" s="788"/>
      <c r="CI82" s="788"/>
      <c r="CJ82" s="788"/>
      <c r="CK82" s="788"/>
      <c r="CL82" s="788"/>
      <c r="CM82" s="788"/>
      <c r="CN82" s="788"/>
      <c r="CO82" s="788"/>
      <c r="CP82" s="788"/>
      <c r="CQ82" s="788"/>
      <c r="CR82" s="789"/>
      <c r="CS82" s="790" t="s">
        <v>912</v>
      </c>
      <c r="CT82" s="788"/>
      <c r="CU82" s="788"/>
      <c r="CV82" s="788"/>
      <c r="CW82" s="788"/>
      <c r="CX82" s="788"/>
      <c r="CY82" s="788"/>
      <c r="CZ82" s="788"/>
      <c r="DA82" s="788"/>
      <c r="DB82" s="788"/>
      <c r="DC82" s="788"/>
      <c r="DD82" s="788"/>
      <c r="DE82" s="789"/>
      <c r="DF82" s="827">
        <f>DF83+DF84</f>
        <v>274000</v>
      </c>
      <c r="DG82" s="828"/>
      <c r="DH82" s="828"/>
      <c r="DI82" s="828"/>
      <c r="DJ82" s="828"/>
      <c r="DK82" s="828"/>
      <c r="DL82" s="828"/>
      <c r="DM82" s="828"/>
      <c r="DN82" s="828"/>
      <c r="DO82" s="828"/>
      <c r="DP82" s="828"/>
      <c r="DQ82" s="828"/>
      <c r="DR82" s="829"/>
      <c r="DS82" s="827">
        <f>DS83+DS84</f>
        <v>264000</v>
      </c>
      <c r="DT82" s="828"/>
      <c r="DU82" s="828"/>
      <c r="DV82" s="828"/>
      <c r="DW82" s="828"/>
      <c r="DX82" s="828"/>
      <c r="DY82" s="828"/>
      <c r="DZ82" s="828"/>
      <c r="EA82" s="828"/>
      <c r="EB82" s="828"/>
      <c r="EC82" s="828"/>
      <c r="ED82" s="828"/>
      <c r="EE82" s="829"/>
      <c r="EF82" s="827">
        <f>EF83+EF84</f>
        <v>264000</v>
      </c>
      <c r="EG82" s="828"/>
      <c r="EH82" s="828"/>
      <c r="EI82" s="828"/>
      <c r="EJ82" s="828"/>
      <c r="EK82" s="828"/>
      <c r="EL82" s="828"/>
      <c r="EM82" s="828"/>
      <c r="EN82" s="828"/>
      <c r="EO82" s="828"/>
      <c r="EP82" s="828"/>
      <c r="EQ82" s="828"/>
      <c r="ER82" s="829"/>
      <c r="ES82" s="830" t="s">
        <v>74</v>
      </c>
      <c r="ET82" s="831"/>
      <c r="EU82" s="831"/>
      <c r="EV82" s="831"/>
      <c r="EW82" s="831"/>
      <c r="EX82" s="831"/>
      <c r="EY82" s="831"/>
      <c r="EZ82" s="831"/>
      <c r="FA82" s="831"/>
      <c r="FB82" s="831"/>
      <c r="FC82" s="831"/>
      <c r="FD82" s="831"/>
      <c r="FE82" s="832"/>
    </row>
    <row r="83" spans="1:163" ht="21.75" customHeight="1" x14ac:dyDescent="0.2">
      <c r="A83" s="805" t="s">
        <v>913</v>
      </c>
      <c r="B83" s="806"/>
      <c r="C83" s="806"/>
      <c r="D83" s="806"/>
      <c r="E83" s="806"/>
      <c r="F83" s="806"/>
      <c r="G83" s="806"/>
      <c r="H83" s="806"/>
      <c r="I83" s="806"/>
      <c r="J83" s="806"/>
      <c r="K83" s="806"/>
      <c r="L83" s="806"/>
      <c r="M83" s="806"/>
      <c r="N83" s="806"/>
      <c r="O83" s="806"/>
      <c r="P83" s="806"/>
      <c r="Q83" s="806"/>
      <c r="R83" s="806"/>
      <c r="S83" s="806"/>
      <c r="T83" s="806"/>
      <c r="U83" s="806"/>
      <c r="V83" s="806"/>
      <c r="W83" s="806"/>
      <c r="X83" s="806"/>
      <c r="Y83" s="806"/>
      <c r="Z83" s="806"/>
      <c r="AA83" s="806"/>
      <c r="AB83" s="806"/>
      <c r="AC83" s="806"/>
      <c r="AD83" s="806"/>
      <c r="AE83" s="806"/>
      <c r="AF83" s="806"/>
      <c r="AG83" s="806"/>
      <c r="AH83" s="806"/>
      <c r="AI83" s="806"/>
      <c r="AJ83" s="806"/>
      <c r="AK83" s="806"/>
      <c r="AL83" s="806"/>
      <c r="AM83" s="806"/>
      <c r="AN83" s="806"/>
      <c r="AO83" s="806"/>
      <c r="AP83" s="806"/>
      <c r="AQ83" s="806"/>
      <c r="AR83" s="806"/>
      <c r="AS83" s="806"/>
      <c r="AT83" s="806"/>
      <c r="AU83" s="806"/>
      <c r="AV83" s="806"/>
      <c r="AW83" s="806"/>
      <c r="AX83" s="806"/>
      <c r="AY83" s="806"/>
      <c r="AZ83" s="806"/>
      <c r="BA83" s="806"/>
      <c r="BB83" s="806"/>
      <c r="BC83" s="806"/>
      <c r="BD83" s="806"/>
      <c r="BE83" s="806"/>
      <c r="BF83" s="806"/>
      <c r="BG83" s="806"/>
      <c r="BH83" s="806"/>
      <c r="BI83" s="806"/>
      <c r="BJ83" s="806"/>
      <c r="BK83" s="806"/>
      <c r="BL83" s="806"/>
      <c r="BM83" s="806"/>
      <c r="BN83" s="806"/>
      <c r="BO83" s="806"/>
      <c r="BP83" s="806"/>
      <c r="BQ83" s="806"/>
      <c r="BR83" s="806"/>
      <c r="BS83" s="806"/>
      <c r="BT83" s="806"/>
      <c r="BU83" s="806"/>
      <c r="BV83" s="806"/>
      <c r="BW83" s="806"/>
      <c r="BX83" s="782" t="s">
        <v>914</v>
      </c>
      <c r="BY83" s="783"/>
      <c r="BZ83" s="783"/>
      <c r="CA83" s="783"/>
      <c r="CB83" s="783"/>
      <c r="CC83" s="783"/>
      <c r="CD83" s="783"/>
      <c r="CE83" s="784"/>
      <c r="CF83" s="785" t="s">
        <v>915</v>
      </c>
      <c r="CG83" s="783"/>
      <c r="CH83" s="783"/>
      <c r="CI83" s="783"/>
      <c r="CJ83" s="783"/>
      <c r="CK83" s="783"/>
      <c r="CL83" s="783"/>
      <c r="CM83" s="783"/>
      <c r="CN83" s="783"/>
      <c r="CO83" s="783"/>
      <c r="CP83" s="783"/>
      <c r="CQ83" s="783"/>
      <c r="CR83" s="784"/>
      <c r="CS83" s="785" t="s">
        <v>912</v>
      </c>
      <c r="CT83" s="783"/>
      <c r="CU83" s="783"/>
      <c r="CV83" s="783"/>
      <c r="CW83" s="783"/>
      <c r="CX83" s="783"/>
      <c r="CY83" s="783"/>
      <c r="CZ83" s="783"/>
      <c r="DA83" s="783"/>
      <c r="DB83" s="783"/>
      <c r="DC83" s="783"/>
      <c r="DD83" s="783"/>
      <c r="DE83" s="784"/>
      <c r="DF83" s="776">
        <v>274000</v>
      </c>
      <c r="DG83" s="777"/>
      <c r="DH83" s="777"/>
      <c r="DI83" s="777"/>
      <c r="DJ83" s="777"/>
      <c r="DK83" s="777"/>
      <c r="DL83" s="777"/>
      <c r="DM83" s="777"/>
      <c r="DN83" s="777"/>
      <c r="DO83" s="777"/>
      <c r="DP83" s="777"/>
      <c r="DQ83" s="777"/>
      <c r="DR83" s="778"/>
      <c r="DS83" s="776">
        <v>264000</v>
      </c>
      <c r="DT83" s="777"/>
      <c r="DU83" s="777"/>
      <c r="DV83" s="777"/>
      <c r="DW83" s="777"/>
      <c r="DX83" s="777"/>
      <c r="DY83" s="777"/>
      <c r="DZ83" s="777"/>
      <c r="EA83" s="777"/>
      <c r="EB83" s="777"/>
      <c r="EC83" s="777"/>
      <c r="ED83" s="777"/>
      <c r="EE83" s="778"/>
      <c r="EF83" s="776">
        <v>264000</v>
      </c>
      <c r="EG83" s="777"/>
      <c r="EH83" s="777"/>
      <c r="EI83" s="777"/>
      <c r="EJ83" s="777"/>
      <c r="EK83" s="777"/>
      <c r="EL83" s="777"/>
      <c r="EM83" s="777"/>
      <c r="EN83" s="777"/>
      <c r="EO83" s="777"/>
      <c r="EP83" s="777"/>
      <c r="EQ83" s="777"/>
      <c r="ER83" s="778"/>
      <c r="ES83" s="779" t="s">
        <v>74</v>
      </c>
      <c r="ET83" s="780"/>
      <c r="EU83" s="780"/>
      <c r="EV83" s="780"/>
      <c r="EW83" s="780"/>
      <c r="EX83" s="780"/>
      <c r="EY83" s="780"/>
      <c r="EZ83" s="780"/>
      <c r="FA83" s="780"/>
      <c r="FB83" s="780"/>
      <c r="FC83" s="780"/>
      <c r="FD83" s="780"/>
      <c r="FE83" s="781"/>
      <c r="FG83" s="482">
        <v>264000</v>
      </c>
    </row>
    <row r="84" spans="1:163" ht="21.75" customHeight="1" x14ac:dyDescent="0.2">
      <c r="A84" s="805" t="s">
        <v>399</v>
      </c>
      <c r="B84" s="806"/>
      <c r="C84" s="806"/>
      <c r="D84" s="806"/>
      <c r="E84" s="806"/>
      <c r="F84" s="806"/>
      <c r="G84" s="806"/>
      <c r="H84" s="806"/>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c r="AK84" s="806"/>
      <c r="AL84" s="806"/>
      <c r="AM84" s="806"/>
      <c r="AN84" s="806"/>
      <c r="AO84" s="806"/>
      <c r="AP84" s="806"/>
      <c r="AQ84" s="806"/>
      <c r="AR84" s="806"/>
      <c r="AS84" s="806"/>
      <c r="AT84" s="806"/>
      <c r="AU84" s="806"/>
      <c r="AV84" s="806"/>
      <c r="AW84" s="806"/>
      <c r="AX84" s="806"/>
      <c r="AY84" s="806"/>
      <c r="AZ84" s="806"/>
      <c r="BA84" s="806"/>
      <c r="BB84" s="806"/>
      <c r="BC84" s="806"/>
      <c r="BD84" s="806"/>
      <c r="BE84" s="806"/>
      <c r="BF84" s="806"/>
      <c r="BG84" s="806"/>
      <c r="BH84" s="806"/>
      <c r="BI84" s="806"/>
      <c r="BJ84" s="806"/>
      <c r="BK84" s="806"/>
      <c r="BL84" s="806"/>
      <c r="BM84" s="806"/>
      <c r="BN84" s="806"/>
      <c r="BO84" s="806"/>
      <c r="BP84" s="806"/>
      <c r="BQ84" s="806"/>
      <c r="BR84" s="806"/>
      <c r="BS84" s="806"/>
      <c r="BT84" s="806"/>
      <c r="BU84" s="806"/>
      <c r="BV84" s="806"/>
      <c r="BW84" s="806"/>
      <c r="BX84" s="782" t="s">
        <v>916</v>
      </c>
      <c r="BY84" s="783"/>
      <c r="BZ84" s="783"/>
      <c r="CA84" s="783"/>
      <c r="CB84" s="783"/>
      <c r="CC84" s="783"/>
      <c r="CD84" s="783"/>
      <c r="CE84" s="784"/>
      <c r="CF84" s="785" t="s">
        <v>917</v>
      </c>
      <c r="CG84" s="783"/>
      <c r="CH84" s="783"/>
      <c r="CI84" s="783"/>
      <c r="CJ84" s="783"/>
      <c r="CK84" s="783"/>
      <c r="CL84" s="783"/>
      <c r="CM84" s="783"/>
      <c r="CN84" s="783"/>
      <c r="CO84" s="783"/>
      <c r="CP84" s="783"/>
      <c r="CQ84" s="783"/>
      <c r="CR84" s="784"/>
      <c r="CS84" s="785" t="s">
        <v>912</v>
      </c>
      <c r="CT84" s="783"/>
      <c r="CU84" s="783"/>
      <c r="CV84" s="783"/>
      <c r="CW84" s="783"/>
      <c r="CX84" s="783"/>
      <c r="CY84" s="783"/>
      <c r="CZ84" s="783"/>
      <c r="DA84" s="783"/>
      <c r="DB84" s="783"/>
      <c r="DC84" s="783"/>
      <c r="DD84" s="783"/>
      <c r="DE84" s="784"/>
      <c r="DF84" s="776">
        <v>0</v>
      </c>
      <c r="DG84" s="777"/>
      <c r="DH84" s="777"/>
      <c r="DI84" s="777"/>
      <c r="DJ84" s="777"/>
      <c r="DK84" s="777"/>
      <c r="DL84" s="777"/>
      <c r="DM84" s="777"/>
      <c r="DN84" s="777"/>
      <c r="DO84" s="777"/>
      <c r="DP84" s="777"/>
      <c r="DQ84" s="777"/>
      <c r="DR84" s="778"/>
      <c r="DS84" s="776">
        <v>0</v>
      </c>
      <c r="DT84" s="777"/>
      <c r="DU84" s="777"/>
      <c r="DV84" s="777"/>
      <c r="DW84" s="777"/>
      <c r="DX84" s="777"/>
      <c r="DY84" s="777"/>
      <c r="DZ84" s="777"/>
      <c r="EA84" s="777"/>
      <c r="EB84" s="777"/>
      <c r="EC84" s="777"/>
      <c r="ED84" s="777"/>
      <c r="EE84" s="778"/>
      <c r="EF84" s="776">
        <v>0</v>
      </c>
      <c r="EG84" s="777"/>
      <c r="EH84" s="777"/>
      <c r="EI84" s="777"/>
      <c r="EJ84" s="777"/>
      <c r="EK84" s="777"/>
      <c r="EL84" s="777"/>
      <c r="EM84" s="777"/>
      <c r="EN84" s="777"/>
      <c r="EO84" s="777"/>
      <c r="EP84" s="777"/>
      <c r="EQ84" s="777"/>
      <c r="ER84" s="778"/>
      <c r="ES84" s="779" t="s">
        <v>74</v>
      </c>
      <c r="ET84" s="780"/>
      <c r="EU84" s="780"/>
      <c r="EV84" s="780"/>
      <c r="EW84" s="780"/>
      <c r="EX84" s="780"/>
      <c r="EY84" s="780"/>
      <c r="EZ84" s="780"/>
      <c r="FA84" s="780"/>
      <c r="FB84" s="780"/>
      <c r="FC84" s="780"/>
      <c r="FD84" s="780"/>
      <c r="FE84" s="781"/>
    </row>
    <row r="85" spans="1:163" ht="11.1" customHeight="1" x14ac:dyDescent="0.2">
      <c r="A85" s="805" t="s">
        <v>400</v>
      </c>
      <c r="B85" s="806"/>
      <c r="C85" s="806"/>
      <c r="D85" s="806"/>
      <c r="E85" s="806"/>
      <c r="F85" s="806"/>
      <c r="G85" s="806"/>
      <c r="H85" s="806"/>
      <c r="I85" s="806"/>
      <c r="J85" s="806"/>
      <c r="K85" s="806"/>
      <c r="L85" s="806"/>
      <c r="M85" s="806"/>
      <c r="N85" s="806"/>
      <c r="O85" s="806"/>
      <c r="P85" s="806"/>
      <c r="Q85" s="806"/>
      <c r="R85" s="806"/>
      <c r="S85" s="806"/>
      <c r="T85" s="806"/>
      <c r="U85" s="806"/>
      <c r="V85" s="806"/>
      <c r="W85" s="806"/>
      <c r="X85" s="806"/>
      <c r="Y85" s="806"/>
      <c r="Z85" s="806"/>
      <c r="AA85" s="806"/>
      <c r="AB85" s="806"/>
      <c r="AC85" s="806"/>
      <c r="AD85" s="806"/>
      <c r="AE85" s="806"/>
      <c r="AF85" s="806"/>
      <c r="AG85" s="806"/>
      <c r="AH85" s="806"/>
      <c r="AI85" s="806"/>
      <c r="AJ85" s="806"/>
      <c r="AK85" s="806"/>
      <c r="AL85" s="806"/>
      <c r="AM85" s="806"/>
      <c r="AN85" s="806"/>
      <c r="AO85" s="806"/>
      <c r="AP85" s="806"/>
      <c r="AQ85" s="806"/>
      <c r="AR85" s="806"/>
      <c r="AS85" s="806"/>
      <c r="AT85" s="806"/>
      <c r="AU85" s="806"/>
      <c r="AV85" s="806"/>
      <c r="AW85" s="806"/>
      <c r="AX85" s="806"/>
      <c r="AY85" s="806"/>
      <c r="AZ85" s="806"/>
      <c r="BA85" s="806"/>
      <c r="BB85" s="806"/>
      <c r="BC85" s="806"/>
      <c r="BD85" s="806"/>
      <c r="BE85" s="806"/>
      <c r="BF85" s="806"/>
      <c r="BG85" s="806"/>
      <c r="BH85" s="806"/>
      <c r="BI85" s="806"/>
      <c r="BJ85" s="806"/>
      <c r="BK85" s="806"/>
      <c r="BL85" s="806"/>
      <c r="BM85" s="806"/>
      <c r="BN85" s="806"/>
      <c r="BO85" s="806"/>
      <c r="BP85" s="806"/>
      <c r="BQ85" s="806"/>
      <c r="BR85" s="806"/>
      <c r="BS85" s="806"/>
      <c r="BT85" s="806"/>
      <c r="BU85" s="806"/>
      <c r="BV85" s="806"/>
      <c r="BW85" s="806"/>
      <c r="BX85" s="782" t="s">
        <v>918</v>
      </c>
      <c r="BY85" s="783"/>
      <c r="BZ85" s="783"/>
      <c r="CA85" s="783"/>
      <c r="CB85" s="783"/>
      <c r="CC85" s="783"/>
      <c r="CD85" s="783"/>
      <c r="CE85" s="784"/>
      <c r="CF85" s="785" t="s">
        <v>919</v>
      </c>
      <c r="CG85" s="783"/>
      <c r="CH85" s="783"/>
      <c r="CI85" s="783"/>
      <c r="CJ85" s="783"/>
      <c r="CK85" s="783"/>
      <c r="CL85" s="783"/>
      <c r="CM85" s="783"/>
      <c r="CN85" s="783"/>
      <c r="CO85" s="783"/>
      <c r="CP85" s="783"/>
      <c r="CQ85" s="783"/>
      <c r="CR85" s="784"/>
      <c r="CS85" s="785"/>
      <c r="CT85" s="783"/>
      <c r="CU85" s="783"/>
      <c r="CV85" s="783"/>
      <c r="CW85" s="783"/>
      <c r="CX85" s="783"/>
      <c r="CY85" s="783"/>
      <c r="CZ85" s="783"/>
      <c r="DA85" s="783"/>
      <c r="DB85" s="783"/>
      <c r="DC85" s="783"/>
      <c r="DD85" s="783"/>
      <c r="DE85" s="784"/>
      <c r="DF85" s="776"/>
      <c r="DG85" s="777"/>
      <c r="DH85" s="777"/>
      <c r="DI85" s="777"/>
      <c r="DJ85" s="777"/>
      <c r="DK85" s="777"/>
      <c r="DL85" s="777"/>
      <c r="DM85" s="777"/>
      <c r="DN85" s="777"/>
      <c r="DO85" s="777"/>
      <c r="DP85" s="777"/>
      <c r="DQ85" s="777"/>
      <c r="DR85" s="778"/>
      <c r="DS85" s="776"/>
      <c r="DT85" s="777"/>
      <c r="DU85" s="777"/>
      <c r="DV85" s="777"/>
      <c r="DW85" s="777"/>
      <c r="DX85" s="777"/>
      <c r="DY85" s="777"/>
      <c r="DZ85" s="777"/>
      <c r="EA85" s="777"/>
      <c r="EB85" s="777"/>
      <c r="EC85" s="777"/>
      <c r="ED85" s="777"/>
      <c r="EE85" s="778"/>
      <c r="EF85" s="776"/>
      <c r="EG85" s="777"/>
      <c r="EH85" s="777"/>
      <c r="EI85" s="777"/>
      <c r="EJ85" s="777"/>
      <c r="EK85" s="777"/>
      <c r="EL85" s="777"/>
      <c r="EM85" s="777"/>
      <c r="EN85" s="777"/>
      <c r="EO85" s="777"/>
      <c r="EP85" s="777"/>
      <c r="EQ85" s="777"/>
      <c r="ER85" s="778"/>
      <c r="ES85" s="779" t="s">
        <v>74</v>
      </c>
      <c r="ET85" s="780"/>
      <c r="EU85" s="780"/>
      <c r="EV85" s="780"/>
      <c r="EW85" s="780"/>
      <c r="EX85" s="780"/>
      <c r="EY85" s="780"/>
      <c r="EZ85" s="780"/>
      <c r="FA85" s="780"/>
      <c r="FB85" s="780"/>
      <c r="FC85" s="780"/>
      <c r="FD85" s="780"/>
      <c r="FE85" s="781"/>
    </row>
    <row r="86" spans="1:163" ht="11.1" customHeight="1" x14ac:dyDescent="0.2">
      <c r="A86" s="825" t="s">
        <v>401</v>
      </c>
      <c r="B86" s="826"/>
      <c r="C86" s="826"/>
      <c r="D86" s="826"/>
      <c r="E86" s="826"/>
      <c r="F86" s="826"/>
      <c r="G86" s="826"/>
      <c r="H86" s="826"/>
      <c r="I86" s="826"/>
      <c r="J86" s="826"/>
      <c r="K86" s="826"/>
      <c r="L86" s="826"/>
      <c r="M86" s="826"/>
      <c r="N86" s="826"/>
      <c r="O86" s="826"/>
      <c r="P86" s="826"/>
      <c r="Q86" s="826"/>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26"/>
      <c r="BA86" s="826"/>
      <c r="BB86" s="826"/>
      <c r="BC86" s="826"/>
      <c r="BD86" s="826"/>
      <c r="BE86" s="826"/>
      <c r="BF86" s="826"/>
      <c r="BG86" s="826"/>
      <c r="BH86" s="826"/>
      <c r="BI86" s="826"/>
      <c r="BJ86" s="826"/>
      <c r="BK86" s="826"/>
      <c r="BL86" s="826"/>
      <c r="BM86" s="826"/>
      <c r="BN86" s="826"/>
      <c r="BO86" s="826"/>
      <c r="BP86" s="826"/>
      <c r="BQ86" s="826"/>
      <c r="BR86" s="826"/>
      <c r="BS86" s="826"/>
      <c r="BT86" s="826"/>
      <c r="BU86" s="826"/>
      <c r="BV86" s="826"/>
      <c r="BW86" s="826"/>
      <c r="BX86" s="782" t="s">
        <v>920</v>
      </c>
      <c r="BY86" s="783"/>
      <c r="BZ86" s="783"/>
      <c r="CA86" s="783"/>
      <c r="CB86" s="783"/>
      <c r="CC86" s="783"/>
      <c r="CD86" s="783"/>
      <c r="CE86" s="784"/>
      <c r="CF86" s="785" t="s">
        <v>74</v>
      </c>
      <c r="CG86" s="783"/>
      <c r="CH86" s="783"/>
      <c r="CI86" s="783"/>
      <c r="CJ86" s="783"/>
      <c r="CK86" s="783"/>
      <c r="CL86" s="783"/>
      <c r="CM86" s="783"/>
      <c r="CN86" s="783"/>
      <c r="CO86" s="783"/>
      <c r="CP86" s="783"/>
      <c r="CQ86" s="783"/>
      <c r="CR86" s="784"/>
      <c r="CS86" s="785"/>
      <c r="CT86" s="783"/>
      <c r="CU86" s="783"/>
      <c r="CV86" s="783"/>
      <c r="CW86" s="783"/>
      <c r="CX86" s="783"/>
      <c r="CY86" s="783"/>
      <c r="CZ86" s="783"/>
      <c r="DA86" s="783"/>
      <c r="DB86" s="783"/>
      <c r="DC86" s="783"/>
      <c r="DD86" s="783"/>
      <c r="DE86" s="784"/>
      <c r="DF86" s="776"/>
      <c r="DG86" s="777"/>
      <c r="DH86" s="777"/>
      <c r="DI86" s="777"/>
      <c r="DJ86" s="777"/>
      <c r="DK86" s="777"/>
      <c r="DL86" s="777"/>
      <c r="DM86" s="777"/>
      <c r="DN86" s="777"/>
      <c r="DO86" s="777"/>
      <c r="DP86" s="777"/>
      <c r="DQ86" s="777"/>
      <c r="DR86" s="778"/>
      <c r="DS86" s="776"/>
      <c r="DT86" s="777"/>
      <c r="DU86" s="777"/>
      <c r="DV86" s="777"/>
      <c r="DW86" s="777"/>
      <c r="DX86" s="777"/>
      <c r="DY86" s="777"/>
      <c r="DZ86" s="777"/>
      <c r="EA86" s="777"/>
      <c r="EB86" s="777"/>
      <c r="EC86" s="777"/>
      <c r="ED86" s="777"/>
      <c r="EE86" s="778"/>
      <c r="EF86" s="776"/>
      <c r="EG86" s="777"/>
      <c r="EH86" s="777"/>
      <c r="EI86" s="777"/>
      <c r="EJ86" s="777"/>
      <c r="EK86" s="777"/>
      <c r="EL86" s="777"/>
      <c r="EM86" s="777"/>
      <c r="EN86" s="777"/>
      <c r="EO86" s="777"/>
      <c r="EP86" s="777"/>
      <c r="EQ86" s="777"/>
      <c r="ER86" s="778"/>
      <c r="ES86" s="779" t="s">
        <v>74</v>
      </c>
      <c r="ET86" s="780"/>
      <c r="EU86" s="780"/>
      <c r="EV86" s="780"/>
      <c r="EW86" s="780"/>
      <c r="EX86" s="780"/>
      <c r="EY86" s="780"/>
      <c r="EZ86" s="780"/>
      <c r="FA86" s="780"/>
      <c r="FB86" s="780"/>
      <c r="FC86" s="780"/>
      <c r="FD86" s="780"/>
      <c r="FE86" s="781"/>
    </row>
    <row r="87" spans="1:163" ht="21.75" customHeight="1" x14ac:dyDescent="0.2">
      <c r="A87" s="805" t="s">
        <v>921</v>
      </c>
      <c r="B87" s="806"/>
      <c r="C87" s="806"/>
      <c r="D87" s="806"/>
      <c r="E87" s="806"/>
      <c r="F87" s="806"/>
      <c r="G87" s="806"/>
      <c r="H87" s="806"/>
      <c r="I87" s="806"/>
      <c r="J87" s="806"/>
      <c r="K87" s="806"/>
      <c r="L87" s="806"/>
      <c r="M87" s="806"/>
      <c r="N87" s="806"/>
      <c r="O87" s="806"/>
      <c r="P87" s="806"/>
      <c r="Q87" s="806"/>
      <c r="R87" s="806"/>
      <c r="S87" s="806"/>
      <c r="T87" s="806"/>
      <c r="U87" s="806"/>
      <c r="V87" s="806"/>
      <c r="W87" s="806"/>
      <c r="X87" s="806"/>
      <c r="Y87" s="806"/>
      <c r="Z87" s="806"/>
      <c r="AA87" s="806"/>
      <c r="AB87" s="806"/>
      <c r="AC87" s="806"/>
      <c r="AD87" s="806"/>
      <c r="AE87" s="806"/>
      <c r="AF87" s="806"/>
      <c r="AG87" s="806"/>
      <c r="AH87" s="806"/>
      <c r="AI87" s="806"/>
      <c r="AJ87" s="806"/>
      <c r="AK87" s="806"/>
      <c r="AL87" s="806"/>
      <c r="AM87" s="806"/>
      <c r="AN87" s="806"/>
      <c r="AO87" s="806"/>
      <c r="AP87" s="806"/>
      <c r="AQ87" s="806"/>
      <c r="AR87" s="806"/>
      <c r="AS87" s="806"/>
      <c r="AT87" s="806"/>
      <c r="AU87" s="806"/>
      <c r="AV87" s="806"/>
      <c r="AW87" s="806"/>
      <c r="AX87" s="806"/>
      <c r="AY87" s="806"/>
      <c r="AZ87" s="806"/>
      <c r="BA87" s="806"/>
      <c r="BB87" s="806"/>
      <c r="BC87" s="806"/>
      <c r="BD87" s="806"/>
      <c r="BE87" s="806"/>
      <c r="BF87" s="806"/>
      <c r="BG87" s="806"/>
      <c r="BH87" s="806"/>
      <c r="BI87" s="806"/>
      <c r="BJ87" s="806"/>
      <c r="BK87" s="806"/>
      <c r="BL87" s="806"/>
      <c r="BM87" s="806"/>
      <c r="BN87" s="806"/>
      <c r="BO87" s="806"/>
      <c r="BP87" s="806"/>
      <c r="BQ87" s="806"/>
      <c r="BR87" s="806"/>
      <c r="BS87" s="806"/>
      <c r="BT87" s="806"/>
      <c r="BU87" s="806"/>
      <c r="BV87" s="806"/>
      <c r="BW87" s="806"/>
      <c r="BX87" s="782" t="s">
        <v>922</v>
      </c>
      <c r="BY87" s="783"/>
      <c r="BZ87" s="783"/>
      <c r="CA87" s="783"/>
      <c r="CB87" s="783"/>
      <c r="CC87" s="783"/>
      <c r="CD87" s="783"/>
      <c r="CE87" s="784"/>
      <c r="CF87" s="785" t="s">
        <v>923</v>
      </c>
      <c r="CG87" s="783"/>
      <c r="CH87" s="783"/>
      <c r="CI87" s="783"/>
      <c r="CJ87" s="783"/>
      <c r="CK87" s="783"/>
      <c r="CL87" s="783"/>
      <c r="CM87" s="783"/>
      <c r="CN87" s="783"/>
      <c r="CO87" s="783"/>
      <c r="CP87" s="783"/>
      <c r="CQ87" s="783"/>
      <c r="CR87" s="784"/>
      <c r="CS87" s="785"/>
      <c r="CT87" s="783"/>
      <c r="CU87" s="783"/>
      <c r="CV87" s="783"/>
      <c r="CW87" s="783"/>
      <c r="CX87" s="783"/>
      <c r="CY87" s="783"/>
      <c r="CZ87" s="783"/>
      <c r="DA87" s="783"/>
      <c r="DB87" s="783"/>
      <c r="DC87" s="783"/>
      <c r="DD87" s="783"/>
      <c r="DE87" s="784"/>
      <c r="DF87" s="776"/>
      <c r="DG87" s="777"/>
      <c r="DH87" s="777"/>
      <c r="DI87" s="777"/>
      <c r="DJ87" s="777"/>
      <c r="DK87" s="777"/>
      <c r="DL87" s="777"/>
      <c r="DM87" s="777"/>
      <c r="DN87" s="777"/>
      <c r="DO87" s="777"/>
      <c r="DP87" s="777"/>
      <c r="DQ87" s="777"/>
      <c r="DR87" s="778"/>
      <c r="DS87" s="776"/>
      <c r="DT87" s="777"/>
      <c r="DU87" s="777"/>
      <c r="DV87" s="777"/>
      <c r="DW87" s="777"/>
      <c r="DX87" s="777"/>
      <c r="DY87" s="777"/>
      <c r="DZ87" s="777"/>
      <c r="EA87" s="777"/>
      <c r="EB87" s="777"/>
      <c r="EC87" s="777"/>
      <c r="ED87" s="777"/>
      <c r="EE87" s="778"/>
      <c r="EF87" s="776"/>
      <c r="EG87" s="777"/>
      <c r="EH87" s="777"/>
      <c r="EI87" s="777"/>
      <c r="EJ87" s="777"/>
      <c r="EK87" s="777"/>
      <c r="EL87" s="777"/>
      <c r="EM87" s="777"/>
      <c r="EN87" s="777"/>
      <c r="EO87" s="777"/>
      <c r="EP87" s="777"/>
      <c r="EQ87" s="777"/>
      <c r="ER87" s="778"/>
      <c r="ES87" s="779"/>
      <c r="ET87" s="780"/>
      <c r="EU87" s="780"/>
      <c r="EV87" s="780"/>
      <c r="EW87" s="780"/>
      <c r="EX87" s="780"/>
      <c r="EY87" s="780"/>
      <c r="EZ87" s="780"/>
      <c r="FA87" s="780"/>
      <c r="FB87" s="780"/>
      <c r="FC87" s="780"/>
      <c r="FD87" s="780"/>
      <c r="FE87" s="781"/>
    </row>
    <row r="88" spans="1:163" ht="11.1" customHeight="1" x14ac:dyDescent="0.2">
      <c r="A88" s="805" t="s">
        <v>924</v>
      </c>
      <c r="B88" s="806"/>
      <c r="C88" s="806"/>
      <c r="D88" s="806"/>
      <c r="E88" s="806"/>
      <c r="F88" s="806"/>
      <c r="G88" s="806"/>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6"/>
      <c r="AL88" s="806"/>
      <c r="AM88" s="806"/>
      <c r="AN88" s="806"/>
      <c r="AO88" s="806"/>
      <c r="AP88" s="806"/>
      <c r="AQ88" s="806"/>
      <c r="AR88" s="806"/>
      <c r="AS88" s="806"/>
      <c r="AT88" s="806"/>
      <c r="AU88" s="806"/>
      <c r="AV88" s="806"/>
      <c r="AW88" s="806"/>
      <c r="AX88" s="806"/>
      <c r="AY88" s="806"/>
      <c r="AZ88" s="806"/>
      <c r="BA88" s="806"/>
      <c r="BB88" s="806"/>
      <c r="BC88" s="806"/>
      <c r="BD88" s="806"/>
      <c r="BE88" s="806"/>
      <c r="BF88" s="806"/>
      <c r="BG88" s="806"/>
      <c r="BH88" s="806"/>
      <c r="BI88" s="806"/>
      <c r="BJ88" s="806"/>
      <c r="BK88" s="806"/>
      <c r="BL88" s="806"/>
      <c r="BM88" s="806"/>
      <c r="BN88" s="806"/>
      <c r="BO88" s="806"/>
      <c r="BP88" s="806"/>
      <c r="BQ88" s="806"/>
      <c r="BR88" s="806"/>
      <c r="BS88" s="806"/>
      <c r="BT88" s="806"/>
      <c r="BU88" s="806"/>
      <c r="BV88" s="806"/>
      <c r="BW88" s="806"/>
      <c r="BX88" s="782" t="s">
        <v>925</v>
      </c>
      <c r="BY88" s="783"/>
      <c r="BZ88" s="783"/>
      <c r="CA88" s="783"/>
      <c r="CB88" s="783"/>
      <c r="CC88" s="783"/>
      <c r="CD88" s="783"/>
      <c r="CE88" s="784"/>
      <c r="CF88" s="785" t="s">
        <v>926</v>
      </c>
      <c r="CG88" s="783"/>
      <c r="CH88" s="783"/>
      <c r="CI88" s="783"/>
      <c r="CJ88" s="783"/>
      <c r="CK88" s="783"/>
      <c r="CL88" s="783"/>
      <c r="CM88" s="783"/>
      <c r="CN88" s="783"/>
      <c r="CO88" s="783"/>
      <c r="CP88" s="783"/>
      <c r="CQ88" s="783"/>
      <c r="CR88" s="784"/>
      <c r="CS88" s="785"/>
      <c r="CT88" s="783"/>
      <c r="CU88" s="783"/>
      <c r="CV88" s="783"/>
      <c r="CW88" s="783"/>
      <c r="CX88" s="783"/>
      <c r="CY88" s="783"/>
      <c r="CZ88" s="783"/>
      <c r="DA88" s="783"/>
      <c r="DB88" s="783"/>
      <c r="DC88" s="783"/>
      <c r="DD88" s="783"/>
      <c r="DE88" s="784"/>
      <c r="DF88" s="776"/>
      <c r="DG88" s="777"/>
      <c r="DH88" s="777"/>
      <c r="DI88" s="777"/>
      <c r="DJ88" s="777"/>
      <c r="DK88" s="777"/>
      <c r="DL88" s="777"/>
      <c r="DM88" s="777"/>
      <c r="DN88" s="777"/>
      <c r="DO88" s="777"/>
      <c r="DP88" s="777"/>
      <c r="DQ88" s="777"/>
      <c r="DR88" s="778"/>
      <c r="DS88" s="776"/>
      <c r="DT88" s="777"/>
      <c r="DU88" s="777"/>
      <c r="DV88" s="777"/>
      <c r="DW88" s="777"/>
      <c r="DX88" s="777"/>
      <c r="DY88" s="777"/>
      <c r="DZ88" s="777"/>
      <c r="EA88" s="777"/>
      <c r="EB88" s="777"/>
      <c r="EC88" s="777"/>
      <c r="ED88" s="777"/>
      <c r="EE88" s="778"/>
      <c r="EF88" s="776"/>
      <c r="EG88" s="777"/>
      <c r="EH88" s="777"/>
      <c r="EI88" s="777"/>
      <c r="EJ88" s="777"/>
      <c r="EK88" s="777"/>
      <c r="EL88" s="777"/>
      <c r="EM88" s="777"/>
      <c r="EN88" s="777"/>
      <c r="EO88" s="777"/>
      <c r="EP88" s="777"/>
      <c r="EQ88" s="777"/>
      <c r="ER88" s="778"/>
      <c r="ES88" s="779"/>
      <c r="ET88" s="780"/>
      <c r="EU88" s="780"/>
      <c r="EV88" s="780"/>
      <c r="EW88" s="780"/>
      <c r="EX88" s="780"/>
      <c r="EY88" s="780"/>
      <c r="EZ88" s="780"/>
      <c r="FA88" s="780"/>
      <c r="FB88" s="780"/>
      <c r="FC88" s="780"/>
      <c r="FD88" s="780"/>
      <c r="FE88" s="781"/>
    </row>
    <row r="89" spans="1:163" ht="21.75" customHeight="1" x14ac:dyDescent="0.2">
      <c r="A89" s="805" t="s">
        <v>927</v>
      </c>
      <c r="B89" s="806"/>
      <c r="C89" s="806"/>
      <c r="D89" s="806"/>
      <c r="E89" s="806"/>
      <c r="F89" s="806"/>
      <c r="G89" s="806"/>
      <c r="H89" s="806"/>
      <c r="I89" s="806"/>
      <c r="J89" s="806"/>
      <c r="K89" s="806"/>
      <c r="L89" s="806"/>
      <c r="M89" s="806"/>
      <c r="N89" s="806"/>
      <c r="O89" s="806"/>
      <c r="P89" s="806"/>
      <c r="Q89" s="806"/>
      <c r="R89" s="806"/>
      <c r="S89" s="806"/>
      <c r="T89" s="806"/>
      <c r="U89" s="806"/>
      <c r="V89" s="806"/>
      <c r="W89" s="806"/>
      <c r="X89" s="806"/>
      <c r="Y89" s="806"/>
      <c r="Z89" s="806"/>
      <c r="AA89" s="806"/>
      <c r="AB89" s="806"/>
      <c r="AC89" s="806"/>
      <c r="AD89" s="806"/>
      <c r="AE89" s="806"/>
      <c r="AF89" s="806"/>
      <c r="AG89" s="806"/>
      <c r="AH89" s="806"/>
      <c r="AI89" s="806"/>
      <c r="AJ89" s="806"/>
      <c r="AK89" s="806"/>
      <c r="AL89" s="806"/>
      <c r="AM89" s="806"/>
      <c r="AN89" s="806"/>
      <c r="AO89" s="806"/>
      <c r="AP89" s="806"/>
      <c r="AQ89" s="806"/>
      <c r="AR89" s="806"/>
      <c r="AS89" s="806"/>
      <c r="AT89" s="806"/>
      <c r="AU89" s="806"/>
      <c r="AV89" s="806"/>
      <c r="AW89" s="806"/>
      <c r="AX89" s="806"/>
      <c r="AY89" s="806"/>
      <c r="AZ89" s="806"/>
      <c r="BA89" s="806"/>
      <c r="BB89" s="806"/>
      <c r="BC89" s="806"/>
      <c r="BD89" s="806"/>
      <c r="BE89" s="806"/>
      <c r="BF89" s="806"/>
      <c r="BG89" s="806"/>
      <c r="BH89" s="806"/>
      <c r="BI89" s="806"/>
      <c r="BJ89" s="806"/>
      <c r="BK89" s="806"/>
      <c r="BL89" s="806"/>
      <c r="BM89" s="806"/>
      <c r="BN89" s="806"/>
      <c r="BO89" s="806"/>
      <c r="BP89" s="806"/>
      <c r="BQ89" s="806"/>
      <c r="BR89" s="806"/>
      <c r="BS89" s="806"/>
      <c r="BT89" s="806"/>
      <c r="BU89" s="806"/>
      <c r="BV89" s="806"/>
      <c r="BW89" s="806"/>
      <c r="BX89" s="782" t="s">
        <v>928</v>
      </c>
      <c r="BY89" s="783"/>
      <c r="BZ89" s="783"/>
      <c r="CA89" s="783"/>
      <c r="CB89" s="783"/>
      <c r="CC89" s="783"/>
      <c r="CD89" s="783"/>
      <c r="CE89" s="784"/>
      <c r="CF89" s="785" t="s">
        <v>929</v>
      </c>
      <c r="CG89" s="783"/>
      <c r="CH89" s="783"/>
      <c r="CI89" s="783"/>
      <c r="CJ89" s="783"/>
      <c r="CK89" s="783"/>
      <c r="CL89" s="783"/>
      <c r="CM89" s="783"/>
      <c r="CN89" s="783"/>
      <c r="CO89" s="783"/>
      <c r="CP89" s="783"/>
      <c r="CQ89" s="783"/>
      <c r="CR89" s="784"/>
      <c r="CS89" s="785"/>
      <c r="CT89" s="783"/>
      <c r="CU89" s="783"/>
      <c r="CV89" s="783"/>
      <c r="CW89" s="783"/>
      <c r="CX89" s="783"/>
      <c r="CY89" s="783"/>
      <c r="CZ89" s="783"/>
      <c r="DA89" s="783"/>
      <c r="DB89" s="783"/>
      <c r="DC89" s="783"/>
      <c r="DD89" s="783"/>
      <c r="DE89" s="784"/>
      <c r="DF89" s="776"/>
      <c r="DG89" s="777"/>
      <c r="DH89" s="777"/>
      <c r="DI89" s="777"/>
      <c r="DJ89" s="777"/>
      <c r="DK89" s="777"/>
      <c r="DL89" s="777"/>
      <c r="DM89" s="777"/>
      <c r="DN89" s="777"/>
      <c r="DO89" s="777"/>
      <c r="DP89" s="777"/>
      <c r="DQ89" s="777"/>
      <c r="DR89" s="778"/>
      <c r="DS89" s="776"/>
      <c r="DT89" s="777"/>
      <c r="DU89" s="777"/>
      <c r="DV89" s="777"/>
      <c r="DW89" s="777"/>
      <c r="DX89" s="777"/>
      <c r="DY89" s="777"/>
      <c r="DZ89" s="777"/>
      <c r="EA89" s="777"/>
      <c r="EB89" s="777"/>
      <c r="EC89" s="777"/>
      <c r="ED89" s="777"/>
      <c r="EE89" s="778"/>
      <c r="EF89" s="776"/>
      <c r="EG89" s="777"/>
      <c r="EH89" s="777"/>
      <c r="EI89" s="777"/>
      <c r="EJ89" s="777"/>
      <c r="EK89" s="777"/>
      <c r="EL89" s="777"/>
      <c r="EM89" s="777"/>
      <c r="EN89" s="777"/>
      <c r="EO89" s="777"/>
      <c r="EP89" s="777"/>
      <c r="EQ89" s="777"/>
      <c r="ER89" s="778"/>
      <c r="ES89" s="779"/>
      <c r="ET89" s="780"/>
      <c r="EU89" s="780"/>
      <c r="EV89" s="780"/>
      <c r="EW89" s="780"/>
      <c r="EX89" s="780"/>
      <c r="EY89" s="780"/>
      <c r="EZ89" s="780"/>
      <c r="FA89" s="780"/>
      <c r="FB89" s="780"/>
      <c r="FC89" s="780"/>
      <c r="FD89" s="780"/>
      <c r="FE89" s="781"/>
    </row>
    <row r="90" spans="1:163" x14ac:dyDescent="0.2">
      <c r="A90" s="805" t="s">
        <v>402</v>
      </c>
      <c r="B90" s="806"/>
      <c r="C90" s="806"/>
      <c r="D90" s="806"/>
      <c r="E90" s="806"/>
      <c r="F90" s="806"/>
      <c r="G90" s="806"/>
      <c r="H90" s="806"/>
      <c r="I90" s="806"/>
      <c r="J90" s="806"/>
      <c r="K90" s="806"/>
      <c r="L90" s="806"/>
      <c r="M90" s="806"/>
      <c r="N90" s="806"/>
      <c r="O90" s="806"/>
      <c r="P90" s="806"/>
      <c r="Q90" s="806"/>
      <c r="R90" s="806"/>
      <c r="S90" s="806"/>
      <c r="T90" s="806"/>
      <c r="U90" s="806"/>
      <c r="V90" s="806"/>
      <c r="W90" s="806"/>
      <c r="X90" s="806"/>
      <c r="Y90" s="806"/>
      <c r="Z90" s="806"/>
      <c r="AA90" s="806"/>
      <c r="AB90" s="806"/>
      <c r="AC90" s="806"/>
      <c r="AD90" s="806"/>
      <c r="AE90" s="806"/>
      <c r="AF90" s="806"/>
      <c r="AG90" s="806"/>
      <c r="AH90" s="806"/>
      <c r="AI90" s="806"/>
      <c r="AJ90" s="806"/>
      <c r="AK90" s="806"/>
      <c r="AL90" s="806"/>
      <c r="AM90" s="806"/>
      <c r="AN90" s="806"/>
      <c r="AO90" s="806"/>
      <c r="AP90" s="806"/>
      <c r="AQ90" s="806"/>
      <c r="AR90" s="806"/>
      <c r="AS90" s="806"/>
      <c r="AT90" s="806"/>
      <c r="AU90" s="806"/>
      <c r="AV90" s="806"/>
      <c r="AW90" s="806"/>
      <c r="AX90" s="806"/>
      <c r="AY90" s="806"/>
      <c r="AZ90" s="806"/>
      <c r="BA90" s="806"/>
      <c r="BB90" s="806"/>
      <c r="BC90" s="806"/>
      <c r="BD90" s="806"/>
      <c r="BE90" s="806"/>
      <c r="BF90" s="806"/>
      <c r="BG90" s="806"/>
      <c r="BH90" s="806"/>
      <c r="BI90" s="806"/>
      <c r="BJ90" s="806"/>
      <c r="BK90" s="806"/>
      <c r="BL90" s="806"/>
      <c r="BM90" s="806"/>
      <c r="BN90" s="806"/>
      <c r="BO90" s="806"/>
      <c r="BP90" s="806"/>
      <c r="BQ90" s="806"/>
      <c r="BR90" s="806"/>
      <c r="BS90" s="806"/>
      <c r="BT90" s="806"/>
      <c r="BU90" s="806"/>
      <c r="BV90" s="806"/>
      <c r="BW90" s="806"/>
      <c r="BX90" s="782" t="s">
        <v>595</v>
      </c>
      <c r="BY90" s="783"/>
      <c r="BZ90" s="783"/>
      <c r="CA90" s="783"/>
      <c r="CB90" s="783"/>
      <c r="CC90" s="783"/>
      <c r="CD90" s="783"/>
      <c r="CE90" s="784"/>
      <c r="CF90" s="785" t="s">
        <v>930</v>
      </c>
      <c r="CG90" s="783"/>
      <c r="CH90" s="783"/>
      <c r="CI90" s="783"/>
      <c r="CJ90" s="783"/>
      <c r="CK90" s="783"/>
      <c r="CL90" s="783"/>
      <c r="CM90" s="783"/>
      <c r="CN90" s="783"/>
      <c r="CO90" s="783"/>
      <c r="CP90" s="783"/>
      <c r="CQ90" s="783"/>
      <c r="CR90" s="784"/>
      <c r="CS90" s="785"/>
      <c r="CT90" s="783"/>
      <c r="CU90" s="783"/>
      <c r="CV90" s="783"/>
      <c r="CW90" s="783"/>
      <c r="CX90" s="783"/>
      <c r="CY90" s="783"/>
      <c r="CZ90" s="783"/>
      <c r="DA90" s="783"/>
      <c r="DB90" s="783"/>
      <c r="DC90" s="783"/>
      <c r="DD90" s="783"/>
      <c r="DE90" s="784"/>
      <c r="DF90" s="776"/>
      <c r="DG90" s="777"/>
      <c r="DH90" s="777"/>
      <c r="DI90" s="777"/>
      <c r="DJ90" s="777"/>
      <c r="DK90" s="777"/>
      <c r="DL90" s="777"/>
      <c r="DM90" s="777"/>
      <c r="DN90" s="777"/>
      <c r="DO90" s="777"/>
      <c r="DP90" s="777"/>
      <c r="DQ90" s="777"/>
      <c r="DR90" s="778"/>
      <c r="DS90" s="776"/>
      <c r="DT90" s="777"/>
      <c r="DU90" s="777"/>
      <c r="DV90" s="777"/>
      <c r="DW90" s="777"/>
      <c r="DX90" s="777"/>
      <c r="DY90" s="777"/>
      <c r="DZ90" s="777"/>
      <c r="EA90" s="777"/>
      <c r="EB90" s="777"/>
      <c r="EC90" s="777"/>
      <c r="ED90" s="777"/>
      <c r="EE90" s="778"/>
      <c r="EF90" s="776"/>
      <c r="EG90" s="777"/>
      <c r="EH90" s="777"/>
      <c r="EI90" s="777"/>
      <c r="EJ90" s="777"/>
      <c r="EK90" s="777"/>
      <c r="EL90" s="777"/>
      <c r="EM90" s="777"/>
      <c r="EN90" s="777"/>
      <c r="EO90" s="777"/>
      <c r="EP90" s="777"/>
      <c r="EQ90" s="777"/>
      <c r="ER90" s="778"/>
      <c r="ES90" s="779"/>
      <c r="ET90" s="780"/>
      <c r="EU90" s="780"/>
      <c r="EV90" s="780"/>
      <c r="EW90" s="780"/>
      <c r="EX90" s="780"/>
      <c r="EY90" s="780"/>
      <c r="EZ90" s="780"/>
      <c r="FA90" s="780"/>
      <c r="FB90" s="780"/>
      <c r="FC90" s="780"/>
      <c r="FD90" s="780"/>
      <c r="FE90" s="781"/>
    </row>
    <row r="91" spans="1:163" x14ac:dyDescent="0.2">
      <c r="A91" s="805" t="s">
        <v>403</v>
      </c>
      <c r="B91" s="806"/>
      <c r="C91" s="806"/>
      <c r="D91" s="806"/>
      <c r="E91" s="806"/>
      <c r="F91" s="806"/>
      <c r="G91" s="806"/>
      <c r="H91" s="806"/>
      <c r="I91" s="806"/>
      <c r="J91" s="806"/>
      <c r="K91" s="806"/>
      <c r="L91" s="806"/>
      <c r="M91" s="806"/>
      <c r="N91" s="806"/>
      <c r="O91" s="806"/>
      <c r="P91" s="806"/>
      <c r="Q91" s="806"/>
      <c r="R91" s="806"/>
      <c r="S91" s="806"/>
      <c r="T91" s="806"/>
      <c r="U91" s="806"/>
      <c r="V91" s="806"/>
      <c r="W91" s="806"/>
      <c r="X91" s="806"/>
      <c r="Y91" s="806"/>
      <c r="Z91" s="806"/>
      <c r="AA91" s="806"/>
      <c r="AB91" s="806"/>
      <c r="AC91" s="806"/>
      <c r="AD91" s="806"/>
      <c r="AE91" s="806"/>
      <c r="AF91" s="806"/>
      <c r="AG91" s="806"/>
      <c r="AH91" s="806"/>
      <c r="AI91" s="806"/>
      <c r="AJ91" s="806"/>
      <c r="AK91" s="806"/>
      <c r="AL91" s="806"/>
      <c r="AM91" s="806"/>
      <c r="AN91" s="806"/>
      <c r="AO91" s="806"/>
      <c r="AP91" s="806"/>
      <c r="AQ91" s="806"/>
      <c r="AR91" s="806"/>
      <c r="AS91" s="806"/>
      <c r="AT91" s="806"/>
      <c r="AU91" s="806"/>
      <c r="AV91" s="806"/>
      <c r="AW91" s="806"/>
      <c r="AX91" s="806"/>
      <c r="AY91" s="806"/>
      <c r="AZ91" s="806"/>
      <c r="BA91" s="806"/>
      <c r="BB91" s="806"/>
      <c r="BC91" s="806"/>
      <c r="BD91" s="806"/>
      <c r="BE91" s="806"/>
      <c r="BF91" s="806"/>
      <c r="BG91" s="806"/>
      <c r="BH91" s="806"/>
      <c r="BI91" s="806"/>
      <c r="BJ91" s="806"/>
      <c r="BK91" s="806"/>
      <c r="BL91" s="806"/>
      <c r="BM91" s="806"/>
      <c r="BN91" s="806"/>
      <c r="BO91" s="806"/>
      <c r="BP91" s="806"/>
      <c r="BQ91" s="806"/>
      <c r="BR91" s="806"/>
      <c r="BS91" s="806"/>
      <c r="BT91" s="806"/>
      <c r="BU91" s="806"/>
      <c r="BV91" s="806"/>
      <c r="BW91" s="806"/>
      <c r="BX91" s="782" t="s">
        <v>596</v>
      </c>
      <c r="BY91" s="783"/>
      <c r="BZ91" s="783"/>
      <c r="CA91" s="783"/>
      <c r="CB91" s="783"/>
      <c r="CC91" s="783"/>
      <c r="CD91" s="783"/>
      <c r="CE91" s="784"/>
      <c r="CF91" s="785" t="s">
        <v>931</v>
      </c>
      <c r="CG91" s="783"/>
      <c r="CH91" s="783"/>
      <c r="CI91" s="783"/>
      <c r="CJ91" s="783"/>
      <c r="CK91" s="783"/>
      <c r="CL91" s="783"/>
      <c r="CM91" s="783"/>
      <c r="CN91" s="783"/>
      <c r="CO91" s="783"/>
      <c r="CP91" s="783"/>
      <c r="CQ91" s="783"/>
      <c r="CR91" s="784"/>
      <c r="CS91" s="785"/>
      <c r="CT91" s="783"/>
      <c r="CU91" s="783"/>
      <c r="CV91" s="783"/>
      <c r="CW91" s="783"/>
      <c r="CX91" s="783"/>
      <c r="CY91" s="783"/>
      <c r="CZ91" s="783"/>
      <c r="DA91" s="783"/>
      <c r="DB91" s="783"/>
      <c r="DC91" s="783"/>
      <c r="DD91" s="783"/>
      <c r="DE91" s="784"/>
      <c r="DF91" s="776"/>
      <c r="DG91" s="777"/>
      <c r="DH91" s="777"/>
      <c r="DI91" s="777"/>
      <c r="DJ91" s="777"/>
      <c r="DK91" s="777"/>
      <c r="DL91" s="777"/>
      <c r="DM91" s="777"/>
      <c r="DN91" s="777"/>
      <c r="DO91" s="777"/>
      <c r="DP91" s="777"/>
      <c r="DQ91" s="777"/>
      <c r="DR91" s="778"/>
      <c r="DS91" s="776"/>
      <c r="DT91" s="777"/>
      <c r="DU91" s="777"/>
      <c r="DV91" s="777"/>
      <c r="DW91" s="777"/>
      <c r="DX91" s="777"/>
      <c r="DY91" s="777"/>
      <c r="DZ91" s="777"/>
      <c r="EA91" s="777"/>
      <c r="EB91" s="777"/>
      <c r="EC91" s="777"/>
      <c r="ED91" s="777"/>
      <c r="EE91" s="778"/>
      <c r="EF91" s="776"/>
      <c r="EG91" s="777"/>
      <c r="EH91" s="777"/>
      <c r="EI91" s="777"/>
      <c r="EJ91" s="777"/>
      <c r="EK91" s="777"/>
      <c r="EL91" s="777"/>
      <c r="EM91" s="777"/>
      <c r="EN91" s="777"/>
      <c r="EO91" s="777"/>
      <c r="EP91" s="777"/>
      <c r="EQ91" s="777"/>
      <c r="ER91" s="778"/>
      <c r="ES91" s="779"/>
      <c r="ET91" s="780"/>
      <c r="EU91" s="780"/>
      <c r="EV91" s="780"/>
      <c r="EW91" s="780"/>
      <c r="EX91" s="780"/>
      <c r="EY91" s="780"/>
      <c r="EZ91" s="780"/>
      <c r="FA91" s="780"/>
      <c r="FB91" s="780"/>
      <c r="FC91" s="780"/>
      <c r="FD91" s="780"/>
      <c r="FE91" s="781"/>
    </row>
    <row r="92" spans="1:163" ht="21.75" customHeight="1" x14ac:dyDescent="0.2">
      <c r="A92" s="805" t="s">
        <v>404</v>
      </c>
      <c r="B92" s="806"/>
      <c r="C92" s="806"/>
      <c r="D92" s="806"/>
      <c r="E92" s="806"/>
      <c r="F92" s="806"/>
      <c r="G92" s="806"/>
      <c r="H92" s="806"/>
      <c r="I92" s="806"/>
      <c r="J92" s="806"/>
      <c r="K92" s="806"/>
      <c r="L92" s="806"/>
      <c r="M92" s="806"/>
      <c r="N92" s="806"/>
      <c r="O92" s="806"/>
      <c r="P92" s="806"/>
      <c r="Q92" s="806"/>
      <c r="R92" s="806"/>
      <c r="S92" s="806"/>
      <c r="T92" s="806"/>
      <c r="U92" s="806"/>
      <c r="V92" s="806"/>
      <c r="W92" s="806"/>
      <c r="X92" s="806"/>
      <c r="Y92" s="806"/>
      <c r="Z92" s="806"/>
      <c r="AA92" s="806"/>
      <c r="AB92" s="806"/>
      <c r="AC92" s="806"/>
      <c r="AD92" s="806"/>
      <c r="AE92" s="806"/>
      <c r="AF92" s="806"/>
      <c r="AG92" s="806"/>
      <c r="AH92" s="806"/>
      <c r="AI92" s="806"/>
      <c r="AJ92" s="806"/>
      <c r="AK92" s="806"/>
      <c r="AL92" s="806"/>
      <c r="AM92" s="806"/>
      <c r="AN92" s="806"/>
      <c r="AO92" s="806"/>
      <c r="AP92" s="806"/>
      <c r="AQ92" s="806"/>
      <c r="AR92" s="806"/>
      <c r="AS92" s="806"/>
      <c r="AT92" s="806"/>
      <c r="AU92" s="806"/>
      <c r="AV92" s="806"/>
      <c r="AW92" s="806"/>
      <c r="AX92" s="806"/>
      <c r="AY92" s="806"/>
      <c r="AZ92" s="806"/>
      <c r="BA92" s="806"/>
      <c r="BB92" s="806"/>
      <c r="BC92" s="806"/>
      <c r="BD92" s="806"/>
      <c r="BE92" s="806"/>
      <c r="BF92" s="806"/>
      <c r="BG92" s="806"/>
      <c r="BH92" s="806"/>
      <c r="BI92" s="806"/>
      <c r="BJ92" s="806"/>
      <c r="BK92" s="806"/>
      <c r="BL92" s="806"/>
      <c r="BM92" s="806"/>
      <c r="BN92" s="806"/>
      <c r="BO92" s="806"/>
      <c r="BP92" s="806"/>
      <c r="BQ92" s="806"/>
      <c r="BR92" s="806"/>
      <c r="BS92" s="806"/>
      <c r="BT92" s="806"/>
      <c r="BU92" s="806"/>
      <c r="BV92" s="806"/>
      <c r="BW92" s="806"/>
      <c r="BX92" s="782" t="s">
        <v>597</v>
      </c>
      <c r="BY92" s="783"/>
      <c r="BZ92" s="783"/>
      <c r="CA92" s="783"/>
      <c r="CB92" s="783"/>
      <c r="CC92" s="783"/>
      <c r="CD92" s="783"/>
      <c r="CE92" s="784"/>
      <c r="CF92" s="785" t="s">
        <v>932</v>
      </c>
      <c r="CG92" s="783"/>
      <c r="CH92" s="783"/>
      <c r="CI92" s="783"/>
      <c r="CJ92" s="783"/>
      <c r="CK92" s="783"/>
      <c r="CL92" s="783"/>
      <c r="CM92" s="783"/>
      <c r="CN92" s="783"/>
      <c r="CO92" s="783"/>
      <c r="CP92" s="783"/>
      <c r="CQ92" s="783"/>
      <c r="CR92" s="784"/>
      <c r="CS92" s="785"/>
      <c r="CT92" s="783"/>
      <c r="CU92" s="783"/>
      <c r="CV92" s="783"/>
      <c r="CW92" s="783"/>
      <c r="CX92" s="783"/>
      <c r="CY92" s="783"/>
      <c r="CZ92" s="783"/>
      <c r="DA92" s="783"/>
      <c r="DB92" s="783"/>
      <c r="DC92" s="783"/>
      <c r="DD92" s="783"/>
      <c r="DE92" s="784"/>
      <c r="DF92" s="776"/>
      <c r="DG92" s="777"/>
      <c r="DH92" s="777"/>
      <c r="DI92" s="777"/>
      <c r="DJ92" s="777"/>
      <c r="DK92" s="777"/>
      <c r="DL92" s="777"/>
      <c r="DM92" s="777"/>
      <c r="DN92" s="777"/>
      <c r="DO92" s="777"/>
      <c r="DP92" s="777"/>
      <c r="DQ92" s="777"/>
      <c r="DR92" s="778"/>
      <c r="DS92" s="776"/>
      <c r="DT92" s="777"/>
      <c r="DU92" s="777"/>
      <c r="DV92" s="777"/>
      <c r="DW92" s="777"/>
      <c r="DX92" s="777"/>
      <c r="DY92" s="777"/>
      <c r="DZ92" s="777"/>
      <c r="EA92" s="777"/>
      <c r="EB92" s="777"/>
      <c r="EC92" s="777"/>
      <c r="ED92" s="777"/>
      <c r="EE92" s="778"/>
      <c r="EF92" s="776"/>
      <c r="EG92" s="777"/>
      <c r="EH92" s="777"/>
      <c r="EI92" s="777"/>
      <c r="EJ92" s="777"/>
      <c r="EK92" s="777"/>
      <c r="EL92" s="777"/>
      <c r="EM92" s="777"/>
      <c r="EN92" s="777"/>
      <c r="EO92" s="777"/>
      <c r="EP92" s="777"/>
      <c r="EQ92" s="777"/>
      <c r="ER92" s="778"/>
      <c r="ES92" s="779"/>
      <c r="ET92" s="780"/>
      <c r="EU92" s="780"/>
      <c r="EV92" s="780"/>
      <c r="EW92" s="780"/>
      <c r="EX92" s="780"/>
      <c r="EY92" s="780"/>
      <c r="EZ92" s="780"/>
      <c r="FA92" s="780"/>
      <c r="FB92" s="780"/>
      <c r="FC92" s="780"/>
      <c r="FD92" s="780"/>
      <c r="FE92" s="781"/>
    </row>
    <row r="93" spans="1:163" x14ac:dyDescent="0.2">
      <c r="A93" s="805"/>
      <c r="B93" s="806"/>
      <c r="C93" s="806"/>
      <c r="D93" s="806"/>
      <c r="E93" s="806"/>
      <c r="F93" s="806"/>
      <c r="G93" s="806"/>
      <c r="H93" s="806"/>
      <c r="I93" s="806"/>
      <c r="J93" s="806"/>
      <c r="K93" s="806"/>
      <c r="L93" s="806"/>
      <c r="M93" s="806"/>
      <c r="N93" s="806"/>
      <c r="O93" s="806"/>
      <c r="P93" s="806"/>
      <c r="Q93" s="806"/>
      <c r="R93" s="806"/>
      <c r="S93" s="806"/>
      <c r="T93" s="806"/>
      <c r="U93" s="806"/>
      <c r="V93" s="806"/>
      <c r="W93" s="806"/>
      <c r="X93" s="806"/>
      <c r="Y93" s="806"/>
      <c r="Z93" s="806"/>
      <c r="AA93" s="806"/>
      <c r="AB93" s="806"/>
      <c r="AC93" s="806"/>
      <c r="AD93" s="806"/>
      <c r="AE93" s="806"/>
      <c r="AF93" s="806"/>
      <c r="AG93" s="806"/>
      <c r="AH93" s="806"/>
      <c r="AI93" s="806"/>
      <c r="AJ93" s="806"/>
      <c r="AK93" s="806"/>
      <c r="AL93" s="806"/>
      <c r="AM93" s="806"/>
      <c r="AN93" s="806"/>
      <c r="AO93" s="806"/>
      <c r="AP93" s="806"/>
      <c r="AQ93" s="806"/>
      <c r="AR93" s="806"/>
      <c r="AS93" s="806"/>
      <c r="AT93" s="806"/>
      <c r="AU93" s="806"/>
      <c r="AV93" s="806"/>
      <c r="AW93" s="806"/>
      <c r="AX93" s="806"/>
      <c r="AY93" s="806"/>
      <c r="AZ93" s="806"/>
      <c r="BA93" s="806"/>
      <c r="BB93" s="806"/>
      <c r="BC93" s="806"/>
      <c r="BD93" s="806"/>
      <c r="BE93" s="806"/>
      <c r="BF93" s="806"/>
      <c r="BG93" s="806"/>
      <c r="BH93" s="806"/>
      <c r="BI93" s="806"/>
      <c r="BJ93" s="806"/>
      <c r="BK93" s="806"/>
      <c r="BL93" s="806"/>
      <c r="BM93" s="806"/>
      <c r="BN93" s="806"/>
      <c r="BO93" s="806"/>
      <c r="BP93" s="806"/>
      <c r="BQ93" s="806"/>
      <c r="BR93" s="806"/>
      <c r="BS93" s="806"/>
      <c r="BT93" s="806"/>
      <c r="BU93" s="806"/>
      <c r="BV93" s="806"/>
      <c r="BW93" s="806"/>
      <c r="BX93" s="782"/>
      <c r="BY93" s="783"/>
      <c r="BZ93" s="783"/>
      <c r="CA93" s="783"/>
      <c r="CB93" s="783"/>
      <c r="CC93" s="783"/>
      <c r="CD93" s="783"/>
      <c r="CE93" s="784"/>
      <c r="CF93" s="785"/>
      <c r="CG93" s="783"/>
      <c r="CH93" s="783"/>
      <c r="CI93" s="783"/>
      <c r="CJ93" s="783"/>
      <c r="CK93" s="783"/>
      <c r="CL93" s="783"/>
      <c r="CM93" s="783"/>
      <c r="CN93" s="783"/>
      <c r="CO93" s="783"/>
      <c r="CP93" s="783"/>
      <c r="CQ93" s="783"/>
      <c r="CR93" s="784"/>
      <c r="CS93" s="785"/>
      <c r="CT93" s="783"/>
      <c r="CU93" s="783"/>
      <c r="CV93" s="783"/>
      <c r="CW93" s="783"/>
      <c r="CX93" s="783"/>
      <c r="CY93" s="783"/>
      <c r="CZ93" s="783"/>
      <c r="DA93" s="783"/>
      <c r="DB93" s="783"/>
      <c r="DC93" s="783"/>
      <c r="DD93" s="783"/>
      <c r="DE93" s="784"/>
      <c r="DF93" s="776"/>
      <c r="DG93" s="777"/>
      <c r="DH93" s="777"/>
      <c r="DI93" s="777"/>
      <c r="DJ93" s="777"/>
      <c r="DK93" s="777"/>
      <c r="DL93" s="777"/>
      <c r="DM93" s="777"/>
      <c r="DN93" s="777"/>
      <c r="DO93" s="777"/>
      <c r="DP93" s="777"/>
      <c r="DQ93" s="777"/>
      <c r="DR93" s="778"/>
      <c r="DS93" s="776"/>
      <c r="DT93" s="777"/>
      <c r="DU93" s="777"/>
      <c r="DV93" s="777"/>
      <c r="DW93" s="777"/>
      <c r="DX93" s="777"/>
      <c r="DY93" s="777"/>
      <c r="DZ93" s="777"/>
      <c r="EA93" s="777"/>
      <c r="EB93" s="777"/>
      <c r="EC93" s="777"/>
      <c r="ED93" s="777"/>
      <c r="EE93" s="778"/>
      <c r="EF93" s="776"/>
      <c r="EG93" s="777"/>
      <c r="EH93" s="777"/>
      <c r="EI93" s="777"/>
      <c r="EJ93" s="777"/>
      <c r="EK93" s="777"/>
      <c r="EL93" s="777"/>
      <c r="EM93" s="777"/>
      <c r="EN93" s="777"/>
      <c r="EO93" s="777"/>
      <c r="EP93" s="777"/>
      <c r="EQ93" s="777"/>
      <c r="ER93" s="778"/>
      <c r="ES93" s="779"/>
      <c r="ET93" s="780"/>
      <c r="EU93" s="780"/>
      <c r="EV93" s="780"/>
      <c r="EW93" s="780"/>
      <c r="EX93" s="780"/>
      <c r="EY93" s="780"/>
      <c r="EZ93" s="780"/>
      <c r="FA93" s="780"/>
      <c r="FB93" s="780"/>
      <c r="FC93" s="780"/>
      <c r="FD93" s="780"/>
      <c r="FE93" s="781"/>
    </row>
    <row r="94" spans="1:163" ht="11.1" customHeight="1" x14ac:dyDescent="0.2">
      <c r="A94" s="825" t="s">
        <v>405</v>
      </c>
      <c r="B94" s="826"/>
      <c r="C94" s="826"/>
      <c r="D94" s="826"/>
      <c r="E94" s="826"/>
      <c r="F94" s="826"/>
      <c r="G94" s="826"/>
      <c r="H94" s="826"/>
      <c r="I94" s="826"/>
      <c r="J94" s="826"/>
      <c r="K94" s="826"/>
      <c r="L94" s="826"/>
      <c r="M94" s="826"/>
      <c r="N94" s="826"/>
      <c r="O94" s="826"/>
      <c r="P94" s="826"/>
      <c r="Q94" s="826"/>
      <c r="R94" s="826"/>
      <c r="S94" s="826"/>
      <c r="T94" s="826"/>
      <c r="U94" s="826"/>
      <c r="V94" s="826"/>
      <c r="W94" s="826"/>
      <c r="X94" s="826"/>
      <c r="Y94" s="826"/>
      <c r="Z94" s="826"/>
      <c r="AA94" s="826"/>
      <c r="AB94" s="826"/>
      <c r="AC94" s="826"/>
      <c r="AD94" s="826"/>
      <c r="AE94" s="826"/>
      <c r="AF94" s="826"/>
      <c r="AG94" s="826"/>
      <c r="AH94" s="826"/>
      <c r="AI94" s="826"/>
      <c r="AJ94" s="826"/>
      <c r="AK94" s="826"/>
      <c r="AL94" s="826"/>
      <c r="AM94" s="826"/>
      <c r="AN94" s="826"/>
      <c r="AO94" s="826"/>
      <c r="AP94" s="826"/>
      <c r="AQ94" s="826"/>
      <c r="AR94" s="826"/>
      <c r="AS94" s="826"/>
      <c r="AT94" s="826"/>
      <c r="AU94" s="826"/>
      <c r="AV94" s="826"/>
      <c r="AW94" s="826"/>
      <c r="AX94" s="826"/>
      <c r="AY94" s="826"/>
      <c r="AZ94" s="826"/>
      <c r="BA94" s="826"/>
      <c r="BB94" s="826"/>
      <c r="BC94" s="826"/>
      <c r="BD94" s="826"/>
      <c r="BE94" s="826"/>
      <c r="BF94" s="826"/>
      <c r="BG94" s="826"/>
      <c r="BH94" s="826"/>
      <c r="BI94" s="826"/>
      <c r="BJ94" s="826"/>
      <c r="BK94" s="826"/>
      <c r="BL94" s="826"/>
      <c r="BM94" s="826"/>
      <c r="BN94" s="826"/>
      <c r="BO94" s="826"/>
      <c r="BP94" s="826"/>
      <c r="BQ94" s="826"/>
      <c r="BR94" s="826"/>
      <c r="BS94" s="826"/>
      <c r="BT94" s="826"/>
      <c r="BU94" s="826"/>
      <c r="BV94" s="826"/>
      <c r="BW94" s="826"/>
      <c r="BX94" s="782" t="s">
        <v>933</v>
      </c>
      <c r="BY94" s="783"/>
      <c r="BZ94" s="783"/>
      <c r="CA94" s="783"/>
      <c r="CB94" s="783"/>
      <c r="CC94" s="783"/>
      <c r="CD94" s="783"/>
      <c r="CE94" s="784"/>
      <c r="CF94" s="785" t="s">
        <v>74</v>
      </c>
      <c r="CG94" s="783"/>
      <c r="CH94" s="783"/>
      <c r="CI94" s="783"/>
      <c r="CJ94" s="783"/>
      <c r="CK94" s="783"/>
      <c r="CL94" s="783"/>
      <c r="CM94" s="783"/>
      <c r="CN94" s="783"/>
      <c r="CO94" s="783"/>
      <c r="CP94" s="783"/>
      <c r="CQ94" s="783"/>
      <c r="CR94" s="784"/>
      <c r="CS94" s="785"/>
      <c r="CT94" s="783"/>
      <c r="CU94" s="783"/>
      <c r="CV94" s="783"/>
      <c r="CW94" s="783"/>
      <c r="CX94" s="783"/>
      <c r="CY94" s="783"/>
      <c r="CZ94" s="783"/>
      <c r="DA94" s="783"/>
      <c r="DB94" s="783"/>
      <c r="DC94" s="783"/>
      <c r="DD94" s="783"/>
      <c r="DE94" s="784"/>
      <c r="DF94" s="776"/>
      <c r="DG94" s="777"/>
      <c r="DH94" s="777"/>
      <c r="DI94" s="777"/>
      <c r="DJ94" s="777"/>
      <c r="DK94" s="777"/>
      <c r="DL94" s="777"/>
      <c r="DM94" s="777"/>
      <c r="DN94" s="777"/>
      <c r="DO94" s="777"/>
      <c r="DP94" s="777"/>
      <c r="DQ94" s="777"/>
      <c r="DR94" s="778"/>
      <c r="DS94" s="776"/>
      <c r="DT94" s="777"/>
      <c r="DU94" s="777"/>
      <c r="DV94" s="777"/>
      <c r="DW94" s="777"/>
      <c r="DX94" s="777"/>
      <c r="DY94" s="777"/>
      <c r="DZ94" s="777"/>
      <c r="EA94" s="777"/>
      <c r="EB94" s="777"/>
      <c r="EC94" s="777"/>
      <c r="ED94" s="777"/>
      <c r="EE94" s="778"/>
      <c r="EF94" s="776"/>
      <c r="EG94" s="777"/>
      <c r="EH94" s="777"/>
      <c r="EI94" s="777"/>
      <c r="EJ94" s="777"/>
      <c r="EK94" s="777"/>
      <c r="EL94" s="777"/>
      <c r="EM94" s="777"/>
      <c r="EN94" s="777"/>
      <c r="EO94" s="777"/>
      <c r="EP94" s="777"/>
      <c r="EQ94" s="777"/>
      <c r="ER94" s="778"/>
      <c r="ES94" s="779" t="s">
        <v>74</v>
      </c>
      <c r="ET94" s="780"/>
      <c r="EU94" s="780"/>
      <c r="EV94" s="780"/>
      <c r="EW94" s="780"/>
      <c r="EX94" s="780"/>
      <c r="EY94" s="780"/>
      <c r="EZ94" s="780"/>
      <c r="FA94" s="780"/>
      <c r="FB94" s="780"/>
      <c r="FC94" s="780"/>
      <c r="FD94" s="780"/>
      <c r="FE94" s="781"/>
    </row>
    <row r="95" spans="1:163" ht="21.75" customHeight="1" x14ac:dyDescent="0.2">
      <c r="A95" s="805" t="s">
        <v>406</v>
      </c>
      <c r="B95" s="806"/>
      <c r="C95" s="806"/>
      <c r="D95" s="806"/>
      <c r="E95" s="806"/>
      <c r="F95" s="806"/>
      <c r="G95" s="806"/>
      <c r="H95" s="806"/>
      <c r="I95" s="806"/>
      <c r="J95" s="806"/>
      <c r="K95" s="806"/>
      <c r="L95" s="806"/>
      <c r="M95" s="806"/>
      <c r="N95" s="806"/>
      <c r="O95" s="806"/>
      <c r="P95" s="806"/>
      <c r="Q95" s="806"/>
      <c r="R95" s="806"/>
      <c r="S95" s="806"/>
      <c r="T95" s="806"/>
      <c r="U95" s="806"/>
      <c r="V95" s="806"/>
      <c r="W95" s="806"/>
      <c r="X95" s="806"/>
      <c r="Y95" s="806"/>
      <c r="Z95" s="806"/>
      <c r="AA95" s="806"/>
      <c r="AB95" s="806"/>
      <c r="AC95" s="806"/>
      <c r="AD95" s="806"/>
      <c r="AE95" s="806"/>
      <c r="AF95" s="806"/>
      <c r="AG95" s="806"/>
      <c r="AH95" s="806"/>
      <c r="AI95" s="806"/>
      <c r="AJ95" s="806"/>
      <c r="AK95" s="806"/>
      <c r="AL95" s="806"/>
      <c r="AM95" s="806"/>
      <c r="AN95" s="806"/>
      <c r="AO95" s="806"/>
      <c r="AP95" s="806"/>
      <c r="AQ95" s="806"/>
      <c r="AR95" s="806"/>
      <c r="AS95" s="806"/>
      <c r="AT95" s="806"/>
      <c r="AU95" s="806"/>
      <c r="AV95" s="806"/>
      <c r="AW95" s="806"/>
      <c r="AX95" s="806"/>
      <c r="AY95" s="806"/>
      <c r="AZ95" s="806"/>
      <c r="BA95" s="806"/>
      <c r="BB95" s="806"/>
      <c r="BC95" s="806"/>
      <c r="BD95" s="806"/>
      <c r="BE95" s="806"/>
      <c r="BF95" s="806"/>
      <c r="BG95" s="806"/>
      <c r="BH95" s="806"/>
      <c r="BI95" s="806"/>
      <c r="BJ95" s="806"/>
      <c r="BK95" s="806"/>
      <c r="BL95" s="806"/>
      <c r="BM95" s="806"/>
      <c r="BN95" s="806"/>
      <c r="BO95" s="806"/>
      <c r="BP95" s="806"/>
      <c r="BQ95" s="806"/>
      <c r="BR95" s="806"/>
      <c r="BS95" s="806"/>
      <c r="BT95" s="806"/>
      <c r="BU95" s="806"/>
      <c r="BV95" s="806"/>
      <c r="BW95" s="806"/>
      <c r="BX95" s="782" t="s">
        <v>934</v>
      </c>
      <c r="BY95" s="783"/>
      <c r="BZ95" s="783"/>
      <c r="CA95" s="783"/>
      <c r="CB95" s="783"/>
      <c r="CC95" s="783"/>
      <c r="CD95" s="783"/>
      <c r="CE95" s="784"/>
      <c r="CF95" s="785" t="s">
        <v>935</v>
      </c>
      <c r="CG95" s="783"/>
      <c r="CH95" s="783"/>
      <c r="CI95" s="783"/>
      <c r="CJ95" s="783"/>
      <c r="CK95" s="783"/>
      <c r="CL95" s="783"/>
      <c r="CM95" s="783"/>
      <c r="CN95" s="783"/>
      <c r="CO95" s="783"/>
      <c r="CP95" s="783"/>
      <c r="CQ95" s="783"/>
      <c r="CR95" s="784"/>
      <c r="CS95" s="785"/>
      <c r="CT95" s="783"/>
      <c r="CU95" s="783"/>
      <c r="CV95" s="783"/>
      <c r="CW95" s="783"/>
      <c r="CX95" s="783"/>
      <c r="CY95" s="783"/>
      <c r="CZ95" s="783"/>
      <c r="DA95" s="783"/>
      <c r="DB95" s="783"/>
      <c r="DC95" s="783"/>
      <c r="DD95" s="783"/>
      <c r="DE95" s="784"/>
      <c r="DF95" s="776"/>
      <c r="DG95" s="777"/>
      <c r="DH95" s="777"/>
      <c r="DI95" s="777"/>
      <c r="DJ95" s="777"/>
      <c r="DK95" s="777"/>
      <c r="DL95" s="777"/>
      <c r="DM95" s="777"/>
      <c r="DN95" s="777"/>
      <c r="DO95" s="777"/>
      <c r="DP95" s="777"/>
      <c r="DQ95" s="777"/>
      <c r="DR95" s="778"/>
      <c r="DS95" s="776"/>
      <c r="DT95" s="777"/>
      <c r="DU95" s="777"/>
      <c r="DV95" s="777"/>
      <c r="DW95" s="777"/>
      <c r="DX95" s="777"/>
      <c r="DY95" s="777"/>
      <c r="DZ95" s="777"/>
      <c r="EA95" s="777"/>
      <c r="EB95" s="777"/>
      <c r="EC95" s="777"/>
      <c r="ED95" s="777"/>
      <c r="EE95" s="778"/>
      <c r="EF95" s="776"/>
      <c r="EG95" s="777"/>
      <c r="EH95" s="777"/>
      <c r="EI95" s="777"/>
      <c r="EJ95" s="777"/>
      <c r="EK95" s="777"/>
      <c r="EL95" s="777"/>
      <c r="EM95" s="777"/>
      <c r="EN95" s="777"/>
      <c r="EO95" s="777"/>
      <c r="EP95" s="777"/>
      <c r="EQ95" s="777"/>
      <c r="ER95" s="778"/>
      <c r="ES95" s="779" t="s">
        <v>74</v>
      </c>
      <c r="ET95" s="780"/>
      <c r="EU95" s="780"/>
      <c r="EV95" s="780"/>
      <c r="EW95" s="780"/>
      <c r="EX95" s="780"/>
      <c r="EY95" s="780"/>
      <c r="EZ95" s="780"/>
      <c r="FA95" s="780"/>
      <c r="FB95" s="780"/>
      <c r="FC95" s="780"/>
      <c r="FD95" s="780"/>
      <c r="FE95" s="781"/>
    </row>
    <row r="96" spans="1:163" ht="12.75" customHeight="1" x14ac:dyDescent="0.2">
      <c r="A96" s="825" t="s">
        <v>936</v>
      </c>
      <c r="B96" s="826"/>
      <c r="C96" s="826"/>
      <c r="D96" s="826"/>
      <c r="E96" s="826"/>
      <c r="F96" s="826"/>
      <c r="G96" s="826"/>
      <c r="H96" s="826"/>
      <c r="I96" s="826"/>
      <c r="J96" s="826"/>
      <c r="K96" s="826"/>
      <c r="L96" s="826"/>
      <c r="M96" s="826"/>
      <c r="N96" s="826"/>
      <c r="O96" s="826"/>
      <c r="P96" s="826"/>
      <c r="Q96" s="826"/>
      <c r="R96" s="826"/>
      <c r="S96" s="826"/>
      <c r="T96" s="826"/>
      <c r="U96" s="826"/>
      <c r="V96" s="826"/>
      <c r="W96" s="826"/>
      <c r="X96" s="826"/>
      <c r="Y96" s="826"/>
      <c r="Z96" s="826"/>
      <c r="AA96" s="826"/>
      <c r="AB96" s="826"/>
      <c r="AC96" s="826"/>
      <c r="AD96" s="826"/>
      <c r="AE96" s="826"/>
      <c r="AF96" s="826"/>
      <c r="AG96" s="826"/>
      <c r="AH96" s="826"/>
      <c r="AI96" s="826"/>
      <c r="AJ96" s="826"/>
      <c r="AK96" s="826"/>
      <c r="AL96" s="826"/>
      <c r="AM96" s="826"/>
      <c r="AN96" s="826"/>
      <c r="AO96" s="826"/>
      <c r="AP96" s="826"/>
      <c r="AQ96" s="826"/>
      <c r="AR96" s="826"/>
      <c r="AS96" s="826"/>
      <c r="AT96" s="826"/>
      <c r="AU96" s="826"/>
      <c r="AV96" s="826"/>
      <c r="AW96" s="826"/>
      <c r="AX96" s="826"/>
      <c r="AY96" s="826"/>
      <c r="AZ96" s="826"/>
      <c r="BA96" s="826"/>
      <c r="BB96" s="826"/>
      <c r="BC96" s="826"/>
      <c r="BD96" s="826"/>
      <c r="BE96" s="826"/>
      <c r="BF96" s="826"/>
      <c r="BG96" s="826"/>
      <c r="BH96" s="826"/>
      <c r="BI96" s="826"/>
      <c r="BJ96" s="826"/>
      <c r="BK96" s="826"/>
      <c r="BL96" s="826"/>
      <c r="BM96" s="826"/>
      <c r="BN96" s="826"/>
      <c r="BO96" s="826"/>
      <c r="BP96" s="826"/>
      <c r="BQ96" s="826"/>
      <c r="BR96" s="826"/>
      <c r="BS96" s="826"/>
      <c r="BT96" s="826"/>
      <c r="BU96" s="826"/>
      <c r="BV96" s="826"/>
      <c r="BW96" s="826"/>
      <c r="BX96" s="782" t="s">
        <v>937</v>
      </c>
      <c r="BY96" s="783"/>
      <c r="BZ96" s="783"/>
      <c r="CA96" s="783"/>
      <c r="CB96" s="783"/>
      <c r="CC96" s="783"/>
      <c r="CD96" s="783"/>
      <c r="CE96" s="784"/>
      <c r="CF96" s="785" t="s">
        <v>74</v>
      </c>
      <c r="CG96" s="783"/>
      <c r="CH96" s="783"/>
      <c r="CI96" s="783"/>
      <c r="CJ96" s="783"/>
      <c r="CK96" s="783"/>
      <c r="CL96" s="783"/>
      <c r="CM96" s="783"/>
      <c r="CN96" s="783"/>
      <c r="CO96" s="783"/>
      <c r="CP96" s="783"/>
      <c r="CQ96" s="783"/>
      <c r="CR96" s="784"/>
      <c r="CS96" s="785"/>
      <c r="CT96" s="783"/>
      <c r="CU96" s="783"/>
      <c r="CV96" s="783"/>
      <c r="CW96" s="783"/>
      <c r="CX96" s="783"/>
      <c r="CY96" s="783"/>
      <c r="CZ96" s="783"/>
      <c r="DA96" s="783"/>
      <c r="DB96" s="783"/>
      <c r="DC96" s="783"/>
      <c r="DD96" s="783"/>
      <c r="DE96" s="784"/>
      <c r="DF96" s="776">
        <f>DF97+DF98+DF99+DF100+DF101</f>
        <v>40583900</v>
      </c>
      <c r="DG96" s="777"/>
      <c r="DH96" s="777"/>
      <c r="DI96" s="777"/>
      <c r="DJ96" s="777"/>
      <c r="DK96" s="777"/>
      <c r="DL96" s="777"/>
      <c r="DM96" s="777"/>
      <c r="DN96" s="777"/>
      <c r="DO96" s="777"/>
      <c r="DP96" s="777"/>
      <c r="DQ96" s="777"/>
      <c r="DR96" s="778"/>
      <c r="DS96" s="776">
        <f t="shared" ref="DS96" si="8">DS97+DS98+DS99+DS100+DS101</f>
        <v>41048460</v>
      </c>
      <c r="DT96" s="777"/>
      <c r="DU96" s="777"/>
      <c r="DV96" s="777"/>
      <c r="DW96" s="777"/>
      <c r="DX96" s="777"/>
      <c r="DY96" s="777"/>
      <c r="DZ96" s="777"/>
      <c r="EA96" s="777"/>
      <c r="EB96" s="777"/>
      <c r="EC96" s="777"/>
      <c r="ED96" s="777"/>
      <c r="EE96" s="778"/>
      <c r="EF96" s="776">
        <f t="shared" ref="EF96" si="9">EF97+EF98+EF99+EF100+EF101</f>
        <v>41234560</v>
      </c>
      <c r="EG96" s="777"/>
      <c r="EH96" s="777"/>
      <c r="EI96" s="777"/>
      <c r="EJ96" s="777"/>
      <c r="EK96" s="777"/>
      <c r="EL96" s="777"/>
      <c r="EM96" s="777"/>
      <c r="EN96" s="777"/>
      <c r="EO96" s="777"/>
      <c r="EP96" s="777"/>
      <c r="EQ96" s="777"/>
      <c r="ER96" s="778"/>
      <c r="ES96" s="779"/>
      <c r="ET96" s="780"/>
      <c r="EU96" s="780"/>
      <c r="EV96" s="780"/>
      <c r="EW96" s="780"/>
      <c r="EX96" s="780"/>
      <c r="EY96" s="780"/>
      <c r="EZ96" s="780"/>
      <c r="FA96" s="780"/>
      <c r="FB96" s="780"/>
      <c r="FC96" s="780"/>
      <c r="FD96" s="780"/>
      <c r="FE96" s="781"/>
    </row>
    <row r="97" spans="1:163" ht="21.75" customHeight="1" x14ac:dyDescent="0.2">
      <c r="A97" s="805" t="s">
        <v>938</v>
      </c>
      <c r="B97" s="806"/>
      <c r="C97" s="806"/>
      <c r="D97" s="806"/>
      <c r="E97" s="806"/>
      <c r="F97" s="806"/>
      <c r="G97" s="806"/>
      <c r="H97" s="806"/>
      <c r="I97" s="806"/>
      <c r="J97" s="806"/>
      <c r="K97" s="806"/>
      <c r="L97" s="806"/>
      <c r="M97" s="806"/>
      <c r="N97" s="806"/>
      <c r="O97" s="806"/>
      <c r="P97" s="806"/>
      <c r="Q97" s="806"/>
      <c r="R97" s="806"/>
      <c r="S97" s="806"/>
      <c r="T97" s="806"/>
      <c r="U97" s="806"/>
      <c r="V97" s="806"/>
      <c r="W97" s="806"/>
      <c r="X97" s="806"/>
      <c r="Y97" s="806"/>
      <c r="Z97" s="806"/>
      <c r="AA97" s="806"/>
      <c r="AB97" s="806"/>
      <c r="AC97" s="806"/>
      <c r="AD97" s="806"/>
      <c r="AE97" s="806"/>
      <c r="AF97" s="806"/>
      <c r="AG97" s="806"/>
      <c r="AH97" s="806"/>
      <c r="AI97" s="806"/>
      <c r="AJ97" s="806"/>
      <c r="AK97" s="806"/>
      <c r="AL97" s="806"/>
      <c r="AM97" s="806"/>
      <c r="AN97" s="806"/>
      <c r="AO97" s="806"/>
      <c r="AP97" s="806"/>
      <c r="AQ97" s="806"/>
      <c r="AR97" s="806"/>
      <c r="AS97" s="806"/>
      <c r="AT97" s="806"/>
      <c r="AU97" s="806"/>
      <c r="AV97" s="806"/>
      <c r="AW97" s="806"/>
      <c r="AX97" s="806"/>
      <c r="AY97" s="806"/>
      <c r="AZ97" s="806"/>
      <c r="BA97" s="806"/>
      <c r="BB97" s="806"/>
      <c r="BC97" s="806"/>
      <c r="BD97" s="806"/>
      <c r="BE97" s="806"/>
      <c r="BF97" s="806"/>
      <c r="BG97" s="806"/>
      <c r="BH97" s="806"/>
      <c r="BI97" s="806"/>
      <c r="BJ97" s="806"/>
      <c r="BK97" s="806"/>
      <c r="BL97" s="806"/>
      <c r="BM97" s="806"/>
      <c r="BN97" s="806"/>
      <c r="BO97" s="806"/>
      <c r="BP97" s="806"/>
      <c r="BQ97" s="806"/>
      <c r="BR97" s="806"/>
      <c r="BS97" s="806"/>
      <c r="BT97" s="806"/>
      <c r="BU97" s="806"/>
      <c r="BV97" s="806"/>
      <c r="BW97" s="806"/>
      <c r="BX97" s="782" t="s">
        <v>939</v>
      </c>
      <c r="BY97" s="783"/>
      <c r="BZ97" s="783"/>
      <c r="CA97" s="783"/>
      <c r="CB97" s="783"/>
      <c r="CC97" s="783"/>
      <c r="CD97" s="783"/>
      <c r="CE97" s="784"/>
      <c r="CF97" s="785" t="s">
        <v>940</v>
      </c>
      <c r="CG97" s="783"/>
      <c r="CH97" s="783"/>
      <c r="CI97" s="783"/>
      <c r="CJ97" s="783"/>
      <c r="CK97" s="783"/>
      <c r="CL97" s="783"/>
      <c r="CM97" s="783"/>
      <c r="CN97" s="783"/>
      <c r="CO97" s="783"/>
      <c r="CP97" s="783"/>
      <c r="CQ97" s="783"/>
      <c r="CR97" s="784"/>
      <c r="CS97" s="785"/>
      <c r="CT97" s="783"/>
      <c r="CU97" s="783"/>
      <c r="CV97" s="783"/>
      <c r="CW97" s="783"/>
      <c r="CX97" s="783"/>
      <c r="CY97" s="783"/>
      <c r="CZ97" s="783"/>
      <c r="DA97" s="783"/>
      <c r="DB97" s="783"/>
      <c r="DC97" s="783"/>
      <c r="DD97" s="783"/>
      <c r="DE97" s="784"/>
      <c r="DF97" s="776"/>
      <c r="DG97" s="777"/>
      <c r="DH97" s="777"/>
      <c r="DI97" s="777"/>
      <c r="DJ97" s="777"/>
      <c r="DK97" s="777"/>
      <c r="DL97" s="777"/>
      <c r="DM97" s="777"/>
      <c r="DN97" s="777"/>
      <c r="DO97" s="777"/>
      <c r="DP97" s="777"/>
      <c r="DQ97" s="777"/>
      <c r="DR97" s="778"/>
      <c r="DS97" s="776"/>
      <c r="DT97" s="777"/>
      <c r="DU97" s="777"/>
      <c r="DV97" s="777"/>
      <c r="DW97" s="777"/>
      <c r="DX97" s="777"/>
      <c r="DY97" s="777"/>
      <c r="DZ97" s="777"/>
      <c r="EA97" s="777"/>
      <c r="EB97" s="777"/>
      <c r="EC97" s="777"/>
      <c r="ED97" s="777"/>
      <c r="EE97" s="778"/>
      <c r="EF97" s="776"/>
      <c r="EG97" s="777"/>
      <c r="EH97" s="777"/>
      <c r="EI97" s="777"/>
      <c r="EJ97" s="777"/>
      <c r="EK97" s="777"/>
      <c r="EL97" s="777"/>
      <c r="EM97" s="777"/>
      <c r="EN97" s="777"/>
      <c r="EO97" s="777"/>
      <c r="EP97" s="777"/>
      <c r="EQ97" s="777"/>
      <c r="ER97" s="778"/>
      <c r="ES97" s="779"/>
      <c r="ET97" s="780"/>
      <c r="EU97" s="780"/>
      <c r="EV97" s="780"/>
      <c r="EW97" s="780"/>
      <c r="EX97" s="780"/>
      <c r="EY97" s="780"/>
      <c r="EZ97" s="780"/>
      <c r="FA97" s="780"/>
      <c r="FB97" s="780"/>
      <c r="FC97" s="780"/>
      <c r="FD97" s="780"/>
      <c r="FE97" s="781"/>
    </row>
    <row r="98" spans="1:163" ht="23.25" customHeight="1" thickBot="1" x14ac:dyDescent="0.25">
      <c r="A98" s="805" t="s">
        <v>941</v>
      </c>
      <c r="B98" s="806"/>
      <c r="C98" s="806"/>
      <c r="D98" s="806"/>
      <c r="E98" s="806"/>
      <c r="F98" s="806"/>
      <c r="G98" s="806"/>
      <c r="H98" s="806"/>
      <c r="I98" s="806"/>
      <c r="J98" s="806"/>
      <c r="K98" s="806"/>
      <c r="L98" s="806"/>
      <c r="M98" s="806"/>
      <c r="N98" s="806"/>
      <c r="O98" s="806"/>
      <c r="P98" s="806"/>
      <c r="Q98" s="806"/>
      <c r="R98" s="806"/>
      <c r="S98" s="806"/>
      <c r="T98" s="806"/>
      <c r="U98" s="806"/>
      <c r="V98" s="806"/>
      <c r="W98" s="806"/>
      <c r="X98" s="806"/>
      <c r="Y98" s="806"/>
      <c r="Z98" s="806"/>
      <c r="AA98" s="806"/>
      <c r="AB98" s="806"/>
      <c r="AC98" s="806"/>
      <c r="AD98" s="806"/>
      <c r="AE98" s="806"/>
      <c r="AF98" s="806"/>
      <c r="AG98" s="806"/>
      <c r="AH98" s="806"/>
      <c r="AI98" s="806"/>
      <c r="AJ98" s="806"/>
      <c r="AK98" s="806"/>
      <c r="AL98" s="806"/>
      <c r="AM98" s="806"/>
      <c r="AN98" s="806"/>
      <c r="AO98" s="806"/>
      <c r="AP98" s="806"/>
      <c r="AQ98" s="806"/>
      <c r="AR98" s="806"/>
      <c r="AS98" s="806"/>
      <c r="AT98" s="806"/>
      <c r="AU98" s="806"/>
      <c r="AV98" s="806"/>
      <c r="AW98" s="806"/>
      <c r="AX98" s="806"/>
      <c r="AY98" s="806"/>
      <c r="AZ98" s="806"/>
      <c r="BA98" s="806"/>
      <c r="BB98" s="806"/>
      <c r="BC98" s="806"/>
      <c r="BD98" s="806"/>
      <c r="BE98" s="806"/>
      <c r="BF98" s="806"/>
      <c r="BG98" s="806"/>
      <c r="BH98" s="806"/>
      <c r="BI98" s="806"/>
      <c r="BJ98" s="806"/>
      <c r="BK98" s="806"/>
      <c r="BL98" s="806"/>
      <c r="BM98" s="806"/>
      <c r="BN98" s="806"/>
      <c r="BO98" s="806"/>
      <c r="BP98" s="806"/>
      <c r="BQ98" s="806"/>
      <c r="BR98" s="806"/>
      <c r="BS98" s="806"/>
      <c r="BT98" s="806"/>
      <c r="BU98" s="806"/>
      <c r="BV98" s="806"/>
      <c r="BW98" s="824"/>
      <c r="BX98" s="772" t="s">
        <v>942</v>
      </c>
      <c r="BY98" s="773"/>
      <c r="BZ98" s="773"/>
      <c r="CA98" s="773"/>
      <c r="CB98" s="773"/>
      <c r="CC98" s="773"/>
      <c r="CD98" s="773"/>
      <c r="CE98" s="774"/>
      <c r="CF98" s="775" t="s">
        <v>943</v>
      </c>
      <c r="CG98" s="773"/>
      <c r="CH98" s="773"/>
      <c r="CI98" s="773"/>
      <c r="CJ98" s="773"/>
      <c r="CK98" s="773"/>
      <c r="CL98" s="773"/>
      <c r="CM98" s="773"/>
      <c r="CN98" s="773"/>
      <c r="CO98" s="773"/>
      <c r="CP98" s="773"/>
      <c r="CQ98" s="773"/>
      <c r="CR98" s="774"/>
      <c r="CS98" s="775"/>
      <c r="CT98" s="773"/>
      <c r="CU98" s="773"/>
      <c r="CV98" s="773"/>
      <c r="CW98" s="773"/>
      <c r="CX98" s="773"/>
      <c r="CY98" s="773"/>
      <c r="CZ98" s="773"/>
      <c r="DA98" s="773"/>
      <c r="DB98" s="773"/>
      <c r="DC98" s="773"/>
      <c r="DD98" s="773"/>
      <c r="DE98" s="774"/>
      <c r="DF98" s="764"/>
      <c r="DG98" s="765"/>
      <c r="DH98" s="765"/>
      <c r="DI98" s="765"/>
      <c r="DJ98" s="765"/>
      <c r="DK98" s="765"/>
      <c r="DL98" s="765"/>
      <c r="DM98" s="765"/>
      <c r="DN98" s="765"/>
      <c r="DO98" s="765"/>
      <c r="DP98" s="765"/>
      <c r="DQ98" s="765"/>
      <c r="DR98" s="766"/>
      <c r="DS98" s="764"/>
      <c r="DT98" s="765"/>
      <c r="DU98" s="765"/>
      <c r="DV98" s="765"/>
      <c r="DW98" s="765"/>
      <c r="DX98" s="765"/>
      <c r="DY98" s="765"/>
      <c r="DZ98" s="765"/>
      <c r="EA98" s="765"/>
      <c r="EB98" s="765"/>
      <c r="EC98" s="765"/>
      <c r="ED98" s="765"/>
      <c r="EE98" s="766"/>
      <c r="EF98" s="764"/>
      <c r="EG98" s="765"/>
      <c r="EH98" s="765"/>
      <c r="EI98" s="765"/>
      <c r="EJ98" s="765"/>
      <c r="EK98" s="765"/>
      <c r="EL98" s="765"/>
      <c r="EM98" s="765"/>
      <c r="EN98" s="765"/>
      <c r="EO98" s="765"/>
      <c r="EP98" s="765"/>
      <c r="EQ98" s="765"/>
      <c r="ER98" s="766"/>
      <c r="ES98" s="767"/>
      <c r="ET98" s="768"/>
      <c r="EU98" s="768"/>
      <c r="EV98" s="768"/>
      <c r="EW98" s="768"/>
      <c r="EX98" s="768"/>
      <c r="EY98" s="768"/>
      <c r="EZ98" s="768"/>
      <c r="FA98" s="768"/>
      <c r="FB98" s="768"/>
      <c r="FC98" s="768"/>
      <c r="FD98" s="768"/>
      <c r="FE98" s="769"/>
    </row>
    <row r="99" spans="1:163" ht="70.5" customHeight="1" x14ac:dyDescent="0.2">
      <c r="A99" s="813" t="s">
        <v>679</v>
      </c>
      <c r="B99" s="814"/>
      <c r="C99" s="814"/>
      <c r="D99" s="814"/>
      <c r="E99" s="814"/>
      <c r="F99" s="814"/>
      <c r="G99" s="814"/>
      <c r="H99" s="814"/>
      <c r="I99" s="814"/>
      <c r="J99" s="814"/>
      <c r="K99" s="814"/>
      <c r="L99" s="814"/>
      <c r="M99" s="814"/>
      <c r="N99" s="814"/>
      <c r="O99" s="814"/>
      <c r="P99" s="814"/>
      <c r="Q99" s="814"/>
      <c r="R99" s="814"/>
      <c r="S99" s="814"/>
      <c r="T99" s="814"/>
      <c r="U99" s="814"/>
      <c r="V99" s="814"/>
      <c r="W99" s="814"/>
      <c r="X99" s="814"/>
      <c r="Y99" s="814"/>
      <c r="Z99" s="814"/>
      <c r="AA99" s="814"/>
      <c r="AB99" s="814"/>
      <c r="AC99" s="814"/>
      <c r="AD99" s="814"/>
      <c r="AE99" s="814"/>
      <c r="AF99" s="814"/>
      <c r="AG99" s="814"/>
      <c r="AH99" s="814"/>
      <c r="AI99" s="814"/>
      <c r="AJ99" s="814"/>
      <c r="AK99" s="814"/>
      <c r="AL99" s="814"/>
      <c r="AM99" s="814"/>
      <c r="AN99" s="814"/>
      <c r="AO99" s="814"/>
      <c r="AP99" s="814"/>
      <c r="AQ99" s="814"/>
      <c r="AR99" s="814"/>
      <c r="AS99" s="814"/>
      <c r="AT99" s="814"/>
      <c r="AU99" s="814"/>
      <c r="AV99" s="814"/>
      <c r="AW99" s="814"/>
      <c r="AX99" s="814"/>
      <c r="AY99" s="814"/>
      <c r="AZ99" s="814"/>
      <c r="BA99" s="814"/>
      <c r="BB99" s="814"/>
      <c r="BC99" s="814"/>
      <c r="BD99" s="814"/>
      <c r="BE99" s="814"/>
      <c r="BF99" s="814"/>
      <c r="BG99" s="814"/>
      <c r="BH99" s="814"/>
      <c r="BI99" s="814"/>
      <c r="BJ99" s="814"/>
      <c r="BK99" s="814"/>
      <c r="BL99" s="814"/>
      <c r="BM99" s="814"/>
      <c r="BN99" s="814"/>
      <c r="BO99" s="814"/>
      <c r="BP99" s="814"/>
      <c r="BQ99" s="814"/>
      <c r="BR99" s="814"/>
      <c r="BS99" s="814"/>
      <c r="BT99" s="814"/>
      <c r="BU99" s="814"/>
      <c r="BV99" s="814"/>
      <c r="BW99" s="815"/>
      <c r="BX99" s="816" t="s">
        <v>944</v>
      </c>
      <c r="BY99" s="817"/>
      <c r="BZ99" s="817"/>
      <c r="CA99" s="817"/>
      <c r="CB99" s="817"/>
      <c r="CC99" s="817"/>
      <c r="CD99" s="817"/>
      <c r="CE99" s="818"/>
      <c r="CF99" s="819" t="s">
        <v>945</v>
      </c>
      <c r="CG99" s="817"/>
      <c r="CH99" s="817"/>
      <c r="CI99" s="817"/>
      <c r="CJ99" s="817"/>
      <c r="CK99" s="817"/>
      <c r="CL99" s="817"/>
      <c r="CM99" s="817"/>
      <c r="CN99" s="817"/>
      <c r="CO99" s="817"/>
      <c r="CP99" s="817"/>
      <c r="CQ99" s="817"/>
      <c r="CR99" s="818"/>
      <c r="CS99" s="821" t="s">
        <v>1062</v>
      </c>
      <c r="CT99" s="822"/>
      <c r="CU99" s="822"/>
      <c r="CV99" s="822"/>
      <c r="CW99" s="822"/>
      <c r="CX99" s="822"/>
      <c r="CY99" s="822"/>
      <c r="CZ99" s="822"/>
      <c r="DA99" s="822"/>
      <c r="DB99" s="822"/>
      <c r="DC99" s="822"/>
      <c r="DD99" s="822"/>
      <c r="DE99" s="823"/>
      <c r="DF99" s="807">
        <f>9989100+26231960+451840+113000</f>
        <v>36785900</v>
      </c>
      <c r="DG99" s="808"/>
      <c r="DH99" s="808"/>
      <c r="DI99" s="808"/>
      <c r="DJ99" s="808"/>
      <c r="DK99" s="808"/>
      <c r="DL99" s="808"/>
      <c r="DM99" s="808"/>
      <c r="DN99" s="808"/>
      <c r="DO99" s="808"/>
      <c r="DP99" s="808"/>
      <c r="DQ99" s="808"/>
      <c r="DR99" s="809"/>
      <c r="DS99" s="807">
        <f>37005460-13000</f>
        <v>36992460</v>
      </c>
      <c r="DT99" s="808"/>
      <c r="DU99" s="808"/>
      <c r="DV99" s="808"/>
      <c r="DW99" s="808"/>
      <c r="DX99" s="808"/>
      <c r="DY99" s="808"/>
      <c r="DZ99" s="808"/>
      <c r="EA99" s="808"/>
      <c r="EB99" s="808"/>
      <c r="EC99" s="808"/>
      <c r="ED99" s="808"/>
      <c r="EE99" s="809"/>
      <c r="EF99" s="807">
        <v>37015560</v>
      </c>
      <c r="EG99" s="808"/>
      <c r="EH99" s="808"/>
      <c r="EI99" s="808"/>
      <c r="EJ99" s="808"/>
      <c r="EK99" s="808"/>
      <c r="EL99" s="808"/>
      <c r="EM99" s="808"/>
      <c r="EN99" s="808"/>
      <c r="EO99" s="808"/>
      <c r="EP99" s="808"/>
      <c r="EQ99" s="808"/>
      <c r="ER99" s="809"/>
      <c r="ES99" s="810"/>
      <c r="ET99" s="811"/>
      <c r="EU99" s="811"/>
      <c r="EV99" s="811"/>
      <c r="EW99" s="811"/>
      <c r="EX99" s="811"/>
      <c r="EY99" s="811"/>
      <c r="EZ99" s="811"/>
      <c r="FA99" s="811"/>
      <c r="FB99" s="811"/>
      <c r="FC99" s="811"/>
      <c r="FD99" s="811"/>
      <c r="FE99" s="812"/>
    </row>
    <row r="100" spans="1:163" ht="22.5" customHeight="1" x14ac:dyDescent="0.2">
      <c r="A100" s="805" t="s">
        <v>946</v>
      </c>
      <c r="B100" s="805"/>
      <c r="C100" s="805"/>
      <c r="D100" s="805"/>
      <c r="E100" s="805"/>
      <c r="F100" s="805"/>
      <c r="G100" s="805"/>
      <c r="H100" s="805"/>
      <c r="I100" s="805"/>
      <c r="J100" s="805"/>
      <c r="K100" s="805"/>
      <c r="L100" s="805"/>
      <c r="M100" s="805"/>
      <c r="N100" s="805"/>
      <c r="O100" s="805"/>
      <c r="P100" s="805"/>
      <c r="Q100" s="805"/>
      <c r="R100" s="805"/>
      <c r="S100" s="805"/>
      <c r="T100" s="805"/>
      <c r="U100" s="805"/>
      <c r="V100" s="805"/>
      <c r="W100" s="805"/>
      <c r="X100" s="805"/>
      <c r="Y100" s="805"/>
      <c r="Z100" s="805"/>
      <c r="AA100" s="805"/>
      <c r="AB100" s="805"/>
      <c r="AC100" s="805"/>
      <c r="AD100" s="805"/>
      <c r="AE100" s="805"/>
      <c r="AF100" s="805"/>
      <c r="AG100" s="805"/>
      <c r="AH100" s="805"/>
      <c r="AI100" s="805"/>
      <c r="AJ100" s="805"/>
      <c r="AK100" s="805"/>
      <c r="AL100" s="805"/>
      <c r="AM100" s="805"/>
      <c r="AN100" s="805"/>
      <c r="AO100" s="805"/>
      <c r="AP100" s="805"/>
      <c r="AQ100" s="805"/>
      <c r="AR100" s="805"/>
      <c r="AS100" s="805"/>
      <c r="AT100" s="805"/>
      <c r="AU100" s="805"/>
      <c r="AV100" s="805"/>
      <c r="AW100" s="805"/>
      <c r="AX100" s="805"/>
      <c r="AY100" s="805"/>
      <c r="AZ100" s="805"/>
      <c r="BA100" s="805"/>
      <c r="BB100" s="805"/>
      <c r="BC100" s="805"/>
      <c r="BD100" s="805"/>
      <c r="BE100" s="805"/>
      <c r="BF100" s="805"/>
      <c r="BG100" s="805"/>
      <c r="BH100" s="805"/>
      <c r="BI100" s="805"/>
      <c r="BJ100" s="805"/>
      <c r="BK100" s="805"/>
      <c r="BL100" s="805"/>
      <c r="BM100" s="805"/>
      <c r="BN100" s="805"/>
      <c r="BO100" s="805"/>
      <c r="BP100" s="805"/>
      <c r="BQ100" s="805"/>
      <c r="BR100" s="805"/>
      <c r="BS100" s="805"/>
      <c r="BT100" s="805"/>
      <c r="BU100" s="805"/>
      <c r="BV100" s="805"/>
      <c r="BW100" s="820"/>
      <c r="BX100" s="816" t="s">
        <v>947</v>
      </c>
      <c r="BY100" s="817"/>
      <c r="BZ100" s="817"/>
      <c r="CA100" s="817"/>
      <c r="CB100" s="817"/>
      <c r="CC100" s="817"/>
      <c r="CD100" s="817"/>
      <c r="CE100" s="818"/>
      <c r="CF100" s="819" t="s">
        <v>948</v>
      </c>
      <c r="CG100" s="817"/>
      <c r="CH100" s="817"/>
      <c r="CI100" s="817"/>
      <c r="CJ100" s="817"/>
      <c r="CK100" s="817"/>
      <c r="CL100" s="817"/>
      <c r="CM100" s="817"/>
      <c r="CN100" s="817"/>
      <c r="CO100" s="817"/>
      <c r="CP100" s="817"/>
      <c r="CQ100" s="817"/>
      <c r="CR100" s="818"/>
      <c r="CS100" s="819"/>
      <c r="CT100" s="817"/>
      <c r="CU100" s="817"/>
      <c r="CV100" s="817"/>
      <c r="CW100" s="817"/>
      <c r="CX100" s="817"/>
      <c r="CY100" s="817"/>
      <c r="CZ100" s="817"/>
      <c r="DA100" s="817"/>
      <c r="DB100" s="817"/>
      <c r="DC100" s="817"/>
      <c r="DD100" s="817"/>
      <c r="DE100" s="818"/>
      <c r="DF100" s="807"/>
      <c r="DG100" s="808"/>
      <c r="DH100" s="808"/>
      <c r="DI100" s="808"/>
      <c r="DJ100" s="808"/>
      <c r="DK100" s="808"/>
      <c r="DL100" s="808"/>
      <c r="DM100" s="808"/>
      <c r="DN100" s="808"/>
      <c r="DO100" s="808"/>
      <c r="DP100" s="808"/>
      <c r="DQ100" s="808"/>
      <c r="DR100" s="809"/>
      <c r="DS100" s="807"/>
      <c r="DT100" s="808"/>
      <c r="DU100" s="808"/>
      <c r="DV100" s="808"/>
      <c r="DW100" s="808"/>
      <c r="DX100" s="808"/>
      <c r="DY100" s="808"/>
      <c r="DZ100" s="808"/>
      <c r="EA100" s="808"/>
      <c r="EB100" s="808"/>
      <c r="EC100" s="808"/>
      <c r="ED100" s="808"/>
      <c r="EE100" s="809"/>
      <c r="EF100" s="807"/>
      <c r="EG100" s="808"/>
      <c r="EH100" s="808"/>
      <c r="EI100" s="808"/>
      <c r="EJ100" s="808"/>
      <c r="EK100" s="808"/>
      <c r="EL100" s="808"/>
      <c r="EM100" s="808"/>
      <c r="EN100" s="808"/>
      <c r="EO100" s="808"/>
      <c r="EP100" s="808"/>
      <c r="EQ100" s="808"/>
      <c r="ER100" s="809"/>
      <c r="ES100" s="810"/>
      <c r="ET100" s="811"/>
      <c r="EU100" s="811"/>
      <c r="EV100" s="811"/>
      <c r="EW100" s="811"/>
      <c r="EX100" s="811"/>
      <c r="EY100" s="811"/>
      <c r="EZ100" s="811"/>
      <c r="FA100" s="811"/>
      <c r="FB100" s="811"/>
      <c r="FC100" s="811"/>
      <c r="FD100" s="811"/>
      <c r="FE100" s="812"/>
    </row>
    <row r="101" spans="1:163" ht="11.25" customHeight="1" x14ac:dyDescent="0.2">
      <c r="A101" s="813" t="s">
        <v>680</v>
      </c>
      <c r="B101" s="814"/>
      <c r="C101" s="814"/>
      <c r="D101" s="814"/>
      <c r="E101" s="814"/>
      <c r="F101" s="814"/>
      <c r="G101" s="814"/>
      <c r="H101" s="814"/>
      <c r="I101" s="814"/>
      <c r="J101" s="814"/>
      <c r="K101" s="814"/>
      <c r="L101" s="814"/>
      <c r="M101" s="814"/>
      <c r="N101" s="814"/>
      <c r="O101" s="814"/>
      <c r="P101" s="814"/>
      <c r="Q101" s="814"/>
      <c r="R101" s="814"/>
      <c r="S101" s="814"/>
      <c r="T101" s="814"/>
      <c r="U101" s="814"/>
      <c r="V101" s="814"/>
      <c r="W101" s="814"/>
      <c r="X101" s="814"/>
      <c r="Y101" s="814"/>
      <c r="Z101" s="814"/>
      <c r="AA101" s="814"/>
      <c r="AB101" s="814"/>
      <c r="AC101" s="814"/>
      <c r="AD101" s="814"/>
      <c r="AE101" s="814"/>
      <c r="AF101" s="814"/>
      <c r="AG101" s="814"/>
      <c r="AH101" s="814"/>
      <c r="AI101" s="814"/>
      <c r="AJ101" s="814"/>
      <c r="AK101" s="814"/>
      <c r="AL101" s="814"/>
      <c r="AM101" s="814"/>
      <c r="AN101" s="814"/>
      <c r="AO101" s="814"/>
      <c r="AP101" s="814"/>
      <c r="AQ101" s="814"/>
      <c r="AR101" s="814"/>
      <c r="AS101" s="814"/>
      <c r="AT101" s="814"/>
      <c r="AU101" s="814"/>
      <c r="AV101" s="814"/>
      <c r="AW101" s="814"/>
      <c r="AX101" s="814"/>
      <c r="AY101" s="814"/>
      <c r="AZ101" s="814"/>
      <c r="BA101" s="814"/>
      <c r="BB101" s="814"/>
      <c r="BC101" s="814"/>
      <c r="BD101" s="814"/>
      <c r="BE101" s="814"/>
      <c r="BF101" s="814"/>
      <c r="BG101" s="814"/>
      <c r="BH101" s="814"/>
      <c r="BI101" s="814"/>
      <c r="BJ101" s="814"/>
      <c r="BK101" s="814"/>
      <c r="BL101" s="814"/>
      <c r="BM101" s="814"/>
      <c r="BN101" s="814"/>
      <c r="BO101" s="814"/>
      <c r="BP101" s="814"/>
      <c r="BQ101" s="814"/>
      <c r="BR101" s="814"/>
      <c r="BS101" s="814"/>
      <c r="BT101" s="814"/>
      <c r="BU101" s="814"/>
      <c r="BV101" s="814"/>
      <c r="BW101" s="815"/>
      <c r="BX101" s="816" t="s">
        <v>949</v>
      </c>
      <c r="BY101" s="817"/>
      <c r="BZ101" s="817"/>
      <c r="CA101" s="817"/>
      <c r="CB101" s="817"/>
      <c r="CC101" s="817"/>
      <c r="CD101" s="817"/>
      <c r="CE101" s="818"/>
      <c r="CF101" s="819" t="s">
        <v>950</v>
      </c>
      <c r="CG101" s="817"/>
      <c r="CH101" s="817"/>
      <c r="CI101" s="817"/>
      <c r="CJ101" s="817"/>
      <c r="CK101" s="817"/>
      <c r="CL101" s="817"/>
      <c r="CM101" s="817"/>
      <c r="CN101" s="817"/>
      <c r="CO101" s="817"/>
      <c r="CP101" s="817"/>
      <c r="CQ101" s="817"/>
      <c r="CR101" s="818"/>
      <c r="CS101" s="819" t="s">
        <v>1061</v>
      </c>
      <c r="CT101" s="817"/>
      <c r="CU101" s="817"/>
      <c r="CV101" s="817"/>
      <c r="CW101" s="817"/>
      <c r="CX101" s="817"/>
      <c r="CY101" s="817"/>
      <c r="CZ101" s="817"/>
      <c r="DA101" s="817"/>
      <c r="DB101" s="817"/>
      <c r="DC101" s="817"/>
      <c r="DD101" s="817"/>
      <c r="DE101" s="818"/>
      <c r="DF101" s="807">
        <v>3798000</v>
      </c>
      <c r="DG101" s="808"/>
      <c r="DH101" s="808"/>
      <c r="DI101" s="808"/>
      <c r="DJ101" s="808"/>
      <c r="DK101" s="808"/>
      <c r="DL101" s="808"/>
      <c r="DM101" s="808"/>
      <c r="DN101" s="808"/>
      <c r="DO101" s="808"/>
      <c r="DP101" s="808"/>
      <c r="DQ101" s="808"/>
      <c r="DR101" s="809"/>
      <c r="DS101" s="807">
        <v>4056000</v>
      </c>
      <c r="DT101" s="808"/>
      <c r="DU101" s="808"/>
      <c r="DV101" s="808"/>
      <c r="DW101" s="808"/>
      <c r="DX101" s="808"/>
      <c r="DY101" s="808"/>
      <c r="DZ101" s="808"/>
      <c r="EA101" s="808"/>
      <c r="EB101" s="808"/>
      <c r="EC101" s="808"/>
      <c r="ED101" s="808"/>
      <c r="EE101" s="809"/>
      <c r="EF101" s="807">
        <v>4219000</v>
      </c>
      <c r="EG101" s="808"/>
      <c r="EH101" s="808"/>
      <c r="EI101" s="808"/>
      <c r="EJ101" s="808"/>
      <c r="EK101" s="808"/>
      <c r="EL101" s="808"/>
      <c r="EM101" s="808"/>
      <c r="EN101" s="808"/>
      <c r="EO101" s="808"/>
      <c r="EP101" s="808"/>
      <c r="EQ101" s="808"/>
      <c r="ER101" s="809"/>
      <c r="ES101" s="810"/>
      <c r="ET101" s="811"/>
      <c r="EU101" s="811"/>
      <c r="EV101" s="811"/>
      <c r="EW101" s="811"/>
      <c r="EX101" s="811"/>
      <c r="EY101" s="811"/>
      <c r="EZ101" s="811"/>
      <c r="FA101" s="811"/>
      <c r="FB101" s="811"/>
      <c r="FC101" s="811"/>
      <c r="FD101" s="811"/>
      <c r="FE101" s="812"/>
      <c r="FG101" s="482">
        <v>4219000</v>
      </c>
    </row>
    <row r="102" spans="1:163" ht="11.25" customHeight="1" x14ac:dyDescent="0.2">
      <c r="A102" s="805" t="s">
        <v>951</v>
      </c>
      <c r="B102" s="806"/>
      <c r="C102" s="806"/>
      <c r="D102" s="806"/>
      <c r="E102" s="806"/>
      <c r="F102" s="806"/>
      <c r="G102" s="806"/>
      <c r="H102" s="806"/>
      <c r="I102" s="806"/>
      <c r="J102" s="806"/>
      <c r="K102" s="806"/>
      <c r="L102" s="806"/>
      <c r="M102" s="806"/>
      <c r="N102" s="806"/>
      <c r="O102" s="806"/>
      <c r="P102" s="806"/>
      <c r="Q102" s="806"/>
      <c r="R102" s="806"/>
      <c r="S102" s="806"/>
      <c r="T102" s="806"/>
      <c r="U102" s="806"/>
      <c r="V102" s="806"/>
      <c r="W102" s="806"/>
      <c r="X102" s="806"/>
      <c r="Y102" s="806"/>
      <c r="Z102" s="806"/>
      <c r="AA102" s="806"/>
      <c r="AB102" s="806"/>
      <c r="AC102" s="806"/>
      <c r="AD102" s="806"/>
      <c r="AE102" s="806"/>
      <c r="AF102" s="806"/>
      <c r="AG102" s="806"/>
      <c r="AH102" s="806"/>
      <c r="AI102" s="806"/>
      <c r="AJ102" s="806"/>
      <c r="AK102" s="806"/>
      <c r="AL102" s="806"/>
      <c r="AM102" s="806"/>
      <c r="AN102" s="806"/>
      <c r="AO102" s="806"/>
      <c r="AP102" s="806"/>
      <c r="AQ102" s="806"/>
      <c r="AR102" s="806"/>
      <c r="AS102" s="806"/>
      <c r="AT102" s="806"/>
      <c r="AU102" s="806"/>
      <c r="AV102" s="806"/>
      <c r="AW102" s="806"/>
      <c r="AX102" s="806"/>
      <c r="AY102" s="806"/>
      <c r="AZ102" s="806"/>
      <c r="BA102" s="806"/>
      <c r="BB102" s="806"/>
      <c r="BC102" s="806"/>
      <c r="BD102" s="806"/>
      <c r="BE102" s="806"/>
      <c r="BF102" s="806"/>
      <c r="BG102" s="806"/>
      <c r="BH102" s="806"/>
      <c r="BI102" s="806"/>
      <c r="BJ102" s="806"/>
      <c r="BK102" s="806"/>
      <c r="BL102" s="806"/>
      <c r="BM102" s="806"/>
      <c r="BN102" s="806"/>
      <c r="BO102" s="806"/>
      <c r="BP102" s="806"/>
      <c r="BQ102" s="806"/>
      <c r="BR102" s="806"/>
      <c r="BS102" s="806"/>
      <c r="BT102" s="806"/>
      <c r="BU102" s="806"/>
      <c r="BV102" s="806"/>
      <c r="BW102" s="806"/>
      <c r="BX102" s="782" t="s">
        <v>681</v>
      </c>
      <c r="BY102" s="783"/>
      <c r="BZ102" s="783"/>
      <c r="CA102" s="783"/>
      <c r="CB102" s="783"/>
      <c r="CC102" s="783"/>
      <c r="CD102" s="783"/>
      <c r="CE102" s="784"/>
      <c r="CF102" s="785" t="s">
        <v>952</v>
      </c>
      <c r="CG102" s="783"/>
      <c r="CH102" s="783"/>
      <c r="CI102" s="783"/>
      <c r="CJ102" s="783"/>
      <c r="CK102" s="783"/>
      <c r="CL102" s="783"/>
      <c r="CM102" s="783"/>
      <c r="CN102" s="783"/>
      <c r="CO102" s="783"/>
      <c r="CP102" s="783"/>
      <c r="CQ102" s="783"/>
      <c r="CR102" s="784"/>
      <c r="CS102" s="785"/>
      <c r="CT102" s="783"/>
      <c r="CU102" s="783"/>
      <c r="CV102" s="783"/>
      <c r="CW102" s="783"/>
      <c r="CX102" s="783"/>
      <c r="CY102" s="783"/>
      <c r="CZ102" s="783"/>
      <c r="DA102" s="783"/>
      <c r="DB102" s="783"/>
      <c r="DC102" s="783"/>
      <c r="DD102" s="783"/>
      <c r="DE102" s="784"/>
      <c r="DF102" s="776"/>
      <c r="DG102" s="777"/>
      <c r="DH102" s="777"/>
      <c r="DI102" s="777"/>
      <c r="DJ102" s="777"/>
      <c r="DK102" s="777"/>
      <c r="DL102" s="777"/>
      <c r="DM102" s="777"/>
      <c r="DN102" s="777"/>
      <c r="DO102" s="777"/>
      <c r="DP102" s="777"/>
      <c r="DQ102" s="777"/>
      <c r="DR102" s="778"/>
      <c r="DS102" s="776"/>
      <c r="DT102" s="777"/>
      <c r="DU102" s="777"/>
      <c r="DV102" s="777"/>
      <c r="DW102" s="777"/>
      <c r="DX102" s="777"/>
      <c r="DY102" s="777"/>
      <c r="DZ102" s="777"/>
      <c r="EA102" s="777"/>
      <c r="EB102" s="777"/>
      <c r="EC102" s="777"/>
      <c r="ED102" s="777"/>
      <c r="EE102" s="778"/>
      <c r="EF102" s="776"/>
      <c r="EG102" s="777"/>
      <c r="EH102" s="777"/>
      <c r="EI102" s="777"/>
      <c r="EJ102" s="777"/>
      <c r="EK102" s="777"/>
      <c r="EL102" s="777"/>
      <c r="EM102" s="777"/>
      <c r="EN102" s="777"/>
      <c r="EO102" s="777"/>
      <c r="EP102" s="777"/>
      <c r="EQ102" s="777"/>
      <c r="ER102" s="778"/>
      <c r="ES102" s="779"/>
      <c r="ET102" s="780"/>
      <c r="EU102" s="780"/>
      <c r="EV102" s="780"/>
      <c r="EW102" s="780"/>
      <c r="EX102" s="780"/>
      <c r="EY102" s="780"/>
      <c r="EZ102" s="780"/>
      <c r="FA102" s="780"/>
      <c r="FB102" s="780"/>
      <c r="FC102" s="780"/>
      <c r="FD102" s="780"/>
      <c r="FE102" s="781"/>
    </row>
    <row r="103" spans="1:163" ht="33.75" customHeight="1" x14ac:dyDescent="0.2">
      <c r="A103" s="803" t="s">
        <v>953</v>
      </c>
      <c r="B103" s="804"/>
      <c r="C103" s="804"/>
      <c r="D103" s="804"/>
      <c r="E103" s="804"/>
      <c r="F103" s="804"/>
      <c r="G103" s="804"/>
      <c r="H103" s="804"/>
      <c r="I103" s="804"/>
      <c r="J103" s="804"/>
      <c r="K103" s="804"/>
      <c r="L103" s="804"/>
      <c r="M103" s="804"/>
      <c r="N103" s="804"/>
      <c r="O103" s="804"/>
      <c r="P103" s="804"/>
      <c r="Q103" s="804"/>
      <c r="R103" s="804"/>
      <c r="S103" s="804"/>
      <c r="T103" s="804"/>
      <c r="U103" s="804"/>
      <c r="V103" s="804"/>
      <c r="W103" s="804"/>
      <c r="X103" s="804"/>
      <c r="Y103" s="804"/>
      <c r="Z103" s="804"/>
      <c r="AA103" s="804"/>
      <c r="AB103" s="804"/>
      <c r="AC103" s="804"/>
      <c r="AD103" s="804"/>
      <c r="AE103" s="804"/>
      <c r="AF103" s="804"/>
      <c r="AG103" s="804"/>
      <c r="AH103" s="804"/>
      <c r="AI103" s="804"/>
      <c r="AJ103" s="804"/>
      <c r="AK103" s="804"/>
      <c r="AL103" s="804"/>
      <c r="AM103" s="804"/>
      <c r="AN103" s="804"/>
      <c r="AO103" s="804"/>
      <c r="AP103" s="804"/>
      <c r="AQ103" s="804"/>
      <c r="AR103" s="804"/>
      <c r="AS103" s="804"/>
      <c r="AT103" s="804"/>
      <c r="AU103" s="804"/>
      <c r="AV103" s="804"/>
      <c r="AW103" s="804"/>
      <c r="AX103" s="804"/>
      <c r="AY103" s="804"/>
      <c r="AZ103" s="804"/>
      <c r="BA103" s="804"/>
      <c r="BB103" s="804"/>
      <c r="BC103" s="804"/>
      <c r="BD103" s="804"/>
      <c r="BE103" s="804"/>
      <c r="BF103" s="804"/>
      <c r="BG103" s="804"/>
      <c r="BH103" s="804"/>
      <c r="BI103" s="804"/>
      <c r="BJ103" s="804"/>
      <c r="BK103" s="804"/>
      <c r="BL103" s="804"/>
      <c r="BM103" s="804"/>
      <c r="BN103" s="804"/>
      <c r="BO103" s="804"/>
      <c r="BP103" s="804"/>
      <c r="BQ103" s="804"/>
      <c r="BR103" s="804"/>
      <c r="BS103" s="804"/>
      <c r="BT103" s="804"/>
      <c r="BU103" s="804"/>
      <c r="BV103" s="804"/>
      <c r="BW103" s="804"/>
      <c r="BX103" s="782" t="s">
        <v>682</v>
      </c>
      <c r="BY103" s="783"/>
      <c r="BZ103" s="783"/>
      <c r="CA103" s="783"/>
      <c r="CB103" s="783"/>
      <c r="CC103" s="783"/>
      <c r="CD103" s="783"/>
      <c r="CE103" s="784"/>
      <c r="CF103" s="785" t="s">
        <v>954</v>
      </c>
      <c r="CG103" s="783"/>
      <c r="CH103" s="783"/>
      <c r="CI103" s="783"/>
      <c r="CJ103" s="783"/>
      <c r="CK103" s="783"/>
      <c r="CL103" s="783"/>
      <c r="CM103" s="783"/>
      <c r="CN103" s="783"/>
      <c r="CO103" s="783"/>
      <c r="CP103" s="783"/>
      <c r="CQ103" s="783"/>
      <c r="CR103" s="784"/>
      <c r="CS103" s="785"/>
      <c r="CT103" s="783"/>
      <c r="CU103" s="783"/>
      <c r="CV103" s="783"/>
      <c r="CW103" s="783"/>
      <c r="CX103" s="783"/>
      <c r="CY103" s="783"/>
      <c r="CZ103" s="783"/>
      <c r="DA103" s="783"/>
      <c r="DB103" s="783"/>
      <c r="DC103" s="783"/>
      <c r="DD103" s="783"/>
      <c r="DE103" s="784"/>
      <c r="DF103" s="776"/>
      <c r="DG103" s="777"/>
      <c r="DH103" s="777"/>
      <c r="DI103" s="777"/>
      <c r="DJ103" s="777"/>
      <c r="DK103" s="777"/>
      <c r="DL103" s="777"/>
      <c r="DM103" s="777"/>
      <c r="DN103" s="777"/>
      <c r="DO103" s="777"/>
      <c r="DP103" s="777"/>
      <c r="DQ103" s="777"/>
      <c r="DR103" s="778"/>
      <c r="DS103" s="776"/>
      <c r="DT103" s="777"/>
      <c r="DU103" s="777"/>
      <c r="DV103" s="777"/>
      <c r="DW103" s="777"/>
      <c r="DX103" s="777"/>
      <c r="DY103" s="777"/>
      <c r="DZ103" s="777"/>
      <c r="EA103" s="777"/>
      <c r="EB103" s="777"/>
      <c r="EC103" s="777"/>
      <c r="ED103" s="777"/>
      <c r="EE103" s="778"/>
      <c r="EF103" s="776"/>
      <c r="EG103" s="777"/>
      <c r="EH103" s="777"/>
      <c r="EI103" s="777"/>
      <c r="EJ103" s="777"/>
      <c r="EK103" s="777"/>
      <c r="EL103" s="777"/>
      <c r="EM103" s="777"/>
      <c r="EN103" s="777"/>
      <c r="EO103" s="777"/>
      <c r="EP103" s="777"/>
      <c r="EQ103" s="777"/>
      <c r="ER103" s="778"/>
      <c r="ES103" s="779"/>
      <c r="ET103" s="780"/>
      <c r="EU103" s="780"/>
      <c r="EV103" s="780"/>
      <c r="EW103" s="780"/>
      <c r="EX103" s="780"/>
      <c r="EY103" s="780"/>
      <c r="EZ103" s="780"/>
      <c r="FA103" s="780"/>
      <c r="FB103" s="780"/>
      <c r="FC103" s="780"/>
      <c r="FD103" s="780"/>
      <c r="FE103" s="781"/>
    </row>
    <row r="104" spans="1:163" ht="22.5" customHeight="1" x14ac:dyDescent="0.2">
      <c r="A104" s="803" t="s">
        <v>955</v>
      </c>
      <c r="B104" s="804"/>
      <c r="C104" s="804"/>
      <c r="D104" s="804"/>
      <c r="E104" s="804"/>
      <c r="F104" s="804"/>
      <c r="G104" s="804"/>
      <c r="H104" s="804"/>
      <c r="I104" s="804"/>
      <c r="J104" s="804"/>
      <c r="K104" s="804"/>
      <c r="L104" s="804"/>
      <c r="M104" s="804"/>
      <c r="N104" s="804"/>
      <c r="O104" s="804"/>
      <c r="P104" s="804"/>
      <c r="Q104" s="804"/>
      <c r="R104" s="804"/>
      <c r="S104" s="804"/>
      <c r="T104" s="804"/>
      <c r="U104" s="804"/>
      <c r="V104" s="804"/>
      <c r="W104" s="804"/>
      <c r="X104" s="804"/>
      <c r="Y104" s="804"/>
      <c r="Z104" s="804"/>
      <c r="AA104" s="804"/>
      <c r="AB104" s="804"/>
      <c r="AC104" s="804"/>
      <c r="AD104" s="804"/>
      <c r="AE104" s="804"/>
      <c r="AF104" s="804"/>
      <c r="AG104" s="804"/>
      <c r="AH104" s="804"/>
      <c r="AI104" s="804"/>
      <c r="AJ104" s="804"/>
      <c r="AK104" s="804"/>
      <c r="AL104" s="804"/>
      <c r="AM104" s="804"/>
      <c r="AN104" s="804"/>
      <c r="AO104" s="804"/>
      <c r="AP104" s="804"/>
      <c r="AQ104" s="804"/>
      <c r="AR104" s="804"/>
      <c r="AS104" s="804"/>
      <c r="AT104" s="804"/>
      <c r="AU104" s="804"/>
      <c r="AV104" s="804"/>
      <c r="AW104" s="804"/>
      <c r="AX104" s="804"/>
      <c r="AY104" s="804"/>
      <c r="AZ104" s="804"/>
      <c r="BA104" s="804"/>
      <c r="BB104" s="804"/>
      <c r="BC104" s="804"/>
      <c r="BD104" s="804"/>
      <c r="BE104" s="804"/>
      <c r="BF104" s="804"/>
      <c r="BG104" s="804"/>
      <c r="BH104" s="804"/>
      <c r="BI104" s="804"/>
      <c r="BJ104" s="804"/>
      <c r="BK104" s="804"/>
      <c r="BL104" s="804"/>
      <c r="BM104" s="804"/>
      <c r="BN104" s="804"/>
      <c r="BO104" s="804"/>
      <c r="BP104" s="804"/>
      <c r="BQ104" s="804"/>
      <c r="BR104" s="804"/>
      <c r="BS104" s="804"/>
      <c r="BT104" s="804"/>
      <c r="BU104" s="804"/>
      <c r="BV104" s="804"/>
      <c r="BW104" s="804"/>
      <c r="BX104" s="782" t="s">
        <v>683</v>
      </c>
      <c r="BY104" s="783"/>
      <c r="BZ104" s="783"/>
      <c r="CA104" s="783"/>
      <c r="CB104" s="783"/>
      <c r="CC104" s="783"/>
      <c r="CD104" s="783"/>
      <c r="CE104" s="784"/>
      <c r="CF104" s="785" t="s">
        <v>956</v>
      </c>
      <c r="CG104" s="783"/>
      <c r="CH104" s="783"/>
      <c r="CI104" s="783"/>
      <c r="CJ104" s="783"/>
      <c r="CK104" s="783"/>
      <c r="CL104" s="783"/>
      <c r="CM104" s="783"/>
      <c r="CN104" s="783"/>
      <c r="CO104" s="783"/>
      <c r="CP104" s="783"/>
      <c r="CQ104" s="783"/>
      <c r="CR104" s="784"/>
      <c r="CS104" s="785"/>
      <c r="CT104" s="783"/>
      <c r="CU104" s="783"/>
      <c r="CV104" s="783"/>
      <c r="CW104" s="783"/>
      <c r="CX104" s="783"/>
      <c r="CY104" s="783"/>
      <c r="CZ104" s="783"/>
      <c r="DA104" s="783"/>
      <c r="DB104" s="783"/>
      <c r="DC104" s="783"/>
      <c r="DD104" s="783"/>
      <c r="DE104" s="784"/>
      <c r="DF104" s="776"/>
      <c r="DG104" s="777"/>
      <c r="DH104" s="777"/>
      <c r="DI104" s="777"/>
      <c r="DJ104" s="777"/>
      <c r="DK104" s="777"/>
      <c r="DL104" s="777"/>
      <c r="DM104" s="777"/>
      <c r="DN104" s="777"/>
      <c r="DO104" s="777"/>
      <c r="DP104" s="777"/>
      <c r="DQ104" s="777"/>
      <c r="DR104" s="778"/>
      <c r="DS104" s="776"/>
      <c r="DT104" s="777"/>
      <c r="DU104" s="777"/>
      <c r="DV104" s="777"/>
      <c r="DW104" s="777"/>
      <c r="DX104" s="777"/>
      <c r="DY104" s="777"/>
      <c r="DZ104" s="777"/>
      <c r="EA104" s="777"/>
      <c r="EB104" s="777"/>
      <c r="EC104" s="777"/>
      <c r="ED104" s="777"/>
      <c r="EE104" s="778"/>
      <c r="EF104" s="776"/>
      <c r="EG104" s="777"/>
      <c r="EH104" s="777"/>
      <c r="EI104" s="777"/>
      <c r="EJ104" s="777"/>
      <c r="EK104" s="777"/>
      <c r="EL104" s="777"/>
      <c r="EM104" s="777"/>
      <c r="EN104" s="777"/>
      <c r="EO104" s="777"/>
      <c r="EP104" s="777"/>
      <c r="EQ104" s="777"/>
      <c r="ER104" s="778"/>
      <c r="ES104" s="779"/>
      <c r="ET104" s="780"/>
      <c r="EU104" s="780"/>
      <c r="EV104" s="780"/>
      <c r="EW104" s="780"/>
      <c r="EX104" s="780"/>
      <c r="EY104" s="780"/>
      <c r="EZ104" s="780"/>
      <c r="FA104" s="780"/>
      <c r="FB104" s="780"/>
      <c r="FC104" s="780"/>
      <c r="FD104" s="780"/>
      <c r="FE104" s="781"/>
    </row>
    <row r="105" spans="1:163" ht="11.25" customHeight="1" x14ac:dyDescent="0.2">
      <c r="A105" s="791" t="s">
        <v>957</v>
      </c>
      <c r="B105" s="792"/>
      <c r="C105" s="792"/>
      <c r="D105" s="792"/>
      <c r="E105" s="792"/>
      <c r="F105" s="792"/>
      <c r="G105" s="792"/>
      <c r="H105" s="792"/>
      <c r="I105" s="792"/>
      <c r="J105" s="792"/>
      <c r="K105" s="792"/>
      <c r="L105" s="792"/>
      <c r="M105" s="792"/>
      <c r="N105" s="792"/>
      <c r="O105" s="792"/>
      <c r="P105" s="792"/>
      <c r="Q105" s="792"/>
      <c r="R105" s="792"/>
      <c r="S105" s="792"/>
      <c r="T105" s="792"/>
      <c r="U105" s="792"/>
      <c r="V105" s="792"/>
      <c r="W105" s="792"/>
      <c r="X105" s="792"/>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2"/>
      <c r="AY105" s="792"/>
      <c r="AZ105" s="792"/>
      <c r="BA105" s="792"/>
      <c r="BB105" s="792"/>
      <c r="BC105" s="792"/>
      <c r="BD105" s="792"/>
      <c r="BE105" s="792"/>
      <c r="BF105" s="792"/>
      <c r="BG105" s="792"/>
      <c r="BH105" s="792"/>
      <c r="BI105" s="792"/>
      <c r="BJ105" s="792"/>
      <c r="BK105" s="792"/>
      <c r="BL105" s="792"/>
      <c r="BM105" s="792"/>
      <c r="BN105" s="792"/>
      <c r="BO105" s="792"/>
      <c r="BP105" s="792"/>
      <c r="BQ105" s="792"/>
      <c r="BR105" s="792"/>
      <c r="BS105" s="792"/>
      <c r="BT105" s="792"/>
      <c r="BU105" s="792"/>
      <c r="BV105" s="792"/>
      <c r="BW105" s="792"/>
      <c r="BX105" s="793" t="s">
        <v>958</v>
      </c>
      <c r="BY105" s="794"/>
      <c r="BZ105" s="794"/>
      <c r="CA105" s="794"/>
      <c r="CB105" s="794"/>
      <c r="CC105" s="794"/>
      <c r="CD105" s="794"/>
      <c r="CE105" s="795"/>
      <c r="CF105" s="796" t="s">
        <v>959</v>
      </c>
      <c r="CG105" s="794"/>
      <c r="CH105" s="794"/>
      <c r="CI105" s="794"/>
      <c r="CJ105" s="794"/>
      <c r="CK105" s="794"/>
      <c r="CL105" s="794"/>
      <c r="CM105" s="794"/>
      <c r="CN105" s="794"/>
      <c r="CO105" s="794"/>
      <c r="CP105" s="794"/>
      <c r="CQ105" s="794"/>
      <c r="CR105" s="795"/>
      <c r="CS105" s="796"/>
      <c r="CT105" s="794"/>
      <c r="CU105" s="794"/>
      <c r="CV105" s="794"/>
      <c r="CW105" s="794"/>
      <c r="CX105" s="794"/>
      <c r="CY105" s="794"/>
      <c r="CZ105" s="794"/>
      <c r="DA105" s="794"/>
      <c r="DB105" s="794"/>
      <c r="DC105" s="794"/>
      <c r="DD105" s="794"/>
      <c r="DE105" s="795"/>
      <c r="DF105" s="797"/>
      <c r="DG105" s="798"/>
      <c r="DH105" s="798"/>
      <c r="DI105" s="798"/>
      <c r="DJ105" s="798"/>
      <c r="DK105" s="798"/>
      <c r="DL105" s="798"/>
      <c r="DM105" s="798"/>
      <c r="DN105" s="798"/>
      <c r="DO105" s="798"/>
      <c r="DP105" s="798"/>
      <c r="DQ105" s="798"/>
      <c r="DR105" s="799"/>
      <c r="DS105" s="797"/>
      <c r="DT105" s="798"/>
      <c r="DU105" s="798"/>
      <c r="DV105" s="798"/>
      <c r="DW105" s="798"/>
      <c r="DX105" s="798"/>
      <c r="DY105" s="798"/>
      <c r="DZ105" s="798"/>
      <c r="EA105" s="798"/>
      <c r="EB105" s="798"/>
      <c r="EC105" s="798"/>
      <c r="ED105" s="798"/>
      <c r="EE105" s="799"/>
      <c r="EF105" s="797"/>
      <c r="EG105" s="798"/>
      <c r="EH105" s="798"/>
      <c r="EI105" s="798"/>
      <c r="EJ105" s="798"/>
      <c r="EK105" s="798"/>
      <c r="EL105" s="798"/>
      <c r="EM105" s="798"/>
      <c r="EN105" s="798"/>
      <c r="EO105" s="798"/>
      <c r="EP105" s="798"/>
      <c r="EQ105" s="798"/>
      <c r="ER105" s="799"/>
      <c r="ES105" s="800"/>
      <c r="ET105" s="801"/>
      <c r="EU105" s="801"/>
      <c r="EV105" s="801"/>
      <c r="EW105" s="801"/>
      <c r="EX105" s="801"/>
      <c r="EY105" s="801"/>
      <c r="EZ105" s="801"/>
      <c r="FA105" s="801"/>
      <c r="FB105" s="801"/>
      <c r="FC105" s="801"/>
      <c r="FD105" s="801"/>
      <c r="FE105" s="802"/>
    </row>
    <row r="106" spans="1:163" ht="12.75" customHeight="1" x14ac:dyDescent="0.2">
      <c r="A106" s="786" t="s">
        <v>960</v>
      </c>
      <c r="B106" s="786"/>
      <c r="C106" s="786"/>
      <c r="D106" s="786"/>
      <c r="E106" s="786"/>
      <c r="F106" s="786"/>
      <c r="G106" s="786"/>
      <c r="H106" s="786"/>
      <c r="I106" s="786"/>
      <c r="J106" s="786"/>
      <c r="K106" s="786"/>
      <c r="L106" s="786"/>
      <c r="M106" s="786"/>
      <c r="N106" s="786"/>
      <c r="O106" s="786"/>
      <c r="P106" s="786"/>
      <c r="Q106" s="786"/>
      <c r="R106" s="786"/>
      <c r="S106" s="786"/>
      <c r="T106" s="786"/>
      <c r="U106" s="786"/>
      <c r="V106" s="786"/>
      <c r="W106" s="786"/>
      <c r="X106" s="786"/>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6"/>
      <c r="AY106" s="786"/>
      <c r="AZ106" s="786"/>
      <c r="BA106" s="786"/>
      <c r="BB106" s="786"/>
      <c r="BC106" s="786"/>
      <c r="BD106" s="786"/>
      <c r="BE106" s="786"/>
      <c r="BF106" s="786"/>
      <c r="BG106" s="786"/>
      <c r="BH106" s="786"/>
      <c r="BI106" s="786"/>
      <c r="BJ106" s="786"/>
      <c r="BK106" s="786"/>
      <c r="BL106" s="786"/>
      <c r="BM106" s="786"/>
      <c r="BN106" s="786"/>
      <c r="BO106" s="786"/>
      <c r="BP106" s="786"/>
      <c r="BQ106" s="786"/>
      <c r="BR106" s="786"/>
      <c r="BS106" s="786"/>
      <c r="BT106" s="786"/>
      <c r="BU106" s="786"/>
      <c r="BV106" s="786"/>
      <c r="BW106" s="786"/>
      <c r="BX106" s="787" t="s">
        <v>961</v>
      </c>
      <c r="BY106" s="788"/>
      <c r="BZ106" s="788"/>
      <c r="CA106" s="788"/>
      <c r="CB106" s="788"/>
      <c r="CC106" s="788"/>
      <c r="CD106" s="788"/>
      <c r="CE106" s="789"/>
      <c r="CF106" s="790" t="s">
        <v>962</v>
      </c>
      <c r="CG106" s="788"/>
      <c r="CH106" s="788"/>
      <c r="CI106" s="788"/>
      <c r="CJ106" s="788"/>
      <c r="CK106" s="788"/>
      <c r="CL106" s="788"/>
      <c r="CM106" s="788"/>
      <c r="CN106" s="788"/>
      <c r="CO106" s="788"/>
      <c r="CP106" s="788"/>
      <c r="CQ106" s="788"/>
      <c r="CR106" s="789"/>
      <c r="CS106" s="785"/>
      <c r="CT106" s="783"/>
      <c r="CU106" s="783"/>
      <c r="CV106" s="783"/>
      <c r="CW106" s="783"/>
      <c r="CX106" s="783"/>
      <c r="CY106" s="783"/>
      <c r="CZ106" s="783"/>
      <c r="DA106" s="783"/>
      <c r="DB106" s="783"/>
      <c r="DC106" s="783"/>
      <c r="DD106" s="783"/>
      <c r="DE106" s="784"/>
      <c r="DF106" s="776"/>
      <c r="DG106" s="777"/>
      <c r="DH106" s="777"/>
      <c r="DI106" s="777"/>
      <c r="DJ106" s="777"/>
      <c r="DK106" s="777"/>
      <c r="DL106" s="777"/>
      <c r="DM106" s="777"/>
      <c r="DN106" s="777"/>
      <c r="DO106" s="777"/>
      <c r="DP106" s="777"/>
      <c r="DQ106" s="777"/>
      <c r="DR106" s="778"/>
      <c r="DS106" s="776"/>
      <c r="DT106" s="777"/>
      <c r="DU106" s="777"/>
      <c r="DV106" s="777"/>
      <c r="DW106" s="777"/>
      <c r="DX106" s="777"/>
      <c r="DY106" s="777"/>
      <c r="DZ106" s="777"/>
      <c r="EA106" s="777"/>
      <c r="EB106" s="777"/>
      <c r="EC106" s="777"/>
      <c r="ED106" s="777"/>
      <c r="EE106" s="778"/>
      <c r="EF106" s="776"/>
      <c r="EG106" s="777"/>
      <c r="EH106" s="777"/>
      <c r="EI106" s="777"/>
      <c r="EJ106" s="777"/>
      <c r="EK106" s="777"/>
      <c r="EL106" s="777"/>
      <c r="EM106" s="777"/>
      <c r="EN106" s="777"/>
      <c r="EO106" s="777"/>
      <c r="EP106" s="777"/>
      <c r="EQ106" s="777"/>
      <c r="ER106" s="778"/>
      <c r="ES106" s="779" t="s">
        <v>74</v>
      </c>
      <c r="ET106" s="780"/>
      <c r="EU106" s="780"/>
      <c r="EV106" s="780"/>
      <c r="EW106" s="780"/>
      <c r="EX106" s="780"/>
      <c r="EY106" s="780"/>
      <c r="EZ106" s="780"/>
      <c r="FA106" s="780"/>
      <c r="FB106" s="780"/>
      <c r="FC106" s="780"/>
      <c r="FD106" s="780"/>
      <c r="FE106" s="781"/>
    </row>
    <row r="107" spans="1:163" ht="22.5" customHeight="1" x14ac:dyDescent="0.2">
      <c r="A107" s="770" t="s">
        <v>963</v>
      </c>
      <c r="B107" s="771"/>
      <c r="C107" s="771"/>
      <c r="D107" s="771"/>
      <c r="E107" s="771"/>
      <c r="F107" s="771"/>
      <c r="G107" s="771"/>
      <c r="H107" s="771"/>
      <c r="I107" s="771"/>
      <c r="J107" s="771"/>
      <c r="K107" s="771"/>
      <c r="L107" s="771"/>
      <c r="M107" s="771"/>
      <c r="N107" s="771"/>
      <c r="O107" s="771"/>
      <c r="P107" s="771"/>
      <c r="Q107" s="771"/>
      <c r="R107" s="771"/>
      <c r="S107" s="771"/>
      <c r="T107" s="771"/>
      <c r="U107" s="771"/>
      <c r="V107" s="771"/>
      <c r="W107" s="771"/>
      <c r="X107" s="771"/>
      <c r="Y107" s="771"/>
      <c r="Z107" s="771"/>
      <c r="AA107" s="771"/>
      <c r="AB107" s="771"/>
      <c r="AC107" s="771"/>
      <c r="AD107" s="771"/>
      <c r="AE107" s="771"/>
      <c r="AF107" s="771"/>
      <c r="AG107" s="771"/>
      <c r="AH107" s="771"/>
      <c r="AI107" s="771"/>
      <c r="AJ107" s="771"/>
      <c r="AK107" s="771"/>
      <c r="AL107" s="771"/>
      <c r="AM107" s="771"/>
      <c r="AN107" s="771"/>
      <c r="AO107" s="771"/>
      <c r="AP107" s="771"/>
      <c r="AQ107" s="771"/>
      <c r="AR107" s="771"/>
      <c r="AS107" s="771"/>
      <c r="AT107" s="771"/>
      <c r="AU107" s="771"/>
      <c r="AV107" s="771"/>
      <c r="AW107" s="771"/>
      <c r="AX107" s="771"/>
      <c r="AY107" s="771"/>
      <c r="AZ107" s="771"/>
      <c r="BA107" s="771"/>
      <c r="BB107" s="771"/>
      <c r="BC107" s="771"/>
      <c r="BD107" s="771"/>
      <c r="BE107" s="771"/>
      <c r="BF107" s="771"/>
      <c r="BG107" s="771"/>
      <c r="BH107" s="771"/>
      <c r="BI107" s="771"/>
      <c r="BJ107" s="771"/>
      <c r="BK107" s="771"/>
      <c r="BL107" s="771"/>
      <c r="BM107" s="771"/>
      <c r="BN107" s="771"/>
      <c r="BO107" s="771"/>
      <c r="BP107" s="771"/>
      <c r="BQ107" s="771"/>
      <c r="BR107" s="771"/>
      <c r="BS107" s="771"/>
      <c r="BT107" s="771"/>
      <c r="BU107" s="771"/>
      <c r="BV107" s="771"/>
      <c r="BW107" s="771"/>
      <c r="BX107" s="782" t="s">
        <v>964</v>
      </c>
      <c r="BY107" s="783"/>
      <c r="BZ107" s="783"/>
      <c r="CA107" s="783"/>
      <c r="CB107" s="783"/>
      <c r="CC107" s="783"/>
      <c r="CD107" s="783"/>
      <c r="CE107" s="784"/>
      <c r="CF107" s="785"/>
      <c r="CG107" s="783"/>
      <c r="CH107" s="783"/>
      <c r="CI107" s="783"/>
      <c r="CJ107" s="783"/>
      <c r="CK107" s="783"/>
      <c r="CL107" s="783"/>
      <c r="CM107" s="783"/>
      <c r="CN107" s="783"/>
      <c r="CO107" s="783"/>
      <c r="CP107" s="783"/>
      <c r="CQ107" s="783"/>
      <c r="CR107" s="784"/>
      <c r="CS107" s="785"/>
      <c r="CT107" s="783"/>
      <c r="CU107" s="783"/>
      <c r="CV107" s="783"/>
      <c r="CW107" s="783"/>
      <c r="CX107" s="783"/>
      <c r="CY107" s="783"/>
      <c r="CZ107" s="783"/>
      <c r="DA107" s="783"/>
      <c r="DB107" s="783"/>
      <c r="DC107" s="783"/>
      <c r="DD107" s="783"/>
      <c r="DE107" s="784"/>
      <c r="DF107" s="776"/>
      <c r="DG107" s="777"/>
      <c r="DH107" s="777"/>
      <c r="DI107" s="777"/>
      <c r="DJ107" s="777"/>
      <c r="DK107" s="777"/>
      <c r="DL107" s="777"/>
      <c r="DM107" s="777"/>
      <c r="DN107" s="777"/>
      <c r="DO107" s="777"/>
      <c r="DP107" s="777"/>
      <c r="DQ107" s="777"/>
      <c r="DR107" s="778"/>
      <c r="DS107" s="776"/>
      <c r="DT107" s="777"/>
      <c r="DU107" s="777"/>
      <c r="DV107" s="777"/>
      <c r="DW107" s="777"/>
      <c r="DX107" s="777"/>
      <c r="DY107" s="777"/>
      <c r="DZ107" s="777"/>
      <c r="EA107" s="777"/>
      <c r="EB107" s="777"/>
      <c r="EC107" s="777"/>
      <c r="ED107" s="777"/>
      <c r="EE107" s="778"/>
      <c r="EF107" s="776"/>
      <c r="EG107" s="777"/>
      <c r="EH107" s="777"/>
      <c r="EI107" s="777"/>
      <c r="EJ107" s="777"/>
      <c r="EK107" s="777"/>
      <c r="EL107" s="777"/>
      <c r="EM107" s="777"/>
      <c r="EN107" s="777"/>
      <c r="EO107" s="777"/>
      <c r="EP107" s="777"/>
      <c r="EQ107" s="777"/>
      <c r="ER107" s="778"/>
      <c r="ES107" s="779" t="s">
        <v>74</v>
      </c>
      <c r="ET107" s="780"/>
      <c r="EU107" s="780"/>
      <c r="EV107" s="780"/>
      <c r="EW107" s="780"/>
      <c r="EX107" s="780"/>
      <c r="EY107" s="780"/>
      <c r="EZ107" s="780"/>
      <c r="FA107" s="780"/>
      <c r="FB107" s="780"/>
      <c r="FC107" s="780"/>
      <c r="FD107" s="780"/>
      <c r="FE107" s="781"/>
    </row>
    <row r="108" spans="1:163" ht="12.75" customHeight="1" x14ac:dyDescent="0.2">
      <c r="A108" s="770" t="s">
        <v>965</v>
      </c>
      <c r="B108" s="771"/>
      <c r="C108" s="771"/>
      <c r="D108" s="771"/>
      <c r="E108" s="771"/>
      <c r="F108" s="771"/>
      <c r="G108" s="771"/>
      <c r="H108" s="771"/>
      <c r="I108" s="771"/>
      <c r="J108" s="771"/>
      <c r="K108" s="771"/>
      <c r="L108" s="771"/>
      <c r="M108" s="771"/>
      <c r="N108" s="771"/>
      <c r="O108" s="771"/>
      <c r="P108" s="771"/>
      <c r="Q108" s="771"/>
      <c r="R108" s="771"/>
      <c r="S108" s="771"/>
      <c r="T108" s="771"/>
      <c r="U108" s="771"/>
      <c r="V108" s="771"/>
      <c r="W108" s="771"/>
      <c r="X108" s="771"/>
      <c r="Y108" s="771"/>
      <c r="Z108" s="771"/>
      <c r="AA108" s="771"/>
      <c r="AB108" s="771"/>
      <c r="AC108" s="771"/>
      <c r="AD108" s="771"/>
      <c r="AE108" s="771"/>
      <c r="AF108" s="771"/>
      <c r="AG108" s="771"/>
      <c r="AH108" s="771"/>
      <c r="AI108" s="771"/>
      <c r="AJ108" s="771"/>
      <c r="AK108" s="771"/>
      <c r="AL108" s="771"/>
      <c r="AM108" s="771"/>
      <c r="AN108" s="771"/>
      <c r="AO108" s="771"/>
      <c r="AP108" s="771"/>
      <c r="AQ108" s="771"/>
      <c r="AR108" s="771"/>
      <c r="AS108" s="771"/>
      <c r="AT108" s="771"/>
      <c r="AU108" s="771"/>
      <c r="AV108" s="771"/>
      <c r="AW108" s="771"/>
      <c r="AX108" s="771"/>
      <c r="AY108" s="771"/>
      <c r="AZ108" s="771"/>
      <c r="BA108" s="771"/>
      <c r="BB108" s="771"/>
      <c r="BC108" s="771"/>
      <c r="BD108" s="771"/>
      <c r="BE108" s="771"/>
      <c r="BF108" s="771"/>
      <c r="BG108" s="771"/>
      <c r="BH108" s="771"/>
      <c r="BI108" s="771"/>
      <c r="BJ108" s="771"/>
      <c r="BK108" s="771"/>
      <c r="BL108" s="771"/>
      <c r="BM108" s="771"/>
      <c r="BN108" s="771"/>
      <c r="BO108" s="771"/>
      <c r="BP108" s="771"/>
      <c r="BQ108" s="771"/>
      <c r="BR108" s="771"/>
      <c r="BS108" s="771"/>
      <c r="BT108" s="771"/>
      <c r="BU108" s="771"/>
      <c r="BV108" s="771"/>
      <c r="BW108" s="771"/>
      <c r="BX108" s="782" t="s">
        <v>966</v>
      </c>
      <c r="BY108" s="783"/>
      <c r="BZ108" s="783"/>
      <c r="CA108" s="783"/>
      <c r="CB108" s="783"/>
      <c r="CC108" s="783"/>
      <c r="CD108" s="783"/>
      <c r="CE108" s="784"/>
      <c r="CF108" s="785"/>
      <c r="CG108" s="783"/>
      <c r="CH108" s="783"/>
      <c r="CI108" s="783"/>
      <c r="CJ108" s="783"/>
      <c r="CK108" s="783"/>
      <c r="CL108" s="783"/>
      <c r="CM108" s="783"/>
      <c r="CN108" s="783"/>
      <c r="CO108" s="783"/>
      <c r="CP108" s="783"/>
      <c r="CQ108" s="783"/>
      <c r="CR108" s="784"/>
      <c r="CS108" s="785"/>
      <c r="CT108" s="783"/>
      <c r="CU108" s="783"/>
      <c r="CV108" s="783"/>
      <c r="CW108" s="783"/>
      <c r="CX108" s="783"/>
      <c r="CY108" s="783"/>
      <c r="CZ108" s="783"/>
      <c r="DA108" s="783"/>
      <c r="DB108" s="783"/>
      <c r="DC108" s="783"/>
      <c r="DD108" s="783"/>
      <c r="DE108" s="784"/>
      <c r="DF108" s="776"/>
      <c r="DG108" s="777"/>
      <c r="DH108" s="777"/>
      <c r="DI108" s="777"/>
      <c r="DJ108" s="777"/>
      <c r="DK108" s="777"/>
      <c r="DL108" s="777"/>
      <c r="DM108" s="777"/>
      <c r="DN108" s="777"/>
      <c r="DO108" s="777"/>
      <c r="DP108" s="777"/>
      <c r="DQ108" s="777"/>
      <c r="DR108" s="778"/>
      <c r="DS108" s="776"/>
      <c r="DT108" s="777"/>
      <c r="DU108" s="777"/>
      <c r="DV108" s="777"/>
      <c r="DW108" s="777"/>
      <c r="DX108" s="777"/>
      <c r="DY108" s="777"/>
      <c r="DZ108" s="777"/>
      <c r="EA108" s="777"/>
      <c r="EB108" s="777"/>
      <c r="EC108" s="777"/>
      <c r="ED108" s="777"/>
      <c r="EE108" s="778"/>
      <c r="EF108" s="776"/>
      <c r="EG108" s="777"/>
      <c r="EH108" s="777"/>
      <c r="EI108" s="777"/>
      <c r="EJ108" s="777"/>
      <c r="EK108" s="777"/>
      <c r="EL108" s="777"/>
      <c r="EM108" s="777"/>
      <c r="EN108" s="777"/>
      <c r="EO108" s="777"/>
      <c r="EP108" s="777"/>
      <c r="EQ108" s="777"/>
      <c r="ER108" s="778"/>
      <c r="ES108" s="779" t="s">
        <v>74</v>
      </c>
      <c r="ET108" s="780"/>
      <c r="EU108" s="780"/>
      <c r="EV108" s="780"/>
      <c r="EW108" s="780"/>
      <c r="EX108" s="780"/>
      <c r="EY108" s="780"/>
      <c r="EZ108" s="780"/>
      <c r="FA108" s="780"/>
      <c r="FB108" s="780"/>
      <c r="FC108" s="780"/>
      <c r="FD108" s="780"/>
      <c r="FE108" s="781"/>
    </row>
    <row r="109" spans="1:163" ht="12.75" customHeight="1" x14ac:dyDescent="0.2">
      <c r="A109" s="770" t="s">
        <v>967</v>
      </c>
      <c r="B109" s="771"/>
      <c r="C109" s="771"/>
      <c r="D109" s="771"/>
      <c r="E109" s="771"/>
      <c r="F109" s="771"/>
      <c r="G109" s="771"/>
      <c r="H109" s="771"/>
      <c r="I109" s="771"/>
      <c r="J109" s="771"/>
      <c r="K109" s="771"/>
      <c r="L109" s="771"/>
      <c r="M109" s="771"/>
      <c r="N109" s="771"/>
      <c r="O109" s="771"/>
      <c r="P109" s="771"/>
      <c r="Q109" s="771"/>
      <c r="R109" s="771"/>
      <c r="S109" s="771"/>
      <c r="T109" s="771"/>
      <c r="U109" s="771"/>
      <c r="V109" s="771"/>
      <c r="W109" s="771"/>
      <c r="X109" s="771"/>
      <c r="Y109" s="771"/>
      <c r="Z109" s="771"/>
      <c r="AA109" s="771"/>
      <c r="AB109" s="771"/>
      <c r="AC109" s="771"/>
      <c r="AD109" s="771"/>
      <c r="AE109" s="771"/>
      <c r="AF109" s="771"/>
      <c r="AG109" s="771"/>
      <c r="AH109" s="771"/>
      <c r="AI109" s="771"/>
      <c r="AJ109" s="771"/>
      <c r="AK109" s="771"/>
      <c r="AL109" s="771"/>
      <c r="AM109" s="771"/>
      <c r="AN109" s="771"/>
      <c r="AO109" s="771"/>
      <c r="AP109" s="771"/>
      <c r="AQ109" s="771"/>
      <c r="AR109" s="771"/>
      <c r="AS109" s="771"/>
      <c r="AT109" s="771"/>
      <c r="AU109" s="771"/>
      <c r="AV109" s="771"/>
      <c r="AW109" s="771"/>
      <c r="AX109" s="771"/>
      <c r="AY109" s="771"/>
      <c r="AZ109" s="771"/>
      <c r="BA109" s="771"/>
      <c r="BB109" s="771"/>
      <c r="BC109" s="771"/>
      <c r="BD109" s="771"/>
      <c r="BE109" s="771"/>
      <c r="BF109" s="771"/>
      <c r="BG109" s="771"/>
      <c r="BH109" s="771"/>
      <c r="BI109" s="771"/>
      <c r="BJ109" s="771"/>
      <c r="BK109" s="771"/>
      <c r="BL109" s="771"/>
      <c r="BM109" s="771"/>
      <c r="BN109" s="771"/>
      <c r="BO109" s="771"/>
      <c r="BP109" s="771"/>
      <c r="BQ109" s="771"/>
      <c r="BR109" s="771"/>
      <c r="BS109" s="771"/>
      <c r="BT109" s="771"/>
      <c r="BU109" s="771"/>
      <c r="BV109" s="771"/>
      <c r="BW109" s="771"/>
      <c r="BX109" s="782" t="s">
        <v>968</v>
      </c>
      <c r="BY109" s="783"/>
      <c r="BZ109" s="783"/>
      <c r="CA109" s="783"/>
      <c r="CB109" s="783"/>
      <c r="CC109" s="783"/>
      <c r="CD109" s="783"/>
      <c r="CE109" s="784"/>
      <c r="CF109" s="785"/>
      <c r="CG109" s="783"/>
      <c r="CH109" s="783"/>
      <c r="CI109" s="783"/>
      <c r="CJ109" s="783"/>
      <c r="CK109" s="783"/>
      <c r="CL109" s="783"/>
      <c r="CM109" s="783"/>
      <c r="CN109" s="783"/>
      <c r="CO109" s="783"/>
      <c r="CP109" s="783"/>
      <c r="CQ109" s="783"/>
      <c r="CR109" s="784"/>
      <c r="CS109" s="785"/>
      <c r="CT109" s="783"/>
      <c r="CU109" s="783"/>
      <c r="CV109" s="783"/>
      <c r="CW109" s="783"/>
      <c r="CX109" s="783"/>
      <c r="CY109" s="783"/>
      <c r="CZ109" s="783"/>
      <c r="DA109" s="783"/>
      <c r="DB109" s="783"/>
      <c r="DC109" s="783"/>
      <c r="DD109" s="783"/>
      <c r="DE109" s="784"/>
      <c r="DF109" s="776"/>
      <c r="DG109" s="777"/>
      <c r="DH109" s="777"/>
      <c r="DI109" s="777"/>
      <c r="DJ109" s="777"/>
      <c r="DK109" s="777"/>
      <c r="DL109" s="777"/>
      <c r="DM109" s="777"/>
      <c r="DN109" s="777"/>
      <c r="DO109" s="777"/>
      <c r="DP109" s="777"/>
      <c r="DQ109" s="777"/>
      <c r="DR109" s="778"/>
      <c r="DS109" s="776"/>
      <c r="DT109" s="777"/>
      <c r="DU109" s="777"/>
      <c r="DV109" s="777"/>
      <c r="DW109" s="777"/>
      <c r="DX109" s="777"/>
      <c r="DY109" s="777"/>
      <c r="DZ109" s="777"/>
      <c r="EA109" s="777"/>
      <c r="EB109" s="777"/>
      <c r="EC109" s="777"/>
      <c r="ED109" s="777"/>
      <c r="EE109" s="778"/>
      <c r="EF109" s="776"/>
      <c r="EG109" s="777"/>
      <c r="EH109" s="777"/>
      <c r="EI109" s="777"/>
      <c r="EJ109" s="777"/>
      <c r="EK109" s="777"/>
      <c r="EL109" s="777"/>
      <c r="EM109" s="777"/>
      <c r="EN109" s="777"/>
      <c r="EO109" s="777"/>
      <c r="EP109" s="777"/>
      <c r="EQ109" s="777"/>
      <c r="ER109" s="778"/>
      <c r="ES109" s="779" t="s">
        <v>74</v>
      </c>
      <c r="ET109" s="780"/>
      <c r="EU109" s="780"/>
      <c r="EV109" s="780"/>
      <c r="EW109" s="780"/>
      <c r="EX109" s="780"/>
      <c r="EY109" s="780"/>
      <c r="EZ109" s="780"/>
      <c r="FA109" s="780"/>
      <c r="FB109" s="780"/>
      <c r="FC109" s="780"/>
      <c r="FD109" s="780"/>
      <c r="FE109" s="781"/>
    </row>
    <row r="110" spans="1:163" ht="12.75" customHeight="1" x14ac:dyDescent="0.2">
      <c r="A110" s="786" t="s">
        <v>969</v>
      </c>
      <c r="B110" s="786"/>
      <c r="C110" s="786"/>
      <c r="D110" s="786"/>
      <c r="E110" s="786"/>
      <c r="F110" s="786"/>
      <c r="G110" s="786"/>
      <c r="H110" s="786"/>
      <c r="I110" s="786"/>
      <c r="J110" s="786"/>
      <c r="K110" s="786"/>
      <c r="L110" s="786"/>
      <c r="M110" s="786"/>
      <c r="N110" s="786"/>
      <c r="O110" s="786"/>
      <c r="P110" s="786"/>
      <c r="Q110" s="786"/>
      <c r="R110" s="786"/>
      <c r="S110" s="786"/>
      <c r="T110" s="786"/>
      <c r="U110" s="786"/>
      <c r="V110" s="786"/>
      <c r="W110" s="786"/>
      <c r="X110" s="786"/>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6"/>
      <c r="AY110" s="786"/>
      <c r="AZ110" s="786"/>
      <c r="BA110" s="786"/>
      <c r="BB110" s="786"/>
      <c r="BC110" s="786"/>
      <c r="BD110" s="786"/>
      <c r="BE110" s="786"/>
      <c r="BF110" s="786"/>
      <c r="BG110" s="786"/>
      <c r="BH110" s="786"/>
      <c r="BI110" s="786"/>
      <c r="BJ110" s="786"/>
      <c r="BK110" s="786"/>
      <c r="BL110" s="786"/>
      <c r="BM110" s="786"/>
      <c r="BN110" s="786"/>
      <c r="BO110" s="786"/>
      <c r="BP110" s="786"/>
      <c r="BQ110" s="786"/>
      <c r="BR110" s="786"/>
      <c r="BS110" s="786"/>
      <c r="BT110" s="786"/>
      <c r="BU110" s="786"/>
      <c r="BV110" s="786"/>
      <c r="BW110" s="786"/>
      <c r="BX110" s="787" t="s">
        <v>970</v>
      </c>
      <c r="BY110" s="788"/>
      <c r="BZ110" s="788"/>
      <c r="CA110" s="788"/>
      <c r="CB110" s="788"/>
      <c r="CC110" s="788"/>
      <c r="CD110" s="788"/>
      <c r="CE110" s="789"/>
      <c r="CF110" s="790" t="s">
        <v>74</v>
      </c>
      <c r="CG110" s="788"/>
      <c r="CH110" s="788"/>
      <c r="CI110" s="788"/>
      <c r="CJ110" s="788"/>
      <c r="CK110" s="788"/>
      <c r="CL110" s="788"/>
      <c r="CM110" s="788"/>
      <c r="CN110" s="788"/>
      <c r="CO110" s="788"/>
      <c r="CP110" s="788"/>
      <c r="CQ110" s="788"/>
      <c r="CR110" s="789"/>
      <c r="CS110" s="785"/>
      <c r="CT110" s="783"/>
      <c r="CU110" s="783"/>
      <c r="CV110" s="783"/>
      <c r="CW110" s="783"/>
      <c r="CX110" s="783"/>
      <c r="CY110" s="783"/>
      <c r="CZ110" s="783"/>
      <c r="DA110" s="783"/>
      <c r="DB110" s="783"/>
      <c r="DC110" s="783"/>
      <c r="DD110" s="783"/>
      <c r="DE110" s="784"/>
      <c r="DF110" s="776"/>
      <c r="DG110" s="777"/>
      <c r="DH110" s="777"/>
      <c r="DI110" s="777"/>
      <c r="DJ110" s="777"/>
      <c r="DK110" s="777"/>
      <c r="DL110" s="777"/>
      <c r="DM110" s="777"/>
      <c r="DN110" s="777"/>
      <c r="DO110" s="777"/>
      <c r="DP110" s="777"/>
      <c r="DQ110" s="777"/>
      <c r="DR110" s="778"/>
      <c r="DS110" s="776"/>
      <c r="DT110" s="777"/>
      <c r="DU110" s="777"/>
      <c r="DV110" s="777"/>
      <c r="DW110" s="777"/>
      <c r="DX110" s="777"/>
      <c r="DY110" s="777"/>
      <c r="DZ110" s="777"/>
      <c r="EA110" s="777"/>
      <c r="EB110" s="777"/>
      <c r="EC110" s="777"/>
      <c r="ED110" s="777"/>
      <c r="EE110" s="778"/>
      <c r="EF110" s="776"/>
      <c r="EG110" s="777"/>
      <c r="EH110" s="777"/>
      <c r="EI110" s="777"/>
      <c r="EJ110" s="777"/>
      <c r="EK110" s="777"/>
      <c r="EL110" s="777"/>
      <c r="EM110" s="777"/>
      <c r="EN110" s="777"/>
      <c r="EO110" s="777"/>
      <c r="EP110" s="777"/>
      <c r="EQ110" s="777"/>
      <c r="ER110" s="778"/>
      <c r="ES110" s="779" t="s">
        <v>74</v>
      </c>
      <c r="ET110" s="780"/>
      <c r="EU110" s="780"/>
      <c r="EV110" s="780"/>
      <c r="EW110" s="780"/>
      <c r="EX110" s="780"/>
      <c r="EY110" s="780"/>
      <c r="EZ110" s="780"/>
      <c r="FA110" s="780"/>
      <c r="FB110" s="780"/>
      <c r="FC110" s="780"/>
      <c r="FD110" s="780"/>
      <c r="FE110" s="781"/>
    </row>
    <row r="111" spans="1:163" ht="22.5" customHeight="1" x14ac:dyDescent="0.2">
      <c r="A111" s="770" t="s">
        <v>971</v>
      </c>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771"/>
      <c r="AA111" s="771"/>
      <c r="AB111" s="771"/>
      <c r="AC111" s="771"/>
      <c r="AD111" s="771"/>
      <c r="AE111" s="771"/>
      <c r="AF111" s="771"/>
      <c r="AG111" s="771"/>
      <c r="AH111" s="771"/>
      <c r="AI111" s="771"/>
      <c r="AJ111" s="771"/>
      <c r="AK111" s="771"/>
      <c r="AL111" s="771"/>
      <c r="AM111" s="771"/>
      <c r="AN111" s="771"/>
      <c r="AO111" s="771"/>
      <c r="AP111" s="771"/>
      <c r="AQ111" s="771"/>
      <c r="AR111" s="771"/>
      <c r="AS111" s="771"/>
      <c r="AT111" s="771"/>
      <c r="AU111" s="771"/>
      <c r="AV111" s="771"/>
      <c r="AW111" s="771"/>
      <c r="AX111" s="771"/>
      <c r="AY111" s="771"/>
      <c r="AZ111" s="771"/>
      <c r="BA111" s="771"/>
      <c r="BB111" s="771"/>
      <c r="BC111" s="771"/>
      <c r="BD111" s="771"/>
      <c r="BE111" s="771"/>
      <c r="BF111" s="771"/>
      <c r="BG111" s="771"/>
      <c r="BH111" s="771"/>
      <c r="BI111" s="771"/>
      <c r="BJ111" s="771"/>
      <c r="BK111" s="771"/>
      <c r="BL111" s="771"/>
      <c r="BM111" s="771"/>
      <c r="BN111" s="771"/>
      <c r="BO111" s="771"/>
      <c r="BP111" s="771"/>
      <c r="BQ111" s="771"/>
      <c r="BR111" s="771"/>
      <c r="BS111" s="771"/>
      <c r="BT111" s="771"/>
      <c r="BU111" s="771"/>
      <c r="BV111" s="771"/>
      <c r="BW111" s="771"/>
      <c r="BX111" s="782" t="s">
        <v>972</v>
      </c>
      <c r="BY111" s="783"/>
      <c r="BZ111" s="783"/>
      <c r="CA111" s="783"/>
      <c r="CB111" s="783"/>
      <c r="CC111" s="783"/>
      <c r="CD111" s="783"/>
      <c r="CE111" s="784"/>
      <c r="CF111" s="785" t="s">
        <v>973</v>
      </c>
      <c r="CG111" s="783"/>
      <c r="CH111" s="783"/>
      <c r="CI111" s="783"/>
      <c r="CJ111" s="783"/>
      <c r="CK111" s="783"/>
      <c r="CL111" s="783"/>
      <c r="CM111" s="783"/>
      <c r="CN111" s="783"/>
      <c r="CO111" s="783"/>
      <c r="CP111" s="783"/>
      <c r="CQ111" s="783"/>
      <c r="CR111" s="784"/>
      <c r="CS111" s="785"/>
      <c r="CT111" s="783"/>
      <c r="CU111" s="783"/>
      <c r="CV111" s="783"/>
      <c r="CW111" s="783"/>
      <c r="CX111" s="783"/>
      <c r="CY111" s="783"/>
      <c r="CZ111" s="783"/>
      <c r="DA111" s="783"/>
      <c r="DB111" s="783"/>
      <c r="DC111" s="783"/>
      <c r="DD111" s="783"/>
      <c r="DE111" s="784"/>
      <c r="DF111" s="776"/>
      <c r="DG111" s="777"/>
      <c r="DH111" s="777"/>
      <c r="DI111" s="777"/>
      <c r="DJ111" s="777"/>
      <c r="DK111" s="777"/>
      <c r="DL111" s="777"/>
      <c r="DM111" s="777"/>
      <c r="DN111" s="777"/>
      <c r="DO111" s="777"/>
      <c r="DP111" s="777"/>
      <c r="DQ111" s="777"/>
      <c r="DR111" s="778"/>
      <c r="DS111" s="776"/>
      <c r="DT111" s="777"/>
      <c r="DU111" s="777"/>
      <c r="DV111" s="777"/>
      <c r="DW111" s="777"/>
      <c r="DX111" s="777"/>
      <c r="DY111" s="777"/>
      <c r="DZ111" s="777"/>
      <c r="EA111" s="777"/>
      <c r="EB111" s="777"/>
      <c r="EC111" s="777"/>
      <c r="ED111" s="777"/>
      <c r="EE111" s="778"/>
      <c r="EF111" s="776"/>
      <c r="EG111" s="777"/>
      <c r="EH111" s="777"/>
      <c r="EI111" s="777"/>
      <c r="EJ111" s="777"/>
      <c r="EK111" s="777"/>
      <c r="EL111" s="777"/>
      <c r="EM111" s="777"/>
      <c r="EN111" s="777"/>
      <c r="EO111" s="777"/>
      <c r="EP111" s="777"/>
      <c r="EQ111" s="777"/>
      <c r="ER111" s="778"/>
      <c r="ES111" s="779" t="s">
        <v>74</v>
      </c>
      <c r="ET111" s="780"/>
      <c r="EU111" s="780"/>
      <c r="EV111" s="780"/>
      <c r="EW111" s="780"/>
      <c r="EX111" s="780"/>
      <c r="EY111" s="780"/>
      <c r="EZ111" s="780"/>
      <c r="FA111" s="780"/>
      <c r="FB111" s="780"/>
      <c r="FC111" s="780"/>
      <c r="FD111" s="780"/>
      <c r="FE111" s="781"/>
    </row>
    <row r="112" spans="1:163" ht="11.25" customHeight="1" thickBot="1" x14ac:dyDescent="0.25">
      <c r="A112" s="770"/>
      <c r="B112" s="771"/>
      <c r="C112" s="771"/>
      <c r="D112" s="771"/>
      <c r="E112" s="771"/>
      <c r="F112" s="771"/>
      <c r="G112" s="771"/>
      <c r="H112" s="771"/>
      <c r="I112" s="771"/>
      <c r="J112" s="771"/>
      <c r="K112" s="771"/>
      <c r="L112" s="771"/>
      <c r="M112" s="771"/>
      <c r="N112" s="771"/>
      <c r="O112" s="771"/>
      <c r="P112" s="771"/>
      <c r="Q112" s="771"/>
      <c r="R112" s="771"/>
      <c r="S112" s="771"/>
      <c r="T112" s="771"/>
      <c r="U112" s="771"/>
      <c r="V112" s="771"/>
      <c r="W112" s="771"/>
      <c r="X112" s="771"/>
      <c r="Y112" s="771"/>
      <c r="Z112" s="771"/>
      <c r="AA112" s="771"/>
      <c r="AB112" s="771"/>
      <c r="AC112" s="771"/>
      <c r="AD112" s="771"/>
      <c r="AE112" s="771"/>
      <c r="AF112" s="771"/>
      <c r="AG112" s="771"/>
      <c r="AH112" s="771"/>
      <c r="AI112" s="771"/>
      <c r="AJ112" s="771"/>
      <c r="AK112" s="771"/>
      <c r="AL112" s="771"/>
      <c r="AM112" s="771"/>
      <c r="AN112" s="771"/>
      <c r="AO112" s="771"/>
      <c r="AP112" s="771"/>
      <c r="AQ112" s="771"/>
      <c r="AR112" s="771"/>
      <c r="AS112" s="771"/>
      <c r="AT112" s="771"/>
      <c r="AU112" s="771"/>
      <c r="AV112" s="771"/>
      <c r="AW112" s="771"/>
      <c r="AX112" s="771"/>
      <c r="AY112" s="771"/>
      <c r="AZ112" s="771"/>
      <c r="BA112" s="771"/>
      <c r="BB112" s="771"/>
      <c r="BC112" s="771"/>
      <c r="BD112" s="771"/>
      <c r="BE112" s="771"/>
      <c r="BF112" s="771"/>
      <c r="BG112" s="771"/>
      <c r="BH112" s="771"/>
      <c r="BI112" s="771"/>
      <c r="BJ112" s="771"/>
      <c r="BK112" s="771"/>
      <c r="BL112" s="771"/>
      <c r="BM112" s="771"/>
      <c r="BN112" s="771"/>
      <c r="BO112" s="771"/>
      <c r="BP112" s="771"/>
      <c r="BQ112" s="771"/>
      <c r="BR112" s="771"/>
      <c r="BS112" s="771"/>
      <c r="BT112" s="771"/>
      <c r="BU112" s="771"/>
      <c r="BV112" s="771"/>
      <c r="BW112" s="771"/>
      <c r="BX112" s="772"/>
      <c r="BY112" s="773"/>
      <c r="BZ112" s="773"/>
      <c r="CA112" s="773"/>
      <c r="CB112" s="773"/>
      <c r="CC112" s="773"/>
      <c r="CD112" s="773"/>
      <c r="CE112" s="774"/>
      <c r="CF112" s="775"/>
      <c r="CG112" s="773"/>
      <c r="CH112" s="773"/>
      <c r="CI112" s="773"/>
      <c r="CJ112" s="773"/>
      <c r="CK112" s="773"/>
      <c r="CL112" s="773"/>
      <c r="CM112" s="773"/>
      <c r="CN112" s="773"/>
      <c r="CO112" s="773"/>
      <c r="CP112" s="773"/>
      <c r="CQ112" s="773"/>
      <c r="CR112" s="774"/>
      <c r="CS112" s="775"/>
      <c r="CT112" s="773"/>
      <c r="CU112" s="773"/>
      <c r="CV112" s="773"/>
      <c r="CW112" s="773"/>
      <c r="CX112" s="773"/>
      <c r="CY112" s="773"/>
      <c r="CZ112" s="773"/>
      <c r="DA112" s="773"/>
      <c r="DB112" s="773"/>
      <c r="DC112" s="773"/>
      <c r="DD112" s="773"/>
      <c r="DE112" s="774"/>
      <c r="DF112" s="764"/>
      <c r="DG112" s="765"/>
      <c r="DH112" s="765"/>
      <c r="DI112" s="765"/>
      <c r="DJ112" s="765"/>
      <c r="DK112" s="765"/>
      <c r="DL112" s="765"/>
      <c r="DM112" s="765"/>
      <c r="DN112" s="765"/>
      <c r="DO112" s="765"/>
      <c r="DP112" s="765"/>
      <c r="DQ112" s="765"/>
      <c r="DR112" s="766"/>
      <c r="DS112" s="764"/>
      <c r="DT112" s="765"/>
      <c r="DU112" s="765"/>
      <c r="DV112" s="765"/>
      <c r="DW112" s="765"/>
      <c r="DX112" s="765"/>
      <c r="DY112" s="765"/>
      <c r="DZ112" s="765"/>
      <c r="EA112" s="765"/>
      <c r="EB112" s="765"/>
      <c r="EC112" s="765"/>
      <c r="ED112" s="765"/>
      <c r="EE112" s="766"/>
      <c r="EF112" s="764"/>
      <c r="EG112" s="765"/>
      <c r="EH112" s="765"/>
      <c r="EI112" s="765"/>
      <c r="EJ112" s="765"/>
      <c r="EK112" s="765"/>
      <c r="EL112" s="765"/>
      <c r="EM112" s="765"/>
      <c r="EN112" s="765"/>
      <c r="EO112" s="765"/>
      <c r="EP112" s="765"/>
      <c r="EQ112" s="765"/>
      <c r="ER112" s="766"/>
      <c r="ES112" s="767"/>
      <c r="ET112" s="768"/>
      <c r="EU112" s="768"/>
      <c r="EV112" s="768"/>
      <c r="EW112" s="768"/>
      <c r="EX112" s="768"/>
      <c r="EY112" s="768"/>
      <c r="EZ112" s="768"/>
      <c r="FA112" s="768"/>
      <c r="FB112" s="768"/>
      <c r="FC112" s="768"/>
      <c r="FD112" s="768"/>
      <c r="FE112" s="769"/>
    </row>
    <row r="113" spans="1:161" ht="3" customHeight="1" x14ac:dyDescent="0.2"/>
    <row r="114" spans="1:161" s="481" customFormat="1" ht="12" customHeight="1" x14ac:dyDescent="0.2">
      <c r="A114" s="492" t="s">
        <v>974</v>
      </c>
    </row>
    <row r="115" spans="1:161" s="481" customFormat="1" ht="11.25" customHeight="1" x14ac:dyDescent="0.2">
      <c r="A115" s="492" t="s">
        <v>975</v>
      </c>
    </row>
    <row r="116" spans="1:161" s="481" customFormat="1" ht="11.25" customHeight="1" x14ac:dyDescent="0.2">
      <c r="A116" s="492" t="s">
        <v>976</v>
      </c>
    </row>
    <row r="117" spans="1:161" s="481" customFormat="1" ht="10.5" customHeight="1" x14ac:dyDescent="0.2">
      <c r="A117" s="492" t="s">
        <v>977</v>
      </c>
    </row>
    <row r="118" spans="1:161" s="481" customFormat="1" ht="10.5" customHeight="1" x14ac:dyDescent="0.2">
      <c r="A118" s="492" t="s">
        <v>978</v>
      </c>
    </row>
    <row r="119" spans="1:161" s="481" customFormat="1" ht="10.5" customHeight="1" x14ac:dyDescent="0.2">
      <c r="A119" s="492" t="s">
        <v>979</v>
      </c>
    </row>
    <row r="120" spans="1:161" s="481" customFormat="1" ht="19.5" customHeight="1" x14ac:dyDescent="0.2">
      <c r="A120" s="763" t="s">
        <v>980</v>
      </c>
      <c r="B120" s="763"/>
      <c r="C120" s="763"/>
      <c r="D120" s="763"/>
      <c r="E120" s="763"/>
      <c r="F120" s="763"/>
      <c r="G120" s="763"/>
      <c r="H120" s="763"/>
      <c r="I120" s="763"/>
      <c r="J120" s="763"/>
      <c r="K120" s="763"/>
      <c r="L120" s="763"/>
      <c r="M120" s="763"/>
      <c r="N120" s="763"/>
      <c r="O120" s="763"/>
      <c r="P120" s="763"/>
      <c r="Q120" s="763"/>
      <c r="R120" s="763"/>
      <c r="S120" s="763"/>
      <c r="T120" s="763"/>
      <c r="U120" s="763"/>
      <c r="V120" s="763"/>
      <c r="W120" s="763"/>
      <c r="X120" s="763"/>
      <c r="Y120" s="763"/>
      <c r="Z120" s="763"/>
      <c r="AA120" s="763"/>
      <c r="AB120" s="763"/>
      <c r="AC120" s="763"/>
      <c r="AD120" s="763"/>
      <c r="AE120" s="763"/>
      <c r="AF120" s="763"/>
      <c r="AG120" s="763"/>
      <c r="AH120" s="763"/>
      <c r="AI120" s="763"/>
      <c r="AJ120" s="763"/>
      <c r="AK120" s="763"/>
      <c r="AL120" s="763"/>
      <c r="AM120" s="763"/>
      <c r="AN120" s="763"/>
      <c r="AO120" s="763"/>
      <c r="AP120" s="763"/>
      <c r="AQ120" s="763"/>
      <c r="AR120" s="763"/>
      <c r="AS120" s="763"/>
      <c r="AT120" s="763"/>
      <c r="AU120" s="763"/>
      <c r="AV120" s="763"/>
      <c r="AW120" s="763"/>
      <c r="AX120" s="763"/>
      <c r="AY120" s="763"/>
      <c r="AZ120" s="763"/>
      <c r="BA120" s="763"/>
      <c r="BB120" s="763"/>
      <c r="BC120" s="763"/>
      <c r="BD120" s="763"/>
      <c r="BE120" s="763"/>
      <c r="BF120" s="763"/>
      <c r="BG120" s="763"/>
      <c r="BH120" s="763"/>
      <c r="BI120" s="763"/>
      <c r="BJ120" s="763"/>
      <c r="BK120" s="763"/>
      <c r="BL120" s="763"/>
      <c r="BM120" s="763"/>
      <c r="BN120" s="763"/>
      <c r="BO120" s="763"/>
      <c r="BP120" s="763"/>
      <c r="BQ120" s="763"/>
      <c r="BR120" s="763"/>
      <c r="BS120" s="763"/>
      <c r="BT120" s="763"/>
      <c r="BU120" s="763"/>
      <c r="BV120" s="763"/>
      <c r="BW120" s="763"/>
      <c r="BX120" s="763"/>
      <c r="BY120" s="763"/>
      <c r="BZ120" s="763"/>
      <c r="CA120" s="763"/>
      <c r="CB120" s="763"/>
      <c r="CC120" s="763"/>
      <c r="CD120" s="763"/>
      <c r="CE120" s="763"/>
      <c r="CF120" s="763"/>
      <c r="CG120" s="763"/>
      <c r="CH120" s="763"/>
      <c r="CI120" s="763"/>
      <c r="CJ120" s="763"/>
      <c r="CK120" s="763"/>
      <c r="CL120" s="763"/>
      <c r="CM120" s="763"/>
      <c r="CN120" s="763"/>
      <c r="CO120" s="763"/>
      <c r="CP120" s="763"/>
      <c r="CQ120" s="763"/>
      <c r="CR120" s="763"/>
      <c r="CS120" s="763"/>
      <c r="CT120" s="763"/>
      <c r="CU120" s="763"/>
      <c r="CV120" s="763"/>
      <c r="CW120" s="763"/>
      <c r="CX120" s="763"/>
      <c r="CY120" s="763"/>
      <c r="CZ120" s="763"/>
      <c r="DA120" s="763"/>
      <c r="DB120" s="763"/>
      <c r="DC120" s="763"/>
      <c r="DD120" s="763"/>
      <c r="DE120" s="763"/>
      <c r="DF120" s="763"/>
      <c r="DG120" s="763"/>
      <c r="DH120" s="763"/>
      <c r="DI120" s="763"/>
      <c r="DJ120" s="763"/>
      <c r="DK120" s="763"/>
      <c r="DL120" s="763"/>
      <c r="DM120" s="763"/>
      <c r="DN120" s="763"/>
      <c r="DO120" s="763"/>
      <c r="DP120" s="763"/>
      <c r="DQ120" s="763"/>
      <c r="DR120" s="763"/>
      <c r="DS120" s="763"/>
      <c r="DT120" s="763"/>
      <c r="DU120" s="763"/>
      <c r="DV120" s="763"/>
      <c r="DW120" s="763"/>
      <c r="DX120" s="763"/>
      <c r="DY120" s="763"/>
      <c r="DZ120" s="763"/>
      <c r="EA120" s="763"/>
      <c r="EB120" s="763"/>
      <c r="EC120" s="763"/>
      <c r="ED120" s="763"/>
      <c r="EE120" s="763"/>
      <c r="EF120" s="763"/>
      <c r="EG120" s="763"/>
      <c r="EH120" s="763"/>
      <c r="EI120" s="763"/>
      <c r="EJ120" s="763"/>
      <c r="EK120" s="763"/>
      <c r="EL120" s="763"/>
      <c r="EM120" s="763"/>
      <c r="EN120" s="763"/>
      <c r="EO120" s="763"/>
      <c r="EP120" s="763"/>
      <c r="EQ120" s="763"/>
      <c r="ER120" s="763"/>
      <c r="ES120" s="763"/>
      <c r="ET120" s="763"/>
      <c r="EU120" s="763"/>
      <c r="EV120" s="763"/>
      <c r="EW120" s="763"/>
      <c r="EX120" s="763"/>
      <c r="EY120" s="763"/>
      <c r="EZ120" s="763"/>
      <c r="FA120" s="763"/>
      <c r="FB120" s="763"/>
      <c r="FC120" s="763"/>
      <c r="FD120" s="763"/>
      <c r="FE120" s="763"/>
    </row>
    <row r="121" spans="1:161" s="481" customFormat="1" ht="10.5" customHeight="1" x14ac:dyDescent="0.2">
      <c r="A121" s="492" t="s">
        <v>981</v>
      </c>
    </row>
    <row r="122" spans="1:161" s="481" customFormat="1" ht="30.75" customHeight="1" x14ac:dyDescent="0.2">
      <c r="A122" s="763" t="s">
        <v>982</v>
      </c>
      <c r="B122" s="763"/>
      <c r="C122" s="763"/>
      <c r="D122" s="763"/>
      <c r="E122" s="763"/>
      <c r="F122" s="763"/>
      <c r="G122" s="763"/>
      <c r="H122" s="763"/>
      <c r="I122" s="763"/>
      <c r="J122" s="763"/>
      <c r="K122" s="763"/>
      <c r="L122" s="763"/>
      <c r="M122" s="763"/>
      <c r="N122" s="763"/>
      <c r="O122" s="763"/>
      <c r="P122" s="763"/>
      <c r="Q122" s="763"/>
      <c r="R122" s="763"/>
      <c r="S122" s="763"/>
      <c r="T122" s="763"/>
      <c r="U122" s="763"/>
      <c r="V122" s="763"/>
      <c r="W122" s="763"/>
      <c r="X122" s="763"/>
      <c r="Y122" s="763"/>
      <c r="Z122" s="763"/>
      <c r="AA122" s="763"/>
      <c r="AB122" s="763"/>
      <c r="AC122" s="763"/>
      <c r="AD122" s="763"/>
      <c r="AE122" s="763"/>
      <c r="AF122" s="763"/>
      <c r="AG122" s="763"/>
      <c r="AH122" s="763"/>
      <c r="AI122" s="763"/>
      <c r="AJ122" s="763"/>
      <c r="AK122" s="763"/>
      <c r="AL122" s="763"/>
      <c r="AM122" s="763"/>
      <c r="AN122" s="763"/>
      <c r="AO122" s="763"/>
      <c r="AP122" s="763"/>
      <c r="AQ122" s="763"/>
      <c r="AR122" s="763"/>
      <c r="AS122" s="763"/>
      <c r="AT122" s="763"/>
      <c r="AU122" s="763"/>
      <c r="AV122" s="763"/>
      <c r="AW122" s="763"/>
      <c r="AX122" s="763"/>
      <c r="AY122" s="763"/>
      <c r="AZ122" s="763"/>
      <c r="BA122" s="763"/>
      <c r="BB122" s="763"/>
      <c r="BC122" s="763"/>
      <c r="BD122" s="763"/>
      <c r="BE122" s="763"/>
      <c r="BF122" s="763"/>
      <c r="BG122" s="763"/>
      <c r="BH122" s="763"/>
      <c r="BI122" s="763"/>
      <c r="BJ122" s="763"/>
      <c r="BK122" s="763"/>
      <c r="BL122" s="763"/>
      <c r="BM122" s="763"/>
      <c r="BN122" s="763"/>
      <c r="BO122" s="763"/>
      <c r="BP122" s="763"/>
      <c r="BQ122" s="763"/>
      <c r="BR122" s="763"/>
      <c r="BS122" s="763"/>
      <c r="BT122" s="763"/>
      <c r="BU122" s="763"/>
      <c r="BV122" s="763"/>
      <c r="BW122" s="763"/>
      <c r="BX122" s="763"/>
      <c r="BY122" s="763"/>
      <c r="BZ122" s="763"/>
      <c r="CA122" s="763"/>
      <c r="CB122" s="763"/>
      <c r="CC122" s="763"/>
      <c r="CD122" s="763"/>
      <c r="CE122" s="763"/>
      <c r="CF122" s="763"/>
      <c r="CG122" s="763"/>
      <c r="CH122" s="763"/>
      <c r="CI122" s="763"/>
      <c r="CJ122" s="763"/>
      <c r="CK122" s="763"/>
      <c r="CL122" s="763"/>
      <c r="CM122" s="763"/>
      <c r="CN122" s="763"/>
      <c r="CO122" s="763"/>
      <c r="CP122" s="763"/>
      <c r="CQ122" s="763"/>
      <c r="CR122" s="763"/>
      <c r="CS122" s="763"/>
      <c r="CT122" s="763"/>
      <c r="CU122" s="763"/>
      <c r="CV122" s="763"/>
      <c r="CW122" s="763"/>
      <c r="CX122" s="763"/>
      <c r="CY122" s="763"/>
      <c r="CZ122" s="763"/>
      <c r="DA122" s="763"/>
      <c r="DB122" s="763"/>
      <c r="DC122" s="763"/>
      <c r="DD122" s="763"/>
      <c r="DE122" s="763"/>
      <c r="DF122" s="763"/>
      <c r="DG122" s="763"/>
      <c r="DH122" s="763"/>
      <c r="DI122" s="763"/>
      <c r="DJ122" s="763"/>
      <c r="DK122" s="763"/>
      <c r="DL122" s="763"/>
      <c r="DM122" s="763"/>
      <c r="DN122" s="763"/>
      <c r="DO122" s="763"/>
      <c r="DP122" s="763"/>
      <c r="DQ122" s="763"/>
      <c r="DR122" s="763"/>
      <c r="DS122" s="763"/>
      <c r="DT122" s="763"/>
      <c r="DU122" s="763"/>
      <c r="DV122" s="763"/>
      <c r="DW122" s="763"/>
      <c r="DX122" s="763"/>
      <c r="DY122" s="763"/>
      <c r="DZ122" s="763"/>
      <c r="EA122" s="763"/>
      <c r="EB122" s="763"/>
      <c r="EC122" s="763"/>
      <c r="ED122" s="763"/>
      <c r="EE122" s="763"/>
      <c r="EF122" s="763"/>
      <c r="EG122" s="763"/>
      <c r="EH122" s="763"/>
      <c r="EI122" s="763"/>
      <c r="EJ122" s="763"/>
      <c r="EK122" s="763"/>
      <c r="EL122" s="763"/>
      <c r="EM122" s="763"/>
      <c r="EN122" s="763"/>
      <c r="EO122" s="763"/>
      <c r="EP122" s="763"/>
      <c r="EQ122" s="763"/>
      <c r="ER122" s="763"/>
      <c r="ES122" s="763"/>
      <c r="ET122" s="763"/>
      <c r="EU122" s="763"/>
      <c r="EV122" s="763"/>
      <c r="EW122" s="763"/>
      <c r="EX122" s="763"/>
      <c r="EY122" s="763"/>
      <c r="EZ122" s="763"/>
      <c r="FA122" s="763"/>
      <c r="FB122" s="763"/>
      <c r="FC122" s="763"/>
      <c r="FD122" s="763"/>
      <c r="FE122" s="763"/>
    </row>
    <row r="123" spans="1:161" s="481" customFormat="1" ht="20.25" customHeight="1" x14ac:dyDescent="0.2">
      <c r="A123" s="763" t="s">
        <v>983</v>
      </c>
      <c r="B123" s="763"/>
      <c r="C123" s="763"/>
      <c r="D123" s="763"/>
      <c r="E123" s="763"/>
      <c r="F123" s="763"/>
      <c r="G123" s="763"/>
      <c r="H123" s="763"/>
      <c r="I123" s="763"/>
      <c r="J123" s="763"/>
      <c r="K123" s="763"/>
      <c r="L123" s="763"/>
      <c r="M123" s="763"/>
      <c r="N123" s="763"/>
      <c r="O123" s="763"/>
      <c r="P123" s="763"/>
      <c r="Q123" s="763"/>
      <c r="R123" s="763"/>
      <c r="S123" s="763"/>
      <c r="T123" s="763"/>
      <c r="U123" s="763"/>
      <c r="V123" s="763"/>
      <c r="W123" s="763"/>
      <c r="X123" s="763"/>
      <c r="Y123" s="763"/>
      <c r="Z123" s="763"/>
      <c r="AA123" s="763"/>
      <c r="AB123" s="763"/>
      <c r="AC123" s="763"/>
      <c r="AD123" s="763"/>
      <c r="AE123" s="763"/>
      <c r="AF123" s="763"/>
      <c r="AG123" s="763"/>
      <c r="AH123" s="763"/>
      <c r="AI123" s="763"/>
      <c r="AJ123" s="763"/>
      <c r="AK123" s="763"/>
      <c r="AL123" s="763"/>
      <c r="AM123" s="763"/>
      <c r="AN123" s="763"/>
      <c r="AO123" s="763"/>
      <c r="AP123" s="763"/>
      <c r="AQ123" s="763"/>
      <c r="AR123" s="763"/>
      <c r="AS123" s="763"/>
      <c r="AT123" s="763"/>
      <c r="AU123" s="763"/>
      <c r="AV123" s="763"/>
      <c r="AW123" s="763"/>
      <c r="AX123" s="763"/>
      <c r="AY123" s="763"/>
      <c r="AZ123" s="763"/>
      <c r="BA123" s="763"/>
      <c r="BB123" s="763"/>
      <c r="BC123" s="763"/>
      <c r="BD123" s="763"/>
      <c r="BE123" s="763"/>
      <c r="BF123" s="763"/>
      <c r="BG123" s="763"/>
      <c r="BH123" s="763"/>
      <c r="BI123" s="763"/>
      <c r="BJ123" s="763"/>
      <c r="BK123" s="763"/>
      <c r="BL123" s="763"/>
      <c r="BM123" s="763"/>
      <c r="BN123" s="763"/>
      <c r="BO123" s="763"/>
      <c r="BP123" s="763"/>
      <c r="BQ123" s="763"/>
      <c r="BR123" s="763"/>
      <c r="BS123" s="763"/>
      <c r="BT123" s="763"/>
      <c r="BU123" s="763"/>
      <c r="BV123" s="763"/>
      <c r="BW123" s="763"/>
      <c r="BX123" s="763"/>
      <c r="BY123" s="763"/>
      <c r="BZ123" s="763"/>
      <c r="CA123" s="763"/>
      <c r="CB123" s="763"/>
      <c r="CC123" s="763"/>
      <c r="CD123" s="763"/>
      <c r="CE123" s="763"/>
      <c r="CF123" s="763"/>
      <c r="CG123" s="763"/>
      <c r="CH123" s="763"/>
      <c r="CI123" s="763"/>
      <c r="CJ123" s="763"/>
      <c r="CK123" s="763"/>
      <c r="CL123" s="763"/>
      <c r="CM123" s="763"/>
      <c r="CN123" s="763"/>
      <c r="CO123" s="763"/>
      <c r="CP123" s="763"/>
      <c r="CQ123" s="763"/>
      <c r="CR123" s="763"/>
      <c r="CS123" s="763"/>
      <c r="CT123" s="763"/>
      <c r="CU123" s="763"/>
      <c r="CV123" s="763"/>
      <c r="CW123" s="763"/>
      <c r="CX123" s="763"/>
      <c r="CY123" s="763"/>
      <c r="CZ123" s="763"/>
      <c r="DA123" s="763"/>
      <c r="DB123" s="763"/>
      <c r="DC123" s="763"/>
      <c r="DD123" s="763"/>
      <c r="DE123" s="763"/>
      <c r="DF123" s="763"/>
      <c r="DG123" s="763"/>
      <c r="DH123" s="763"/>
      <c r="DI123" s="763"/>
      <c r="DJ123" s="763"/>
      <c r="DK123" s="763"/>
      <c r="DL123" s="763"/>
      <c r="DM123" s="763"/>
      <c r="DN123" s="763"/>
      <c r="DO123" s="763"/>
      <c r="DP123" s="763"/>
      <c r="DQ123" s="763"/>
      <c r="DR123" s="763"/>
      <c r="DS123" s="763"/>
      <c r="DT123" s="763"/>
      <c r="DU123" s="763"/>
      <c r="DV123" s="763"/>
      <c r="DW123" s="763"/>
      <c r="DX123" s="763"/>
      <c r="DY123" s="763"/>
      <c r="DZ123" s="763"/>
      <c r="EA123" s="763"/>
      <c r="EB123" s="763"/>
      <c r="EC123" s="763"/>
      <c r="ED123" s="763"/>
      <c r="EE123" s="763"/>
      <c r="EF123" s="763"/>
      <c r="EG123" s="763"/>
      <c r="EH123" s="763"/>
      <c r="EI123" s="763"/>
      <c r="EJ123" s="763"/>
      <c r="EK123" s="763"/>
      <c r="EL123" s="763"/>
      <c r="EM123" s="763"/>
      <c r="EN123" s="763"/>
      <c r="EO123" s="763"/>
      <c r="EP123" s="763"/>
      <c r="EQ123" s="763"/>
      <c r="ER123" s="763"/>
      <c r="ES123" s="763"/>
      <c r="ET123" s="763"/>
      <c r="EU123" s="763"/>
      <c r="EV123" s="763"/>
      <c r="EW123" s="763"/>
      <c r="EX123" s="763"/>
      <c r="EY123" s="763"/>
      <c r="EZ123" s="763"/>
      <c r="FA123" s="763"/>
      <c r="FB123" s="763"/>
      <c r="FC123" s="763"/>
      <c r="FD123" s="763"/>
      <c r="FE123" s="763"/>
    </row>
    <row r="124" spans="1:161" s="481" customFormat="1" ht="30.75" customHeight="1" x14ac:dyDescent="0.2">
      <c r="A124" s="763" t="s">
        <v>984</v>
      </c>
      <c r="B124" s="763"/>
      <c r="C124" s="763"/>
      <c r="D124" s="763"/>
      <c r="E124" s="763"/>
      <c r="F124" s="763"/>
      <c r="G124" s="763"/>
      <c r="H124" s="763"/>
      <c r="I124" s="763"/>
      <c r="J124" s="763"/>
      <c r="K124" s="763"/>
      <c r="L124" s="763"/>
      <c r="M124" s="763"/>
      <c r="N124" s="763"/>
      <c r="O124" s="763"/>
      <c r="P124" s="763"/>
      <c r="Q124" s="763"/>
      <c r="R124" s="763"/>
      <c r="S124" s="763"/>
      <c r="T124" s="763"/>
      <c r="U124" s="763"/>
      <c r="V124" s="763"/>
      <c r="W124" s="763"/>
      <c r="X124" s="763"/>
      <c r="Y124" s="763"/>
      <c r="Z124" s="763"/>
      <c r="AA124" s="763"/>
      <c r="AB124" s="763"/>
      <c r="AC124" s="763"/>
      <c r="AD124" s="763"/>
      <c r="AE124" s="763"/>
      <c r="AF124" s="763"/>
      <c r="AG124" s="763"/>
      <c r="AH124" s="763"/>
      <c r="AI124" s="763"/>
      <c r="AJ124" s="763"/>
      <c r="AK124" s="763"/>
      <c r="AL124" s="763"/>
      <c r="AM124" s="763"/>
      <c r="AN124" s="763"/>
      <c r="AO124" s="763"/>
      <c r="AP124" s="763"/>
      <c r="AQ124" s="763"/>
      <c r="AR124" s="763"/>
      <c r="AS124" s="763"/>
      <c r="AT124" s="763"/>
      <c r="AU124" s="763"/>
      <c r="AV124" s="763"/>
      <c r="AW124" s="763"/>
      <c r="AX124" s="763"/>
      <c r="AY124" s="763"/>
      <c r="AZ124" s="763"/>
      <c r="BA124" s="763"/>
      <c r="BB124" s="763"/>
      <c r="BC124" s="763"/>
      <c r="BD124" s="763"/>
      <c r="BE124" s="763"/>
      <c r="BF124" s="763"/>
      <c r="BG124" s="763"/>
      <c r="BH124" s="763"/>
      <c r="BI124" s="763"/>
      <c r="BJ124" s="763"/>
      <c r="BK124" s="763"/>
      <c r="BL124" s="763"/>
      <c r="BM124" s="763"/>
      <c r="BN124" s="763"/>
      <c r="BO124" s="763"/>
      <c r="BP124" s="763"/>
      <c r="BQ124" s="763"/>
      <c r="BR124" s="763"/>
      <c r="BS124" s="763"/>
      <c r="BT124" s="763"/>
      <c r="BU124" s="763"/>
      <c r="BV124" s="763"/>
      <c r="BW124" s="763"/>
      <c r="BX124" s="763"/>
      <c r="BY124" s="763"/>
      <c r="BZ124" s="763"/>
      <c r="CA124" s="763"/>
      <c r="CB124" s="763"/>
      <c r="CC124" s="763"/>
      <c r="CD124" s="763"/>
      <c r="CE124" s="763"/>
      <c r="CF124" s="763"/>
      <c r="CG124" s="763"/>
      <c r="CH124" s="763"/>
      <c r="CI124" s="763"/>
      <c r="CJ124" s="763"/>
      <c r="CK124" s="763"/>
      <c r="CL124" s="763"/>
      <c r="CM124" s="763"/>
      <c r="CN124" s="763"/>
      <c r="CO124" s="763"/>
      <c r="CP124" s="763"/>
      <c r="CQ124" s="763"/>
      <c r="CR124" s="763"/>
      <c r="CS124" s="763"/>
      <c r="CT124" s="763"/>
      <c r="CU124" s="763"/>
      <c r="CV124" s="763"/>
      <c r="CW124" s="763"/>
      <c r="CX124" s="763"/>
      <c r="CY124" s="763"/>
      <c r="CZ124" s="763"/>
      <c r="DA124" s="763"/>
      <c r="DB124" s="763"/>
      <c r="DC124" s="763"/>
      <c r="DD124" s="763"/>
      <c r="DE124" s="763"/>
      <c r="DF124" s="763"/>
      <c r="DG124" s="763"/>
      <c r="DH124" s="763"/>
      <c r="DI124" s="763"/>
      <c r="DJ124" s="763"/>
      <c r="DK124" s="763"/>
      <c r="DL124" s="763"/>
      <c r="DM124" s="763"/>
      <c r="DN124" s="763"/>
      <c r="DO124" s="763"/>
      <c r="DP124" s="763"/>
      <c r="DQ124" s="763"/>
      <c r="DR124" s="763"/>
      <c r="DS124" s="763"/>
      <c r="DT124" s="763"/>
      <c r="DU124" s="763"/>
      <c r="DV124" s="763"/>
      <c r="DW124" s="763"/>
      <c r="DX124" s="763"/>
      <c r="DY124" s="763"/>
      <c r="DZ124" s="763"/>
      <c r="EA124" s="763"/>
      <c r="EB124" s="763"/>
      <c r="EC124" s="763"/>
      <c r="ED124" s="763"/>
      <c r="EE124" s="763"/>
      <c r="EF124" s="763"/>
      <c r="EG124" s="763"/>
      <c r="EH124" s="763"/>
      <c r="EI124" s="763"/>
      <c r="EJ124" s="763"/>
      <c r="EK124" s="763"/>
      <c r="EL124" s="763"/>
      <c r="EM124" s="763"/>
      <c r="EN124" s="763"/>
      <c r="EO124" s="763"/>
      <c r="EP124" s="763"/>
      <c r="EQ124" s="763"/>
      <c r="ER124" s="763"/>
      <c r="ES124" s="763"/>
      <c r="ET124" s="763"/>
      <c r="EU124" s="763"/>
      <c r="EV124" s="763"/>
      <c r="EW124" s="763"/>
      <c r="EX124" s="763"/>
      <c r="EY124" s="763"/>
      <c r="EZ124" s="763"/>
      <c r="FA124" s="763"/>
      <c r="FB124" s="763"/>
      <c r="FC124" s="763"/>
      <c r="FD124" s="763"/>
      <c r="FE124" s="763"/>
    </row>
    <row r="125" spans="1:161" s="481" customFormat="1" ht="11.25" customHeight="1" x14ac:dyDescent="0.2">
      <c r="A125" s="492" t="s">
        <v>985</v>
      </c>
    </row>
    <row r="126" spans="1:161" s="481" customFormat="1" ht="11.25" customHeight="1" x14ac:dyDescent="0.2">
      <c r="A126" s="492" t="s">
        <v>986</v>
      </c>
    </row>
    <row r="127" spans="1:161" s="481" customFormat="1" ht="30.75" customHeight="1" x14ac:dyDescent="0.2">
      <c r="A127" s="763" t="s">
        <v>987</v>
      </c>
      <c r="B127" s="763"/>
      <c r="C127" s="763"/>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3"/>
      <c r="AA127" s="763"/>
      <c r="AB127" s="763"/>
      <c r="AC127" s="763"/>
      <c r="AD127" s="763"/>
      <c r="AE127" s="763"/>
      <c r="AF127" s="763"/>
      <c r="AG127" s="763"/>
      <c r="AH127" s="763"/>
      <c r="AI127" s="763"/>
      <c r="AJ127" s="763"/>
      <c r="AK127" s="763"/>
      <c r="AL127" s="763"/>
      <c r="AM127" s="763"/>
      <c r="AN127" s="763"/>
      <c r="AO127" s="763"/>
      <c r="AP127" s="763"/>
      <c r="AQ127" s="763"/>
      <c r="AR127" s="763"/>
      <c r="AS127" s="763"/>
      <c r="AT127" s="763"/>
      <c r="AU127" s="763"/>
      <c r="AV127" s="763"/>
      <c r="AW127" s="763"/>
      <c r="AX127" s="763"/>
      <c r="AY127" s="763"/>
      <c r="AZ127" s="763"/>
      <c r="BA127" s="763"/>
      <c r="BB127" s="763"/>
      <c r="BC127" s="763"/>
      <c r="BD127" s="763"/>
      <c r="BE127" s="763"/>
      <c r="BF127" s="763"/>
      <c r="BG127" s="763"/>
      <c r="BH127" s="763"/>
      <c r="BI127" s="763"/>
      <c r="BJ127" s="763"/>
      <c r="BK127" s="763"/>
      <c r="BL127" s="763"/>
      <c r="BM127" s="763"/>
      <c r="BN127" s="763"/>
      <c r="BO127" s="763"/>
      <c r="BP127" s="763"/>
      <c r="BQ127" s="763"/>
      <c r="BR127" s="763"/>
      <c r="BS127" s="763"/>
      <c r="BT127" s="763"/>
      <c r="BU127" s="763"/>
      <c r="BV127" s="763"/>
      <c r="BW127" s="763"/>
      <c r="BX127" s="763"/>
      <c r="BY127" s="763"/>
      <c r="BZ127" s="763"/>
      <c r="CA127" s="763"/>
      <c r="CB127" s="763"/>
      <c r="CC127" s="763"/>
      <c r="CD127" s="763"/>
      <c r="CE127" s="763"/>
      <c r="CF127" s="763"/>
      <c r="CG127" s="763"/>
      <c r="CH127" s="763"/>
      <c r="CI127" s="763"/>
      <c r="CJ127" s="763"/>
      <c r="CK127" s="763"/>
      <c r="CL127" s="763"/>
      <c r="CM127" s="763"/>
      <c r="CN127" s="763"/>
      <c r="CO127" s="763"/>
      <c r="CP127" s="763"/>
      <c r="CQ127" s="763"/>
      <c r="CR127" s="763"/>
      <c r="CS127" s="763"/>
      <c r="CT127" s="763"/>
      <c r="CU127" s="763"/>
      <c r="CV127" s="763"/>
      <c r="CW127" s="763"/>
      <c r="CX127" s="763"/>
      <c r="CY127" s="763"/>
      <c r="CZ127" s="763"/>
      <c r="DA127" s="763"/>
      <c r="DB127" s="763"/>
      <c r="DC127" s="763"/>
      <c r="DD127" s="763"/>
      <c r="DE127" s="763"/>
      <c r="DF127" s="763"/>
      <c r="DG127" s="763"/>
      <c r="DH127" s="763"/>
      <c r="DI127" s="763"/>
      <c r="DJ127" s="763"/>
      <c r="DK127" s="763"/>
      <c r="DL127" s="763"/>
      <c r="DM127" s="763"/>
      <c r="DN127" s="763"/>
      <c r="DO127" s="763"/>
      <c r="DP127" s="763"/>
      <c r="DQ127" s="763"/>
      <c r="DR127" s="763"/>
      <c r="DS127" s="763"/>
      <c r="DT127" s="763"/>
      <c r="DU127" s="763"/>
      <c r="DV127" s="763"/>
      <c r="DW127" s="763"/>
      <c r="DX127" s="763"/>
      <c r="DY127" s="763"/>
      <c r="DZ127" s="763"/>
      <c r="EA127" s="763"/>
      <c r="EB127" s="763"/>
      <c r="EC127" s="763"/>
      <c r="ED127" s="763"/>
      <c r="EE127" s="763"/>
      <c r="EF127" s="763"/>
      <c r="EG127" s="763"/>
      <c r="EH127" s="763"/>
      <c r="EI127" s="763"/>
      <c r="EJ127" s="763"/>
      <c r="EK127" s="763"/>
      <c r="EL127" s="763"/>
      <c r="EM127" s="763"/>
      <c r="EN127" s="763"/>
      <c r="EO127" s="763"/>
      <c r="EP127" s="763"/>
      <c r="EQ127" s="763"/>
      <c r="ER127" s="763"/>
      <c r="ES127" s="763"/>
      <c r="ET127" s="763"/>
      <c r="EU127" s="763"/>
      <c r="EV127" s="763"/>
      <c r="EW127" s="763"/>
      <c r="EX127" s="763"/>
      <c r="EY127" s="763"/>
      <c r="EZ127" s="763"/>
      <c r="FA127" s="763"/>
      <c r="FB127" s="763"/>
      <c r="FC127" s="763"/>
      <c r="FD127" s="763"/>
      <c r="FE127" s="763"/>
    </row>
    <row r="128" spans="1:161" ht="3" customHeight="1" x14ac:dyDescent="0.2"/>
  </sheetData>
  <mergeCells count="684">
    <mergeCell ref="DN9:FE9"/>
    <mergeCell ref="DO10:FE10"/>
    <mergeCell ref="DO11:FE11"/>
    <mergeCell ref="DP12:EI12"/>
    <mergeCell ref="EL12:FE12"/>
    <mergeCell ref="DW13:EI13"/>
    <mergeCell ref="EL13:FE13"/>
    <mergeCell ref="DB1:FE1"/>
    <mergeCell ref="DB2:FE2"/>
    <mergeCell ref="DB3:FE3"/>
    <mergeCell ref="DB5:FE5"/>
    <mergeCell ref="DW7:FE7"/>
    <mergeCell ref="DN8:FE8"/>
    <mergeCell ref="EZ14:FB14"/>
    <mergeCell ref="AY17:BE17"/>
    <mergeCell ref="BF17:BH17"/>
    <mergeCell ref="BI17:CD17"/>
    <mergeCell ref="CE17:CG17"/>
    <mergeCell ref="CH17:CL17"/>
    <mergeCell ref="CM17:CO17"/>
    <mergeCell ref="DW14:DX14"/>
    <mergeCell ref="DY14:EA14"/>
    <mergeCell ref="EB14:EC14"/>
    <mergeCell ref="EE14:ES14"/>
    <mergeCell ref="ET14:EV14"/>
    <mergeCell ref="EW14:EY14"/>
    <mergeCell ref="AV16:DA16"/>
    <mergeCell ref="A20:AA20"/>
    <mergeCell ref="ES20:FE20"/>
    <mergeCell ref="AB21:DP21"/>
    <mergeCell ref="ES21:FE21"/>
    <mergeCell ref="ES22:FE22"/>
    <mergeCell ref="ES23:FE23"/>
    <mergeCell ref="CP17:CX17"/>
    <mergeCell ref="ES17:FE18"/>
    <mergeCell ref="BG19:BJ19"/>
    <mergeCell ref="BK19:BM19"/>
    <mergeCell ref="BN19:BO19"/>
    <mergeCell ref="BQ19:CE19"/>
    <mergeCell ref="CF19:CH19"/>
    <mergeCell ref="CI19:CK19"/>
    <mergeCell ref="CL19:CO19"/>
    <mergeCell ref="ES19:FE19"/>
    <mergeCell ref="A24:AA24"/>
    <mergeCell ref="AB24:DP24"/>
    <mergeCell ref="ES24:FE24"/>
    <mergeCell ref="ES25:FE25"/>
    <mergeCell ref="A27:FE27"/>
    <mergeCell ref="A29:BW31"/>
    <mergeCell ref="BX29:CE31"/>
    <mergeCell ref="CF29:CR31"/>
    <mergeCell ref="CS29:DE31"/>
    <mergeCell ref="DF29:FE29"/>
    <mergeCell ref="EF30:EK30"/>
    <mergeCell ref="EL30:EN30"/>
    <mergeCell ref="EO30:ER30"/>
    <mergeCell ref="ES30:FE31"/>
    <mergeCell ref="DF31:DR31"/>
    <mergeCell ref="DS31:EE31"/>
    <mergeCell ref="EF31:ER31"/>
    <mergeCell ref="DF30:DK30"/>
    <mergeCell ref="DL30:DN30"/>
    <mergeCell ref="DO30:DR30"/>
    <mergeCell ref="DS30:DX30"/>
    <mergeCell ref="DY30:EA30"/>
    <mergeCell ref="EB30:EE30"/>
    <mergeCell ref="EF32:ER32"/>
    <mergeCell ref="ES32:FE32"/>
    <mergeCell ref="A33:BW33"/>
    <mergeCell ref="BX33:CE33"/>
    <mergeCell ref="CF33:CR33"/>
    <mergeCell ref="CS33:DE33"/>
    <mergeCell ref="DF33:DR33"/>
    <mergeCell ref="DS33:EE33"/>
    <mergeCell ref="EF33:ER33"/>
    <mergeCell ref="ES33:FE33"/>
    <mergeCell ref="A32:BW32"/>
    <mergeCell ref="BX32:CE32"/>
    <mergeCell ref="CF32:CR32"/>
    <mergeCell ref="CS32:DE32"/>
    <mergeCell ref="DF32:DR32"/>
    <mergeCell ref="DS32:EE32"/>
    <mergeCell ref="EF34:ER34"/>
    <mergeCell ref="ES34:FE34"/>
    <mergeCell ref="A35:BW35"/>
    <mergeCell ref="BX35:CE35"/>
    <mergeCell ref="CF35:CR35"/>
    <mergeCell ref="CS35:DE35"/>
    <mergeCell ref="DF35:DR35"/>
    <mergeCell ref="DS35:EE35"/>
    <mergeCell ref="EF35:ER35"/>
    <mergeCell ref="ES35:FE35"/>
    <mergeCell ref="A34:BW34"/>
    <mergeCell ref="BX34:CE34"/>
    <mergeCell ref="CF34:CR34"/>
    <mergeCell ref="CS34:DE34"/>
    <mergeCell ref="DF34:DR34"/>
    <mergeCell ref="DS34:EE34"/>
    <mergeCell ref="A38:BW38"/>
    <mergeCell ref="A39:BW39"/>
    <mergeCell ref="BX39:CE39"/>
    <mergeCell ref="CF39:CR39"/>
    <mergeCell ref="CS39:DE39"/>
    <mergeCell ref="DF39:DR39"/>
    <mergeCell ref="EF36:ER36"/>
    <mergeCell ref="ES36:FE36"/>
    <mergeCell ref="A37:BW37"/>
    <mergeCell ref="BX37:CE38"/>
    <mergeCell ref="CF37:CR38"/>
    <mergeCell ref="CS37:DE38"/>
    <mergeCell ref="DF37:DR38"/>
    <mergeCell ref="DS37:EE38"/>
    <mergeCell ref="EF37:ER38"/>
    <mergeCell ref="ES37:FE38"/>
    <mergeCell ref="A36:BW36"/>
    <mergeCell ref="BX36:CE36"/>
    <mergeCell ref="CF36:CR36"/>
    <mergeCell ref="CS36:DE36"/>
    <mergeCell ref="DF36:DR36"/>
    <mergeCell ref="DS36:EE36"/>
    <mergeCell ref="DS39:EE39"/>
    <mergeCell ref="EF39:ER39"/>
    <mergeCell ref="ES39:FE39"/>
    <mergeCell ref="A40:BW40"/>
    <mergeCell ref="BX40:CE40"/>
    <mergeCell ref="CF40:CR40"/>
    <mergeCell ref="CS40:DE40"/>
    <mergeCell ref="DF40:DR40"/>
    <mergeCell ref="DS40:EE40"/>
    <mergeCell ref="EF40:ER40"/>
    <mergeCell ref="ES40:FE40"/>
    <mergeCell ref="A41:BW41"/>
    <mergeCell ref="BX41:CE41"/>
    <mergeCell ref="CF41:CR41"/>
    <mergeCell ref="CS41:DE41"/>
    <mergeCell ref="DF41:DR41"/>
    <mergeCell ref="DS41:EE41"/>
    <mergeCell ref="EF41:ER41"/>
    <mergeCell ref="ES41:FE41"/>
    <mergeCell ref="EF42:ER42"/>
    <mergeCell ref="ES42:FE42"/>
    <mergeCell ref="A43:BW43"/>
    <mergeCell ref="BX43:CE43"/>
    <mergeCell ref="CF43:CR43"/>
    <mergeCell ref="CS43:DE43"/>
    <mergeCell ref="DF43:DR43"/>
    <mergeCell ref="DS43:EE43"/>
    <mergeCell ref="EF43:ER43"/>
    <mergeCell ref="ES43:FE43"/>
    <mergeCell ref="A42:BW42"/>
    <mergeCell ref="BX42:CE42"/>
    <mergeCell ref="CF42:CR42"/>
    <mergeCell ref="CS42:DE42"/>
    <mergeCell ref="DF42:DR42"/>
    <mergeCell ref="DS42:EE42"/>
    <mergeCell ref="EF44:ER45"/>
    <mergeCell ref="ES44:FE45"/>
    <mergeCell ref="A45:BW45"/>
    <mergeCell ref="A46:BW46"/>
    <mergeCell ref="BX46:CE46"/>
    <mergeCell ref="CF46:CR46"/>
    <mergeCell ref="CS46:DE46"/>
    <mergeCell ref="DF46:DR46"/>
    <mergeCell ref="DS46:EE46"/>
    <mergeCell ref="EF46:ER46"/>
    <mergeCell ref="A44:BW44"/>
    <mergeCell ref="BX44:CE45"/>
    <mergeCell ref="CF44:CR45"/>
    <mergeCell ref="CS44:DE45"/>
    <mergeCell ref="DF44:DR45"/>
    <mergeCell ref="DS44:EE45"/>
    <mergeCell ref="ES46:FE46"/>
    <mergeCell ref="A47:BW47"/>
    <mergeCell ref="BX47:CE48"/>
    <mergeCell ref="CF47:CR48"/>
    <mergeCell ref="CS47:DE48"/>
    <mergeCell ref="DF47:DR48"/>
    <mergeCell ref="DS47:EE48"/>
    <mergeCell ref="EF47:ER48"/>
    <mergeCell ref="ES47:FE48"/>
    <mergeCell ref="A48:BW48"/>
    <mergeCell ref="EF49:ER49"/>
    <mergeCell ref="ES49:FE49"/>
    <mergeCell ref="A50:BW50"/>
    <mergeCell ref="BX50:CE50"/>
    <mergeCell ref="CF50:CR50"/>
    <mergeCell ref="CS50:DE50"/>
    <mergeCell ref="DF50:DR50"/>
    <mergeCell ref="DS50:EE50"/>
    <mergeCell ref="EF50:ER50"/>
    <mergeCell ref="ES50:FE50"/>
    <mergeCell ref="A49:BW49"/>
    <mergeCell ref="BX49:CE49"/>
    <mergeCell ref="CF49:CR49"/>
    <mergeCell ref="CS49:DE49"/>
    <mergeCell ref="DF49:DR49"/>
    <mergeCell ref="DS49:EE49"/>
    <mergeCell ref="A53:BW53"/>
    <mergeCell ref="A54:BW54"/>
    <mergeCell ref="BX54:CE54"/>
    <mergeCell ref="CF54:CR54"/>
    <mergeCell ref="CS54:DE54"/>
    <mergeCell ref="DF54:DR54"/>
    <mergeCell ref="EF51:ER51"/>
    <mergeCell ref="ES51:FE51"/>
    <mergeCell ref="A52:BW52"/>
    <mergeCell ref="BX52:CE53"/>
    <mergeCell ref="CF52:CR53"/>
    <mergeCell ref="CS52:DE53"/>
    <mergeCell ref="DF52:DR53"/>
    <mergeCell ref="DS52:EE53"/>
    <mergeCell ref="EF52:ER53"/>
    <mergeCell ref="ES52:FE53"/>
    <mergeCell ref="A51:BW51"/>
    <mergeCell ref="BX51:CE51"/>
    <mergeCell ref="CF51:CR51"/>
    <mergeCell ref="CS51:DE51"/>
    <mergeCell ref="DF51:DR51"/>
    <mergeCell ref="DS51:EE51"/>
    <mergeCell ref="DS54:EE54"/>
    <mergeCell ref="EF54:ER54"/>
    <mergeCell ref="ES54:FE54"/>
    <mergeCell ref="A55:BW55"/>
    <mergeCell ref="BX55:CE55"/>
    <mergeCell ref="CF55:CR55"/>
    <mergeCell ref="CS55:DE55"/>
    <mergeCell ref="DF55:DR55"/>
    <mergeCell ref="DS55:EE55"/>
    <mergeCell ref="EF55:ER55"/>
    <mergeCell ref="ES55:FE55"/>
    <mergeCell ref="A56:BW56"/>
    <mergeCell ref="BX56:CE57"/>
    <mergeCell ref="CF56:CR57"/>
    <mergeCell ref="CS56:DE57"/>
    <mergeCell ref="DF56:DR57"/>
    <mergeCell ref="DS56:EE57"/>
    <mergeCell ref="EF56:ER57"/>
    <mergeCell ref="ES56:FE57"/>
    <mergeCell ref="A57:BW57"/>
    <mergeCell ref="EF58:ER58"/>
    <mergeCell ref="ES58:FE58"/>
    <mergeCell ref="A59:BW59"/>
    <mergeCell ref="BX59:CE59"/>
    <mergeCell ref="CF59:CR59"/>
    <mergeCell ref="CS59:DE59"/>
    <mergeCell ref="DF59:DR59"/>
    <mergeCell ref="DS59:EE59"/>
    <mergeCell ref="EF59:ER59"/>
    <mergeCell ref="ES59:FE59"/>
    <mergeCell ref="A58:BW58"/>
    <mergeCell ref="BX58:CE58"/>
    <mergeCell ref="CF58:CR58"/>
    <mergeCell ref="CS58:DE58"/>
    <mergeCell ref="DF58:DR58"/>
    <mergeCell ref="DS58:EE58"/>
    <mergeCell ref="EF60:ER60"/>
    <mergeCell ref="ES60:FE60"/>
    <mergeCell ref="A61:BW61"/>
    <mergeCell ref="BX61:CE61"/>
    <mergeCell ref="CF61:CR61"/>
    <mergeCell ref="CS61:DE61"/>
    <mergeCell ref="DF61:DR61"/>
    <mergeCell ref="DS61:EE61"/>
    <mergeCell ref="EF61:ER61"/>
    <mergeCell ref="ES61:FE61"/>
    <mergeCell ref="A60:BW60"/>
    <mergeCell ref="BX60:CE60"/>
    <mergeCell ref="CF60:CR60"/>
    <mergeCell ref="CS60:DE60"/>
    <mergeCell ref="DF60:DR60"/>
    <mergeCell ref="DS60:EE60"/>
    <mergeCell ref="EF62:ER62"/>
    <mergeCell ref="ES62:FE62"/>
    <mergeCell ref="A63:BW63"/>
    <mergeCell ref="BX63:CE63"/>
    <mergeCell ref="CF63:CR63"/>
    <mergeCell ref="CS63:DE63"/>
    <mergeCell ref="DF63:DR63"/>
    <mergeCell ref="DS63:EE63"/>
    <mergeCell ref="EF63:ER63"/>
    <mergeCell ref="ES63:FE63"/>
    <mergeCell ref="A62:BW62"/>
    <mergeCell ref="BX62:CE62"/>
    <mergeCell ref="CF62:CR62"/>
    <mergeCell ref="CS62:DE62"/>
    <mergeCell ref="DF62:DR62"/>
    <mergeCell ref="DS62:EE62"/>
    <mergeCell ref="EF64:ER64"/>
    <mergeCell ref="ES64:FE64"/>
    <mergeCell ref="A65:BW65"/>
    <mergeCell ref="BX65:CE65"/>
    <mergeCell ref="CF65:CR65"/>
    <mergeCell ref="CS65:DE65"/>
    <mergeCell ref="DF65:DR65"/>
    <mergeCell ref="DS65:EE65"/>
    <mergeCell ref="EF65:ER65"/>
    <mergeCell ref="ES65:FE65"/>
    <mergeCell ref="A64:BW64"/>
    <mergeCell ref="BX64:CE64"/>
    <mergeCell ref="CF64:CR64"/>
    <mergeCell ref="CS64:DE64"/>
    <mergeCell ref="DF64:DR64"/>
    <mergeCell ref="DS64:EE64"/>
    <mergeCell ref="EF66:ER66"/>
    <mergeCell ref="ES66:FE66"/>
    <mergeCell ref="A67:BW67"/>
    <mergeCell ref="BX67:CE67"/>
    <mergeCell ref="CF67:CR67"/>
    <mergeCell ref="CS67:DE67"/>
    <mergeCell ref="DF67:DR67"/>
    <mergeCell ref="DS67:EE67"/>
    <mergeCell ref="EF67:ER67"/>
    <mergeCell ref="ES67:FE67"/>
    <mergeCell ref="A66:BW66"/>
    <mergeCell ref="BX66:CE66"/>
    <mergeCell ref="CF66:CR66"/>
    <mergeCell ref="CS66:DE66"/>
    <mergeCell ref="DF66:DR66"/>
    <mergeCell ref="DS66:EE66"/>
    <mergeCell ref="EF68:ER68"/>
    <mergeCell ref="ES68:FE68"/>
    <mergeCell ref="A69:BW69"/>
    <mergeCell ref="BX69:CE69"/>
    <mergeCell ref="CF69:CR69"/>
    <mergeCell ref="CS69:DE69"/>
    <mergeCell ref="DF69:DR69"/>
    <mergeCell ref="DS69:EE69"/>
    <mergeCell ref="EF69:ER69"/>
    <mergeCell ref="ES69:FE69"/>
    <mergeCell ref="A68:BW68"/>
    <mergeCell ref="BX68:CE68"/>
    <mergeCell ref="CF68:CR68"/>
    <mergeCell ref="CS68:DE68"/>
    <mergeCell ref="DF68:DR68"/>
    <mergeCell ref="DS68:EE68"/>
    <mergeCell ref="EF70:ER70"/>
    <mergeCell ref="ES70:FE70"/>
    <mergeCell ref="A71:BW71"/>
    <mergeCell ref="BX71:CE71"/>
    <mergeCell ref="CF71:CR71"/>
    <mergeCell ref="CS71:DE71"/>
    <mergeCell ref="DF71:DR71"/>
    <mergeCell ref="DS71:EE71"/>
    <mergeCell ref="EF71:ER71"/>
    <mergeCell ref="ES71:FE71"/>
    <mergeCell ref="A70:BW70"/>
    <mergeCell ref="BX70:CE70"/>
    <mergeCell ref="CF70:CR70"/>
    <mergeCell ref="CS70:DE70"/>
    <mergeCell ref="DF70:DR70"/>
    <mergeCell ref="DS70:EE70"/>
    <mergeCell ref="EF72:ER72"/>
    <mergeCell ref="ES72:FE72"/>
    <mergeCell ref="A73:BW73"/>
    <mergeCell ref="BX73:CE73"/>
    <mergeCell ref="CF73:CR73"/>
    <mergeCell ref="CS73:DE73"/>
    <mergeCell ref="DF73:DR73"/>
    <mergeCell ref="DS73:EE73"/>
    <mergeCell ref="EF73:ER73"/>
    <mergeCell ref="ES73:FE73"/>
    <mergeCell ref="A72:BW72"/>
    <mergeCell ref="BX72:CE72"/>
    <mergeCell ref="CF72:CR72"/>
    <mergeCell ref="CS72:DE72"/>
    <mergeCell ref="DF72:DR72"/>
    <mergeCell ref="DS72:EE72"/>
    <mergeCell ref="EF74:ER74"/>
    <mergeCell ref="ES74:FE74"/>
    <mergeCell ref="A75:BW75"/>
    <mergeCell ref="BX75:CE75"/>
    <mergeCell ref="CF75:CR75"/>
    <mergeCell ref="CS75:DE75"/>
    <mergeCell ref="DF75:DR75"/>
    <mergeCell ref="DS75:EE75"/>
    <mergeCell ref="EF75:ER75"/>
    <mergeCell ref="ES75:FE75"/>
    <mergeCell ref="A74:BW74"/>
    <mergeCell ref="BX74:CE74"/>
    <mergeCell ref="CF74:CR74"/>
    <mergeCell ref="CS74:DE74"/>
    <mergeCell ref="DF74:DR74"/>
    <mergeCell ref="DS74:EE74"/>
    <mergeCell ref="EF76:ER76"/>
    <mergeCell ref="ES76:FE76"/>
    <mergeCell ref="A77:BW77"/>
    <mergeCell ref="BX77:CE77"/>
    <mergeCell ref="CF77:CR77"/>
    <mergeCell ref="CS77:DE77"/>
    <mergeCell ref="DF77:DR77"/>
    <mergeCell ref="DS77:EE77"/>
    <mergeCell ref="EF77:ER77"/>
    <mergeCell ref="ES77:FE77"/>
    <mergeCell ref="A76:BW76"/>
    <mergeCell ref="BX76:CE76"/>
    <mergeCell ref="CF76:CR76"/>
    <mergeCell ref="CS76:DE76"/>
    <mergeCell ref="DF76:DR76"/>
    <mergeCell ref="DS76:EE76"/>
    <mergeCell ref="EF78:ER78"/>
    <mergeCell ref="ES78:FE78"/>
    <mergeCell ref="A79:BW79"/>
    <mergeCell ref="BX79:CE79"/>
    <mergeCell ref="CF79:CR79"/>
    <mergeCell ref="CS79:DE79"/>
    <mergeCell ref="DF79:DR79"/>
    <mergeCell ref="DS79:EE79"/>
    <mergeCell ref="EF79:ER79"/>
    <mergeCell ref="ES79:FE79"/>
    <mergeCell ref="A78:BW78"/>
    <mergeCell ref="BX78:CE78"/>
    <mergeCell ref="CF78:CR78"/>
    <mergeCell ref="CS78:DE78"/>
    <mergeCell ref="DF78:DR78"/>
    <mergeCell ref="DS78:EE78"/>
    <mergeCell ref="EF80:ER80"/>
    <mergeCell ref="ES80:FE80"/>
    <mergeCell ref="A81:BW81"/>
    <mergeCell ref="BX81:CE81"/>
    <mergeCell ref="CF81:CR81"/>
    <mergeCell ref="CS81:DE81"/>
    <mergeCell ref="DF81:DR81"/>
    <mergeCell ref="DS81:EE81"/>
    <mergeCell ref="EF81:ER81"/>
    <mergeCell ref="ES81:FE81"/>
    <mergeCell ref="A80:BW80"/>
    <mergeCell ref="BX80:CE80"/>
    <mergeCell ref="CF80:CR80"/>
    <mergeCell ref="CS80:DE80"/>
    <mergeCell ref="DF80:DR80"/>
    <mergeCell ref="DS80:EE80"/>
    <mergeCell ref="EF82:ER82"/>
    <mergeCell ref="ES82:FE82"/>
    <mergeCell ref="A83:BW83"/>
    <mergeCell ref="BX83:CE83"/>
    <mergeCell ref="CF83:CR83"/>
    <mergeCell ref="CS83:DE83"/>
    <mergeCell ref="DF83:DR83"/>
    <mergeCell ref="DS83:EE83"/>
    <mergeCell ref="EF83:ER83"/>
    <mergeCell ref="ES83:FE83"/>
    <mergeCell ref="A82:BW82"/>
    <mergeCell ref="BX82:CE82"/>
    <mergeCell ref="CF82:CR82"/>
    <mergeCell ref="CS82:DE82"/>
    <mergeCell ref="DF82:DR82"/>
    <mergeCell ref="DS82:EE82"/>
    <mergeCell ref="EF84:ER84"/>
    <mergeCell ref="ES84:FE84"/>
    <mergeCell ref="A85:BW85"/>
    <mergeCell ref="BX85:CE85"/>
    <mergeCell ref="CF85:CR85"/>
    <mergeCell ref="CS85:DE85"/>
    <mergeCell ref="DF85:DR85"/>
    <mergeCell ref="DS85:EE85"/>
    <mergeCell ref="EF85:ER85"/>
    <mergeCell ref="ES85:FE85"/>
    <mergeCell ref="A84:BW84"/>
    <mergeCell ref="BX84:CE84"/>
    <mergeCell ref="CF84:CR84"/>
    <mergeCell ref="CS84:DE84"/>
    <mergeCell ref="DF84:DR84"/>
    <mergeCell ref="DS84:EE84"/>
    <mergeCell ref="EF86:ER86"/>
    <mergeCell ref="ES86:FE86"/>
    <mergeCell ref="A87:BW87"/>
    <mergeCell ref="BX87:CE87"/>
    <mergeCell ref="CF87:CR87"/>
    <mergeCell ref="CS87:DE87"/>
    <mergeCell ref="DF87:DR87"/>
    <mergeCell ref="DS87:EE87"/>
    <mergeCell ref="EF87:ER87"/>
    <mergeCell ref="ES87:FE87"/>
    <mergeCell ref="A86:BW86"/>
    <mergeCell ref="BX86:CE86"/>
    <mergeCell ref="CF86:CR86"/>
    <mergeCell ref="CS86:DE86"/>
    <mergeCell ref="DF86:DR86"/>
    <mergeCell ref="DS86:EE86"/>
    <mergeCell ref="EF88:ER88"/>
    <mergeCell ref="ES88:FE88"/>
    <mergeCell ref="A89:BW89"/>
    <mergeCell ref="BX89:CE89"/>
    <mergeCell ref="CF89:CR89"/>
    <mergeCell ref="CS89:DE89"/>
    <mergeCell ref="DF89:DR89"/>
    <mergeCell ref="DS89:EE89"/>
    <mergeCell ref="EF89:ER89"/>
    <mergeCell ref="ES89:FE89"/>
    <mergeCell ref="A88:BW88"/>
    <mergeCell ref="BX88:CE88"/>
    <mergeCell ref="CF88:CR88"/>
    <mergeCell ref="CS88:DE88"/>
    <mergeCell ref="DF88:DR88"/>
    <mergeCell ref="DS88:EE88"/>
    <mergeCell ref="EF90:ER90"/>
    <mergeCell ref="ES90:FE90"/>
    <mergeCell ref="A91:BW91"/>
    <mergeCell ref="BX91:CE91"/>
    <mergeCell ref="CF91:CR91"/>
    <mergeCell ref="CS91:DE91"/>
    <mergeCell ref="DF91:DR91"/>
    <mergeCell ref="DS91:EE91"/>
    <mergeCell ref="EF91:ER91"/>
    <mergeCell ref="ES91:FE91"/>
    <mergeCell ref="A90:BW90"/>
    <mergeCell ref="BX90:CE90"/>
    <mergeCell ref="CF90:CR90"/>
    <mergeCell ref="CS90:DE90"/>
    <mergeCell ref="DF90:DR90"/>
    <mergeCell ref="DS90:EE90"/>
    <mergeCell ref="EF92:ER92"/>
    <mergeCell ref="ES92:FE92"/>
    <mergeCell ref="A93:BW93"/>
    <mergeCell ref="BX93:CE93"/>
    <mergeCell ref="CF93:CR93"/>
    <mergeCell ref="CS93:DE93"/>
    <mergeCell ref="DF93:DR93"/>
    <mergeCell ref="DS93:EE93"/>
    <mergeCell ref="EF93:ER93"/>
    <mergeCell ref="ES93:FE93"/>
    <mergeCell ref="A92:BW92"/>
    <mergeCell ref="BX92:CE92"/>
    <mergeCell ref="CF92:CR92"/>
    <mergeCell ref="CS92:DE92"/>
    <mergeCell ref="DF92:DR92"/>
    <mergeCell ref="DS92:EE92"/>
    <mergeCell ref="EF94:ER94"/>
    <mergeCell ref="ES94:FE94"/>
    <mergeCell ref="A95:BW95"/>
    <mergeCell ref="BX95:CE95"/>
    <mergeCell ref="CF95:CR95"/>
    <mergeCell ref="CS95:DE95"/>
    <mergeCell ref="DF95:DR95"/>
    <mergeCell ref="DS95:EE95"/>
    <mergeCell ref="EF95:ER95"/>
    <mergeCell ref="ES95:FE95"/>
    <mergeCell ref="A94:BW94"/>
    <mergeCell ref="BX94:CE94"/>
    <mergeCell ref="CF94:CR94"/>
    <mergeCell ref="CS94:DE94"/>
    <mergeCell ref="DF94:DR94"/>
    <mergeCell ref="DS94:EE94"/>
    <mergeCell ref="EF96:ER96"/>
    <mergeCell ref="ES96:FE96"/>
    <mergeCell ref="A97:BW97"/>
    <mergeCell ref="BX97:CE97"/>
    <mergeCell ref="CF97:CR97"/>
    <mergeCell ref="CS97:DE97"/>
    <mergeCell ref="DF97:DR97"/>
    <mergeCell ref="DS97:EE97"/>
    <mergeCell ref="EF97:ER97"/>
    <mergeCell ref="ES97:FE97"/>
    <mergeCell ref="A96:BW96"/>
    <mergeCell ref="BX96:CE96"/>
    <mergeCell ref="CF96:CR96"/>
    <mergeCell ref="CS96:DE96"/>
    <mergeCell ref="DF96:DR96"/>
    <mergeCell ref="DS96:EE96"/>
    <mergeCell ref="EF98:ER98"/>
    <mergeCell ref="ES98:FE98"/>
    <mergeCell ref="A99:BW99"/>
    <mergeCell ref="BX99:CE99"/>
    <mergeCell ref="CF99:CR99"/>
    <mergeCell ref="CS99:DE99"/>
    <mergeCell ref="DF99:DR99"/>
    <mergeCell ref="DS99:EE99"/>
    <mergeCell ref="EF99:ER99"/>
    <mergeCell ref="ES99:FE99"/>
    <mergeCell ref="A98:BW98"/>
    <mergeCell ref="BX98:CE98"/>
    <mergeCell ref="CF98:CR98"/>
    <mergeCell ref="CS98:DE98"/>
    <mergeCell ref="DF98:DR98"/>
    <mergeCell ref="DS98:EE98"/>
    <mergeCell ref="EF100:ER100"/>
    <mergeCell ref="ES100:FE100"/>
    <mergeCell ref="A101:BW101"/>
    <mergeCell ref="BX101:CE101"/>
    <mergeCell ref="CF101:CR101"/>
    <mergeCell ref="CS101:DE101"/>
    <mergeCell ref="DF101:DR101"/>
    <mergeCell ref="DS101:EE101"/>
    <mergeCell ref="EF101:ER101"/>
    <mergeCell ref="ES101:FE101"/>
    <mergeCell ref="A100:BW100"/>
    <mergeCell ref="BX100:CE100"/>
    <mergeCell ref="CF100:CR100"/>
    <mergeCell ref="CS100:DE100"/>
    <mergeCell ref="DF100:DR100"/>
    <mergeCell ref="DS100:EE100"/>
    <mergeCell ref="EF102:ER102"/>
    <mergeCell ref="ES102:FE102"/>
    <mergeCell ref="A103:BW103"/>
    <mergeCell ref="BX103:CE103"/>
    <mergeCell ref="CF103:CR103"/>
    <mergeCell ref="CS103:DE103"/>
    <mergeCell ref="DF103:DR103"/>
    <mergeCell ref="DS103:EE103"/>
    <mergeCell ref="EF103:ER103"/>
    <mergeCell ref="ES103:FE103"/>
    <mergeCell ref="A102:BW102"/>
    <mergeCell ref="BX102:CE102"/>
    <mergeCell ref="CF102:CR102"/>
    <mergeCell ref="CS102:DE102"/>
    <mergeCell ref="DF102:DR102"/>
    <mergeCell ref="DS102:EE102"/>
    <mergeCell ref="EF104:ER104"/>
    <mergeCell ref="ES104:FE104"/>
    <mergeCell ref="A105:BW105"/>
    <mergeCell ref="BX105:CE105"/>
    <mergeCell ref="CF105:CR105"/>
    <mergeCell ref="CS105:DE105"/>
    <mergeCell ref="DF105:DR105"/>
    <mergeCell ref="DS105:EE105"/>
    <mergeCell ref="EF105:ER105"/>
    <mergeCell ref="ES105:FE105"/>
    <mergeCell ref="A104:BW104"/>
    <mergeCell ref="BX104:CE104"/>
    <mergeCell ref="CF104:CR104"/>
    <mergeCell ref="CS104:DE104"/>
    <mergeCell ref="DF104:DR104"/>
    <mergeCell ref="DS104:EE104"/>
    <mergeCell ref="EF106:ER106"/>
    <mergeCell ref="ES106:FE106"/>
    <mergeCell ref="A107:BW107"/>
    <mergeCell ref="BX107:CE107"/>
    <mergeCell ref="CF107:CR107"/>
    <mergeCell ref="CS107:DE107"/>
    <mergeCell ref="DF107:DR107"/>
    <mergeCell ref="DS107:EE107"/>
    <mergeCell ref="EF107:ER107"/>
    <mergeCell ref="ES107:FE107"/>
    <mergeCell ref="A106:BW106"/>
    <mergeCell ref="BX106:CE106"/>
    <mergeCell ref="CF106:CR106"/>
    <mergeCell ref="CS106:DE106"/>
    <mergeCell ref="DF106:DR106"/>
    <mergeCell ref="DS106:EE106"/>
    <mergeCell ref="EF108:ER108"/>
    <mergeCell ref="ES108:FE108"/>
    <mergeCell ref="A109:BW109"/>
    <mergeCell ref="BX109:CE109"/>
    <mergeCell ref="CF109:CR109"/>
    <mergeCell ref="CS109:DE109"/>
    <mergeCell ref="DF109:DR109"/>
    <mergeCell ref="DS109:EE109"/>
    <mergeCell ref="EF109:ER109"/>
    <mergeCell ref="ES109:FE109"/>
    <mergeCell ref="A108:BW108"/>
    <mergeCell ref="BX108:CE108"/>
    <mergeCell ref="CF108:CR108"/>
    <mergeCell ref="CS108:DE108"/>
    <mergeCell ref="DF108:DR108"/>
    <mergeCell ref="DS108:EE108"/>
    <mergeCell ref="EF110:ER110"/>
    <mergeCell ref="ES110:FE110"/>
    <mergeCell ref="A111:BW111"/>
    <mergeCell ref="BX111:CE111"/>
    <mergeCell ref="CF111:CR111"/>
    <mergeCell ref="CS111:DE111"/>
    <mergeCell ref="DF111:DR111"/>
    <mergeCell ref="DS111:EE111"/>
    <mergeCell ref="EF111:ER111"/>
    <mergeCell ref="ES111:FE111"/>
    <mergeCell ref="A110:BW110"/>
    <mergeCell ref="BX110:CE110"/>
    <mergeCell ref="CF110:CR110"/>
    <mergeCell ref="CS110:DE110"/>
    <mergeCell ref="DF110:DR110"/>
    <mergeCell ref="DS110:EE110"/>
    <mergeCell ref="A127:FE127"/>
    <mergeCell ref="EF112:ER112"/>
    <mergeCell ref="ES112:FE112"/>
    <mergeCell ref="A120:FE120"/>
    <mergeCell ref="A122:FE122"/>
    <mergeCell ref="A123:FE123"/>
    <mergeCell ref="A124:FE124"/>
    <mergeCell ref="A112:BW112"/>
    <mergeCell ref="BX112:CE112"/>
    <mergeCell ref="CF112:CR112"/>
    <mergeCell ref="CS112:DE112"/>
    <mergeCell ref="DF112:DR112"/>
    <mergeCell ref="DS112:EE112"/>
  </mergeCells>
  <pageMargins left="0.70866141732283472" right="0.70866141732283472" top="0.74803149606299213" bottom="0.74803149606299213" header="0.31496062992125984" footer="0.31496062992125984"/>
  <pageSetup paperSize="9" scale="53" fitToHeight="4"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O88"/>
  <sheetViews>
    <sheetView workbookViewId="0">
      <selection activeCell="DW19" sqref="DW19:EF19"/>
    </sheetView>
  </sheetViews>
  <sheetFormatPr defaultColWidth="0.85546875" defaultRowHeight="15" customHeight="1" x14ac:dyDescent="0.2"/>
  <cols>
    <col min="1" max="24" width="0.85546875" style="482"/>
    <col min="25" max="25" width="2.7109375" style="482" customWidth="1"/>
    <col min="26" max="59" width="0.85546875" style="482"/>
    <col min="60" max="60" width="0.85546875" style="482" customWidth="1"/>
    <col min="61" max="63" width="0.85546875" style="482"/>
    <col min="64" max="64" width="0.85546875" style="482" customWidth="1"/>
    <col min="65" max="74" width="0.85546875" style="482"/>
    <col min="75" max="76" width="0.85546875" style="482" customWidth="1"/>
    <col min="77" max="120" width="0.85546875" style="482"/>
    <col min="121" max="122" width="0.85546875" style="482" customWidth="1"/>
    <col min="123" max="126" width="0.85546875" style="482" hidden="1" customWidth="1"/>
    <col min="127" max="127" width="1.5703125" style="482" customWidth="1"/>
    <col min="128" max="133" width="0.85546875" style="482"/>
    <col min="134" max="134" width="4.28515625" style="482" customWidth="1"/>
    <col min="135" max="143" width="0.85546875" style="482"/>
    <col min="144" max="144" width="4.85546875" style="482" customWidth="1"/>
    <col min="145" max="152" width="0.85546875" style="482"/>
    <col min="153" max="153" width="7.140625" style="482" customWidth="1"/>
    <col min="154" max="163" width="0.85546875" style="482"/>
    <col min="164" max="164" width="4.85546875" style="482" customWidth="1"/>
    <col min="165" max="167" width="0.85546875" style="482" customWidth="1"/>
    <col min="168" max="168" width="11.28515625" style="482" customWidth="1"/>
    <col min="169" max="169" width="15" style="482" customWidth="1"/>
    <col min="170" max="170" width="14.42578125" style="482" customWidth="1"/>
    <col min="171" max="171" width="16.85546875" style="482" customWidth="1"/>
    <col min="172" max="315" width="0.85546875" style="482"/>
    <col min="316" max="316" width="0.85546875" style="482" customWidth="1"/>
    <col min="317" max="319" width="0.85546875" style="482"/>
    <col min="320" max="320" width="0.85546875" style="482" customWidth="1"/>
    <col min="321" max="330" width="0.85546875" style="482"/>
    <col min="331" max="332" width="0.85546875" style="482" customWidth="1"/>
    <col min="333" max="571" width="0.85546875" style="482"/>
    <col min="572" max="572" width="0.85546875" style="482" customWidth="1"/>
    <col min="573" max="575" width="0.85546875" style="482"/>
    <col min="576" max="576" width="0.85546875" style="482" customWidth="1"/>
    <col min="577" max="586" width="0.85546875" style="482"/>
    <col min="587" max="588" width="0.85546875" style="482" customWidth="1"/>
    <col min="589" max="827" width="0.85546875" style="482"/>
    <col min="828" max="828" width="0.85546875" style="482" customWidth="1"/>
    <col min="829" max="831" width="0.85546875" style="482"/>
    <col min="832" max="832" width="0.85546875" style="482" customWidth="1"/>
    <col min="833" max="842" width="0.85546875" style="482"/>
    <col min="843" max="844" width="0.85546875" style="482" customWidth="1"/>
    <col min="845" max="1083" width="0.85546875" style="482"/>
    <col min="1084" max="1084" width="0.85546875" style="482" customWidth="1"/>
    <col min="1085" max="1087" width="0.85546875" style="482"/>
    <col min="1088" max="1088" width="0.85546875" style="482" customWidth="1"/>
    <col min="1089" max="1098" width="0.85546875" style="482"/>
    <col min="1099" max="1100" width="0.85546875" style="482" customWidth="1"/>
    <col min="1101" max="1339" width="0.85546875" style="482"/>
    <col min="1340" max="1340" width="0.85546875" style="482" customWidth="1"/>
    <col min="1341" max="1343" width="0.85546875" style="482"/>
    <col min="1344" max="1344" width="0.85546875" style="482" customWidth="1"/>
    <col min="1345" max="1354" width="0.85546875" style="482"/>
    <col min="1355" max="1356" width="0.85546875" style="482" customWidth="1"/>
    <col min="1357" max="1595" width="0.85546875" style="482"/>
    <col min="1596" max="1596" width="0.85546875" style="482" customWidth="1"/>
    <col min="1597" max="1599" width="0.85546875" style="482"/>
    <col min="1600" max="1600" width="0.85546875" style="482" customWidth="1"/>
    <col min="1601" max="1610" width="0.85546875" style="482"/>
    <col min="1611" max="1612" width="0.85546875" style="482" customWidth="1"/>
    <col min="1613" max="1851" width="0.85546875" style="482"/>
    <col min="1852" max="1852" width="0.85546875" style="482" customWidth="1"/>
    <col min="1853" max="1855" width="0.85546875" style="482"/>
    <col min="1856" max="1856" width="0.85546875" style="482" customWidth="1"/>
    <col min="1857" max="1866" width="0.85546875" style="482"/>
    <col min="1867" max="1868" width="0.85546875" style="482" customWidth="1"/>
    <col min="1869" max="2107" width="0.85546875" style="482"/>
    <col min="2108" max="2108" width="0.85546875" style="482" customWidth="1"/>
    <col min="2109" max="2111" width="0.85546875" style="482"/>
    <col min="2112" max="2112" width="0.85546875" style="482" customWidth="1"/>
    <col min="2113" max="2122" width="0.85546875" style="482"/>
    <col min="2123" max="2124" width="0.85546875" style="482" customWidth="1"/>
    <col min="2125" max="2363" width="0.85546875" style="482"/>
    <col min="2364" max="2364" width="0.85546875" style="482" customWidth="1"/>
    <col min="2365" max="2367" width="0.85546875" style="482"/>
    <col min="2368" max="2368" width="0.85546875" style="482" customWidth="1"/>
    <col min="2369" max="2378" width="0.85546875" style="482"/>
    <col min="2379" max="2380" width="0.85546875" style="482" customWidth="1"/>
    <col min="2381" max="2619" width="0.85546875" style="482"/>
    <col min="2620" max="2620" width="0.85546875" style="482" customWidth="1"/>
    <col min="2621" max="2623" width="0.85546875" style="482"/>
    <col min="2624" max="2624" width="0.85546875" style="482" customWidth="1"/>
    <col min="2625" max="2634" width="0.85546875" style="482"/>
    <col min="2635" max="2636" width="0.85546875" style="482" customWidth="1"/>
    <col min="2637" max="2875" width="0.85546875" style="482"/>
    <col min="2876" max="2876" width="0.85546875" style="482" customWidth="1"/>
    <col min="2877" max="2879" width="0.85546875" style="482"/>
    <col min="2880" max="2880" width="0.85546875" style="482" customWidth="1"/>
    <col min="2881" max="2890" width="0.85546875" style="482"/>
    <col min="2891" max="2892" width="0.85546875" style="482" customWidth="1"/>
    <col min="2893" max="3131" width="0.85546875" style="482"/>
    <col min="3132" max="3132" width="0.85546875" style="482" customWidth="1"/>
    <col min="3133" max="3135" width="0.85546875" style="482"/>
    <col min="3136" max="3136" width="0.85546875" style="482" customWidth="1"/>
    <col min="3137" max="3146" width="0.85546875" style="482"/>
    <col min="3147" max="3148" width="0.85546875" style="482" customWidth="1"/>
    <col min="3149" max="3387" width="0.85546875" style="482"/>
    <col min="3388" max="3388" width="0.85546875" style="482" customWidth="1"/>
    <col min="3389" max="3391" width="0.85546875" style="482"/>
    <col min="3392" max="3392" width="0.85546875" style="482" customWidth="1"/>
    <col min="3393" max="3402" width="0.85546875" style="482"/>
    <col min="3403" max="3404" width="0.85546875" style="482" customWidth="1"/>
    <col min="3405" max="3643" width="0.85546875" style="482"/>
    <col min="3644" max="3644" width="0.85546875" style="482" customWidth="1"/>
    <col min="3645" max="3647" width="0.85546875" style="482"/>
    <col min="3648" max="3648" width="0.85546875" style="482" customWidth="1"/>
    <col min="3649" max="3658" width="0.85546875" style="482"/>
    <col min="3659" max="3660" width="0.85546875" style="482" customWidth="1"/>
    <col min="3661" max="3899" width="0.85546875" style="482"/>
    <col min="3900" max="3900" width="0.85546875" style="482" customWidth="1"/>
    <col min="3901" max="3903" width="0.85546875" style="482"/>
    <col min="3904" max="3904" width="0.85546875" style="482" customWidth="1"/>
    <col min="3905" max="3914" width="0.85546875" style="482"/>
    <col min="3915" max="3916" width="0.85546875" style="482" customWidth="1"/>
    <col min="3917" max="4155" width="0.85546875" style="482"/>
    <col min="4156" max="4156" width="0.85546875" style="482" customWidth="1"/>
    <col min="4157" max="4159" width="0.85546875" style="482"/>
    <col min="4160" max="4160" width="0.85546875" style="482" customWidth="1"/>
    <col min="4161" max="4170" width="0.85546875" style="482"/>
    <col min="4171" max="4172" width="0.85546875" style="482" customWidth="1"/>
    <col min="4173" max="4411" width="0.85546875" style="482"/>
    <col min="4412" max="4412" width="0.85546875" style="482" customWidth="1"/>
    <col min="4413" max="4415" width="0.85546875" style="482"/>
    <col min="4416" max="4416" width="0.85546875" style="482" customWidth="1"/>
    <col min="4417" max="4426" width="0.85546875" style="482"/>
    <col min="4427" max="4428" width="0.85546875" style="482" customWidth="1"/>
    <col min="4429" max="4667" width="0.85546875" style="482"/>
    <col min="4668" max="4668" width="0.85546875" style="482" customWidth="1"/>
    <col min="4669" max="4671" width="0.85546875" style="482"/>
    <col min="4672" max="4672" width="0.85546875" style="482" customWidth="1"/>
    <col min="4673" max="4682" width="0.85546875" style="482"/>
    <col min="4683" max="4684" width="0.85546875" style="482" customWidth="1"/>
    <col min="4685" max="4923" width="0.85546875" style="482"/>
    <col min="4924" max="4924" width="0.85546875" style="482" customWidth="1"/>
    <col min="4925" max="4927" width="0.85546875" style="482"/>
    <col min="4928" max="4928" width="0.85546875" style="482" customWidth="1"/>
    <col min="4929" max="4938" width="0.85546875" style="482"/>
    <col min="4939" max="4940" width="0.85546875" style="482" customWidth="1"/>
    <col min="4941" max="5179" width="0.85546875" style="482"/>
    <col min="5180" max="5180" width="0.85546875" style="482" customWidth="1"/>
    <col min="5181" max="5183" width="0.85546875" style="482"/>
    <col min="5184" max="5184" width="0.85546875" style="482" customWidth="1"/>
    <col min="5185" max="5194" width="0.85546875" style="482"/>
    <col min="5195" max="5196" width="0.85546875" style="482" customWidth="1"/>
    <col min="5197" max="5435" width="0.85546875" style="482"/>
    <col min="5436" max="5436" width="0.85546875" style="482" customWidth="1"/>
    <col min="5437" max="5439" width="0.85546875" style="482"/>
    <col min="5440" max="5440" width="0.85546875" style="482" customWidth="1"/>
    <col min="5441" max="5450" width="0.85546875" style="482"/>
    <col min="5451" max="5452" width="0.85546875" style="482" customWidth="1"/>
    <col min="5453" max="5691" width="0.85546875" style="482"/>
    <col min="5692" max="5692" width="0.85546875" style="482" customWidth="1"/>
    <col min="5693" max="5695" width="0.85546875" style="482"/>
    <col min="5696" max="5696" width="0.85546875" style="482" customWidth="1"/>
    <col min="5697" max="5706" width="0.85546875" style="482"/>
    <col min="5707" max="5708" width="0.85546875" style="482" customWidth="1"/>
    <col min="5709" max="5947" width="0.85546875" style="482"/>
    <col min="5948" max="5948" width="0.85546875" style="482" customWidth="1"/>
    <col min="5949" max="5951" width="0.85546875" style="482"/>
    <col min="5952" max="5952" width="0.85546875" style="482" customWidth="1"/>
    <col min="5953" max="5962" width="0.85546875" style="482"/>
    <col min="5963" max="5964" width="0.85546875" style="482" customWidth="1"/>
    <col min="5965" max="6203" width="0.85546875" style="482"/>
    <col min="6204" max="6204" width="0.85546875" style="482" customWidth="1"/>
    <col min="6205" max="6207" width="0.85546875" style="482"/>
    <col min="6208" max="6208" width="0.85546875" style="482" customWidth="1"/>
    <col min="6209" max="6218" width="0.85546875" style="482"/>
    <col min="6219" max="6220" width="0.85546875" style="482" customWidth="1"/>
    <col min="6221" max="6459" width="0.85546875" style="482"/>
    <col min="6460" max="6460" width="0.85546875" style="482" customWidth="1"/>
    <col min="6461" max="6463" width="0.85546875" style="482"/>
    <col min="6464" max="6464" width="0.85546875" style="482" customWidth="1"/>
    <col min="6465" max="6474" width="0.85546875" style="482"/>
    <col min="6475" max="6476" width="0.85546875" style="482" customWidth="1"/>
    <col min="6477" max="6715" width="0.85546875" style="482"/>
    <col min="6716" max="6716" width="0.85546875" style="482" customWidth="1"/>
    <col min="6717" max="6719" width="0.85546875" style="482"/>
    <col min="6720" max="6720" width="0.85546875" style="482" customWidth="1"/>
    <col min="6721" max="6730" width="0.85546875" style="482"/>
    <col min="6731" max="6732" width="0.85546875" style="482" customWidth="1"/>
    <col min="6733" max="6971" width="0.85546875" style="482"/>
    <col min="6972" max="6972" width="0.85546875" style="482" customWidth="1"/>
    <col min="6973" max="6975" width="0.85546875" style="482"/>
    <col min="6976" max="6976" width="0.85546875" style="482" customWidth="1"/>
    <col min="6977" max="6986" width="0.85546875" style="482"/>
    <col min="6987" max="6988" width="0.85546875" style="482" customWidth="1"/>
    <col min="6989" max="7227" width="0.85546875" style="482"/>
    <col min="7228" max="7228" width="0.85546875" style="482" customWidth="1"/>
    <col min="7229" max="7231" width="0.85546875" style="482"/>
    <col min="7232" max="7232" width="0.85546875" style="482" customWidth="1"/>
    <col min="7233" max="7242" width="0.85546875" style="482"/>
    <col min="7243" max="7244" width="0.85546875" style="482" customWidth="1"/>
    <col min="7245" max="7483" width="0.85546875" style="482"/>
    <col min="7484" max="7484" width="0.85546875" style="482" customWidth="1"/>
    <col min="7485" max="7487" width="0.85546875" style="482"/>
    <col min="7488" max="7488" width="0.85546875" style="482" customWidth="1"/>
    <col min="7489" max="7498" width="0.85546875" style="482"/>
    <col min="7499" max="7500" width="0.85546875" style="482" customWidth="1"/>
    <col min="7501" max="7739" width="0.85546875" style="482"/>
    <col min="7740" max="7740" width="0.85546875" style="482" customWidth="1"/>
    <col min="7741" max="7743" width="0.85546875" style="482"/>
    <col min="7744" max="7744" width="0.85546875" style="482" customWidth="1"/>
    <col min="7745" max="7754" width="0.85546875" style="482"/>
    <col min="7755" max="7756" width="0.85546875" style="482" customWidth="1"/>
    <col min="7757" max="7995" width="0.85546875" style="482"/>
    <col min="7996" max="7996" width="0.85546875" style="482" customWidth="1"/>
    <col min="7997" max="7999" width="0.85546875" style="482"/>
    <col min="8000" max="8000" width="0.85546875" style="482" customWidth="1"/>
    <col min="8001" max="8010" width="0.85546875" style="482"/>
    <col min="8011" max="8012" width="0.85546875" style="482" customWidth="1"/>
    <col min="8013" max="8251" width="0.85546875" style="482"/>
    <col min="8252" max="8252" width="0.85546875" style="482" customWidth="1"/>
    <col min="8253" max="8255" width="0.85546875" style="482"/>
    <col min="8256" max="8256" width="0.85546875" style="482" customWidth="1"/>
    <col min="8257" max="8266" width="0.85546875" style="482"/>
    <col min="8267" max="8268" width="0.85546875" style="482" customWidth="1"/>
    <col min="8269" max="8507" width="0.85546875" style="482"/>
    <col min="8508" max="8508" width="0.85546875" style="482" customWidth="1"/>
    <col min="8509" max="8511" width="0.85546875" style="482"/>
    <col min="8512" max="8512" width="0.85546875" style="482" customWidth="1"/>
    <col min="8513" max="8522" width="0.85546875" style="482"/>
    <col min="8523" max="8524" width="0.85546875" style="482" customWidth="1"/>
    <col min="8525" max="8763" width="0.85546875" style="482"/>
    <col min="8764" max="8764" width="0.85546875" style="482" customWidth="1"/>
    <col min="8765" max="8767" width="0.85546875" style="482"/>
    <col min="8768" max="8768" width="0.85546875" style="482" customWidth="1"/>
    <col min="8769" max="8778" width="0.85546875" style="482"/>
    <col min="8779" max="8780" width="0.85546875" style="482" customWidth="1"/>
    <col min="8781" max="9019" width="0.85546875" style="482"/>
    <col min="9020" max="9020" width="0.85546875" style="482" customWidth="1"/>
    <col min="9021" max="9023" width="0.85546875" style="482"/>
    <col min="9024" max="9024" width="0.85546875" style="482" customWidth="1"/>
    <col min="9025" max="9034" width="0.85546875" style="482"/>
    <col min="9035" max="9036" width="0.85546875" style="482" customWidth="1"/>
    <col min="9037" max="9275" width="0.85546875" style="482"/>
    <col min="9276" max="9276" width="0.85546875" style="482" customWidth="1"/>
    <col min="9277" max="9279" width="0.85546875" style="482"/>
    <col min="9280" max="9280" width="0.85546875" style="482" customWidth="1"/>
    <col min="9281" max="9290" width="0.85546875" style="482"/>
    <col min="9291" max="9292" width="0.85546875" style="482" customWidth="1"/>
    <col min="9293" max="9531" width="0.85546875" style="482"/>
    <col min="9532" max="9532" width="0.85546875" style="482" customWidth="1"/>
    <col min="9533" max="9535" width="0.85546875" style="482"/>
    <col min="9536" max="9536" width="0.85546875" style="482" customWidth="1"/>
    <col min="9537" max="9546" width="0.85546875" style="482"/>
    <col min="9547" max="9548" width="0.85546875" style="482" customWidth="1"/>
    <col min="9549" max="9787" width="0.85546875" style="482"/>
    <col min="9788" max="9788" width="0.85546875" style="482" customWidth="1"/>
    <col min="9789" max="9791" width="0.85546875" style="482"/>
    <col min="9792" max="9792" width="0.85546875" style="482" customWidth="1"/>
    <col min="9793" max="9802" width="0.85546875" style="482"/>
    <col min="9803" max="9804" width="0.85546875" style="482" customWidth="1"/>
    <col min="9805" max="10043" width="0.85546875" style="482"/>
    <col min="10044" max="10044" width="0.85546875" style="482" customWidth="1"/>
    <col min="10045" max="10047" width="0.85546875" style="482"/>
    <col min="10048" max="10048" width="0.85546875" style="482" customWidth="1"/>
    <col min="10049" max="10058" width="0.85546875" style="482"/>
    <col min="10059" max="10060" width="0.85546875" style="482" customWidth="1"/>
    <col min="10061" max="10299" width="0.85546875" style="482"/>
    <col min="10300" max="10300" width="0.85546875" style="482" customWidth="1"/>
    <col min="10301" max="10303" width="0.85546875" style="482"/>
    <col min="10304" max="10304" width="0.85546875" style="482" customWidth="1"/>
    <col min="10305" max="10314" width="0.85546875" style="482"/>
    <col min="10315" max="10316" width="0.85546875" style="482" customWidth="1"/>
    <col min="10317" max="10555" width="0.85546875" style="482"/>
    <col min="10556" max="10556" width="0.85546875" style="482" customWidth="1"/>
    <col min="10557" max="10559" width="0.85546875" style="482"/>
    <col min="10560" max="10560" width="0.85546875" style="482" customWidth="1"/>
    <col min="10561" max="10570" width="0.85546875" style="482"/>
    <col min="10571" max="10572" width="0.85546875" style="482" customWidth="1"/>
    <col min="10573" max="10811" width="0.85546875" style="482"/>
    <col min="10812" max="10812" width="0.85546875" style="482" customWidth="1"/>
    <col min="10813" max="10815" width="0.85546875" style="482"/>
    <col min="10816" max="10816" width="0.85546875" style="482" customWidth="1"/>
    <col min="10817" max="10826" width="0.85546875" style="482"/>
    <col min="10827" max="10828" width="0.85546875" style="482" customWidth="1"/>
    <col min="10829" max="11067" width="0.85546875" style="482"/>
    <col min="11068" max="11068" width="0.85546875" style="482" customWidth="1"/>
    <col min="11069" max="11071" width="0.85546875" style="482"/>
    <col min="11072" max="11072" width="0.85546875" style="482" customWidth="1"/>
    <col min="11073" max="11082" width="0.85546875" style="482"/>
    <col min="11083" max="11084" width="0.85546875" style="482" customWidth="1"/>
    <col min="11085" max="11323" width="0.85546875" style="482"/>
    <col min="11324" max="11324" width="0.85546875" style="482" customWidth="1"/>
    <col min="11325" max="11327" width="0.85546875" style="482"/>
    <col min="11328" max="11328" width="0.85546875" style="482" customWidth="1"/>
    <col min="11329" max="11338" width="0.85546875" style="482"/>
    <col min="11339" max="11340" width="0.85546875" style="482" customWidth="1"/>
    <col min="11341" max="11579" width="0.85546875" style="482"/>
    <col min="11580" max="11580" width="0.85546875" style="482" customWidth="1"/>
    <col min="11581" max="11583" width="0.85546875" style="482"/>
    <col min="11584" max="11584" width="0.85546875" style="482" customWidth="1"/>
    <col min="11585" max="11594" width="0.85546875" style="482"/>
    <col min="11595" max="11596" width="0.85546875" style="482" customWidth="1"/>
    <col min="11597" max="11835" width="0.85546875" style="482"/>
    <col min="11836" max="11836" width="0.85546875" style="482" customWidth="1"/>
    <col min="11837" max="11839" width="0.85546875" style="482"/>
    <col min="11840" max="11840" width="0.85546875" style="482" customWidth="1"/>
    <col min="11841" max="11850" width="0.85546875" style="482"/>
    <col min="11851" max="11852" width="0.85546875" style="482" customWidth="1"/>
    <col min="11853" max="12091" width="0.85546875" style="482"/>
    <col min="12092" max="12092" width="0.85546875" style="482" customWidth="1"/>
    <col min="12093" max="12095" width="0.85546875" style="482"/>
    <col min="12096" max="12096" width="0.85546875" style="482" customWidth="1"/>
    <col min="12097" max="12106" width="0.85546875" style="482"/>
    <col min="12107" max="12108" width="0.85546875" style="482" customWidth="1"/>
    <col min="12109" max="12347" width="0.85546875" style="482"/>
    <col min="12348" max="12348" width="0.85546875" style="482" customWidth="1"/>
    <col min="12349" max="12351" width="0.85546875" style="482"/>
    <col min="12352" max="12352" width="0.85546875" style="482" customWidth="1"/>
    <col min="12353" max="12362" width="0.85546875" style="482"/>
    <col min="12363" max="12364" width="0.85546875" style="482" customWidth="1"/>
    <col min="12365" max="12603" width="0.85546875" style="482"/>
    <col min="12604" max="12604" width="0.85546875" style="482" customWidth="1"/>
    <col min="12605" max="12607" width="0.85546875" style="482"/>
    <col min="12608" max="12608" width="0.85546875" style="482" customWidth="1"/>
    <col min="12609" max="12618" width="0.85546875" style="482"/>
    <col min="12619" max="12620" width="0.85546875" style="482" customWidth="1"/>
    <col min="12621" max="12859" width="0.85546875" style="482"/>
    <col min="12860" max="12860" width="0.85546875" style="482" customWidth="1"/>
    <col min="12861" max="12863" width="0.85546875" style="482"/>
    <col min="12864" max="12864" width="0.85546875" style="482" customWidth="1"/>
    <col min="12865" max="12874" width="0.85546875" style="482"/>
    <col min="12875" max="12876" width="0.85546875" style="482" customWidth="1"/>
    <col min="12877" max="13115" width="0.85546875" style="482"/>
    <col min="13116" max="13116" width="0.85546875" style="482" customWidth="1"/>
    <col min="13117" max="13119" width="0.85546875" style="482"/>
    <col min="13120" max="13120" width="0.85546875" style="482" customWidth="1"/>
    <col min="13121" max="13130" width="0.85546875" style="482"/>
    <col min="13131" max="13132" width="0.85546875" style="482" customWidth="1"/>
    <col min="13133" max="13371" width="0.85546875" style="482"/>
    <col min="13372" max="13372" width="0.85546875" style="482" customWidth="1"/>
    <col min="13373" max="13375" width="0.85546875" style="482"/>
    <col min="13376" max="13376" width="0.85546875" style="482" customWidth="1"/>
    <col min="13377" max="13386" width="0.85546875" style="482"/>
    <col min="13387" max="13388" width="0.85546875" style="482" customWidth="1"/>
    <col min="13389" max="13627" width="0.85546875" style="482"/>
    <col min="13628" max="13628" width="0.85546875" style="482" customWidth="1"/>
    <col min="13629" max="13631" width="0.85546875" style="482"/>
    <col min="13632" max="13632" width="0.85546875" style="482" customWidth="1"/>
    <col min="13633" max="13642" width="0.85546875" style="482"/>
    <col min="13643" max="13644" width="0.85546875" style="482" customWidth="1"/>
    <col min="13645" max="13883" width="0.85546875" style="482"/>
    <col min="13884" max="13884" width="0.85546875" style="482" customWidth="1"/>
    <col min="13885" max="13887" width="0.85546875" style="482"/>
    <col min="13888" max="13888" width="0.85546875" style="482" customWidth="1"/>
    <col min="13889" max="13898" width="0.85546875" style="482"/>
    <col min="13899" max="13900" width="0.85546875" style="482" customWidth="1"/>
    <col min="13901" max="14139" width="0.85546875" style="482"/>
    <col min="14140" max="14140" width="0.85546875" style="482" customWidth="1"/>
    <col min="14141" max="14143" width="0.85546875" style="482"/>
    <col min="14144" max="14144" width="0.85546875" style="482" customWidth="1"/>
    <col min="14145" max="14154" width="0.85546875" style="482"/>
    <col min="14155" max="14156" width="0.85546875" style="482" customWidth="1"/>
    <col min="14157" max="14395" width="0.85546875" style="482"/>
    <col min="14396" max="14396" width="0.85546875" style="482" customWidth="1"/>
    <col min="14397" max="14399" width="0.85546875" style="482"/>
    <col min="14400" max="14400" width="0.85546875" style="482" customWidth="1"/>
    <col min="14401" max="14410" width="0.85546875" style="482"/>
    <col min="14411" max="14412" width="0.85546875" style="482" customWidth="1"/>
    <col min="14413" max="14651" width="0.85546875" style="482"/>
    <col min="14652" max="14652" width="0.85546875" style="482" customWidth="1"/>
    <col min="14653" max="14655" width="0.85546875" style="482"/>
    <col min="14656" max="14656" width="0.85546875" style="482" customWidth="1"/>
    <col min="14657" max="14666" width="0.85546875" style="482"/>
    <col min="14667" max="14668" width="0.85546875" style="482" customWidth="1"/>
    <col min="14669" max="14907" width="0.85546875" style="482"/>
    <col min="14908" max="14908" width="0.85546875" style="482" customWidth="1"/>
    <col min="14909" max="14911" width="0.85546875" style="482"/>
    <col min="14912" max="14912" width="0.85546875" style="482" customWidth="1"/>
    <col min="14913" max="14922" width="0.85546875" style="482"/>
    <col min="14923" max="14924" width="0.85546875" style="482" customWidth="1"/>
    <col min="14925" max="15163" width="0.85546875" style="482"/>
    <col min="15164" max="15164" width="0.85546875" style="482" customWidth="1"/>
    <col min="15165" max="15167" width="0.85546875" style="482"/>
    <col min="15168" max="15168" width="0.85546875" style="482" customWidth="1"/>
    <col min="15169" max="15178" width="0.85546875" style="482"/>
    <col min="15179" max="15180" width="0.85546875" style="482" customWidth="1"/>
    <col min="15181" max="15419" width="0.85546875" style="482"/>
    <col min="15420" max="15420" width="0.85546875" style="482" customWidth="1"/>
    <col min="15421" max="15423" width="0.85546875" style="482"/>
    <col min="15424" max="15424" width="0.85546875" style="482" customWidth="1"/>
    <col min="15425" max="15434" width="0.85546875" style="482"/>
    <col min="15435" max="15436" width="0.85546875" style="482" customWidth="1"/>
    <col min="15437" max="15675" width="0.85546875" style="482"/>
    <col min="15676" max="15676" width="0.85546875" style="482" customWidth="1"/>
    <col min="15677" max="15679" width="0.85546875" style="482"/>
    <col min="15680" max="15680" width="0.85546875" style="482" customWidth="1"/>
    <col min="15681" max="15690" width="0.85546875" style="482"/>
    <col min="15691" max="15692" width="0.85546875" style="482" customWidth="1"/>
    <col min="15693" max="15931" width="0.85546875" style="482"/>
    <col min="15932" max="15932" width="0.85546875" style="482" customWidth="1"/>
    <col min="15933" max="15935" width="0.85546875" style="482"/>
    <col min="15936" max="15936" width="0.85546875" style="482" customWidth="1"/>
    <col min="15937" max="15946" width="0.85546875" style="482"/>
    <col min="15947" max="15948" width="0.85546875" style="482" customWidth="1"/>
    <col min="15949" max="16187" width="0.85546875" style="482"/>
    <col min="16188" max="16188" width="0.85546875" style="482" customWidth="1"/>
    <col min="16189" max="16191" width="0.85546875" style="482"/>
    <col min="16192" max="16192" width="0.85546875" style="482" customWidth="1"/>
    <col min="16193" max="16202" width="0.85546875" style="482"/>
    <col min="16203" max="16204" width="0.85546875" style="482" customWidth="1"/>
    <col min="16205" max="16384" width="0.85546875" style="482"/>
  </cols>
  <sheetData>
    <row r="1" spans="1:170" s="490" customFormat="1" ht="15" customHeight="1" x14ac:dyDescent="0.15">
      <c r="B1" s="1011" t="s">
        <v>988</v>
      </c>
      <c r="C1" s="1011"/>
      <c r="D1" s="1011"/>
      <c r="E1" s="1011"/>
      <c r="F1" s="1011"/>
      <c r="G1" s="1011"/>
      <c r="H1" s="1011"/>
      <c r="I1" s="1011"/>
      <c r="J1" s="1011"/>
      <c r="K1" s="1011"/>
      <c r="L1" s="1011"/>
      <c r="M1" s="1011"/>
      <c r="N1" s="1011"/>
      <c r="O1" s="1011"/>
      <c r="P1" s="1011"/>
      <c r="Q1" s="1011"/>
      <c r="R1" s="1011"/>
      <c r="S1" s="1011"/>
      <c r="T1" s="1011"/>
      <c r="U1" s="1011"/>
      <c r="V1" s="1011"/>
      <c r="W1" s="1011"/>
      <c r="X1" s="1011"/>
      <c r="Y1" s="1011"/>
      <c r="Z1" s="1011"/>
      <c r="AA1" s="1011"/>
      <c r="AB1" s="1011"/>
      <c r="AC1" s="1011"/>
      <c r="AD1" s="1011"/>
      <c r="AE1" s="1011"/>
      <c r="AF1" s="1011"/>
      <c r="AG1" s="1011"/>
      <c r="AH1" s="1011"/>
      <c r="AI1" s="1011"/>
      <c r="AJ1" s="1011"/>
      <c r="AK1" s="1011"/>
      <c r="AL1" s="1011"/>
      <c r="AM1" s="1011"/>
      <c r="AN1" s="1011"/>
      <c r="AO1" s="1011"/>
      <c r="AP1" s="1011"/>
      <c r="AQ1" s="1011"/>
      <c r="AR1" s="1011"/>
      <c r="AS1" s="1011"/>
      <c r="AT1" s="1011"/>
      <c r="AU1" s="1011"/>
      <c r="AV1" s="1011"/>
      <c r="AW1" s="1011"/>
      <c r="AX1" s="1011"/>
      <c r="AY1" s="1011"/>
      <c r="AZ1" s="1011"/>
      <c r="BA1" s="1011"/>
      <c r="BB1" s="1011"/>
      <c r="BC1" s="1011"/>
      <c r="BD1" s="1011"/>
      <c r="BE1" s="1011"/>
      <c r="BF1" s="1011"/>
      <c r="BG1" s="1011"/>
      <c r="BH1" s="1011"/>
      <c r="BI1" s="1011"/>
      <c r="BJ1" s="1011"/>
      <c r="BK1" s="1011"/>
      <c r="BL1" s="1011"/>
      <c r="BM1" s="1011"/>
      <c r="BN1" s="1011"/>
      <c r="BO1" s="1011"/>
      <c r="BP1" s="1011"/>
      <c r="BQ1" s="1011"/>
      <c r="BR1" s="1011"/>
      <c r="BS1" s="1011"/>
      <c r="BT1" s="1011"/>
      <c r="BU1" s="1011"/>
      <c r="BV1" s="1011"/>
      <c r="BW1" s="1011"/>
      <c r="BX1" s="1011"/>
      <c r="BY1" s="1011"/>
      <c r="BZ1" s="1011"/>
      <c r="CA1" s="1011"/>
      <c r="CB1" s="1011"/>
      <c r="CC1" s="1011"/>
      <c r="CD1" s="1011"/>
      <c r="CE1" s="1011"/>
      <c r="CF1" s="1011"/>
      <c r="CG1" s="1011"/>
      <c r="CH1" s="1011"/>
      <c r="CI1" s="1011"/>
      <c r="CJ1" s="1011"/>
      <c r="CK1" s="1011"/>
      <c r="CL1" s="1011"/>
      <c r="CM1" s="1011"/>
      <c r="CN1" s="1011"/>
      <c r="CO1" s="1011"/>
      <c r="CP1" s="1011"/>
      <c r="CQ1" s="1011"/>
      <c r="CR1" s="1011"/>
      <c r="CS1" s="1011"/>
      <c r="CT1" s="1011"/>
      <c r="CU1" s="1011"/>
      <c r="CV1" s="1011"/>
      <c r="CW1" s="1011"/>
      <c r="CX1" s="1011"/>
      <c r="CY1" s="1011"/>
      <c r="CZ1" s="1011"/>
      <c r="DA1" s="1011"/>
      <c r="DB1" s="1011"/>
      <c r="DC1" s="1011"/>
      <c r="DD1" s="1011"/>
      <c r="DE1" s="1011"/>
      <c r="DF1" s="1011"/>
      <c r="DG1" s="1011"/>
      <c r="DH1" s="1011"/>
      <c r="DI1" s="1011"/>
      <c r="DJ1" s="1011"/>
      <c r="DK1" s="1011"/>
      <c r="DL1" s="1011"/>
      <c r="DM1" s="1011"/>
      <c r="DN1" s="1011"/>
      <c r="DO1" s="1011"/>
      <c r="DP1" s="1011"/>
      <c r="DQ1" s="1011"/>
      <c r="DR1" s="1011"/>
      <c r="DS1" s="1011"/>
      <c r="DT1" s="1011"/>
      <c r="DU1" s="1011"/>
      <c r="DV1" s="1011"/>
      <c r="DW1" s="1011"/>
      <c r="DX1" s="1011"/>
      <c r="DY1" s="1011"/>
      <c r="DZ1" s="1011"/>
      <c r="EA1" s="1011"/>
      <c r="EB1" s="1011"/>
      <c r="EC1" s="1011"/>
      <c r="ED1" s="1011"/>
      <c r="EE1" s="1011"/>
      <c r="EF1" s="1011"/>
      <c r="EG1" s="1011"/>
      <c r="EH1" s="1011"/>
      <c r="EI1" s="1011"/>
      <c r="EJ1" s="1011"/>
      <c r="EK1" s="1011"/>
      <c r="EL1" s="1011"/>
      <c r="EM1" s="1011"/>
      <c r="EN1" s="1011"/>
      <c r="EO1" s="1011"/>
      <c r="EP1" s="1011"/>
      <c r="EQ1" s="1011"/>
      <c r="ER1" s="1011"/>
      <c r="ES1" s="1011"/>
      <c r="ET1" s="1011"/>
      <c r="EU1" s="1011"/>
      <c r="EV1" s="1011"/>
      <c r="EW1" s="1011"/>
      <c r="EX1" s="1011"/>
      <c r="EY1" s="1011"/>
      <c r="EZ1" s="1011"/>
      <c r="FA1" s="1011"/>
      <c r="FB1" s="1011"/>
      <c r="FC1" s="1011"/>
      <c r="FD1" s="1011"/>
      <c r="FE1" s="1011"/>
      <c r="FF1" s="1011"/>
      <c r="FG1" s="1011"/>
      <c r="FH1" s="1011"/>
      <c r="FI1" s="1011"/>
      <c r="FJ1" s="1011"/>
    </row>
    <row r="2" spans="1:170" ht="15" customHeight="1" x14ac:dyDescent="0.2">
      <c r="DW2" s="1012" t="e">
        <f>'стр 1   -  6'!DF96:DR96</f>
        <v>#VALUE!</v>
      </c>
      <c r="DX2" s="1012"/>
      <c r="DY2" s="1012"/>
      <c r="DZ2" s="1012"/>
      <c r="EA2" s="1012"/>
      <c r="EB2" s="1012"/>
      <c r="EC2" s="1012"/>
      <c r="ED2" s="1012"/>
      <c r="EE2" s="1012"/>
      <c r="EF2" s="1012"/>
      <c r="EG2" s="1012" t="e">
        <f>'стр 1   -  6'!DS96:EE96</f>
        <v>#VALUE!</v>
      </c>
      <c r="EH2" s="1012"/>
      <c r="EI2" s="1012"/>
      <c r="EJ2" s="1012"/>
      <c r="EK2" s="1012"/>
      <c r="EL2" s="1012"/>
      <c r="EM2" s="1012"/>
      <c r="EN2" s="1012"/>
      <c r="EO2" s="1012"/>
      <c r="EP2" s="1012"/>
      <c r="EQ2" s="1012">
        <f>'стр 1   -  6'!EF96:ER96</f>
        <v>0</v>
      </c>
      <c r="ER2" s="1012"/>
      <c r="ES2" s="1012"/>
      <c r="ET2" s="1012"/>
      <c r="EU2" s="1012"/>
      <c r="EV2" s="1012"/>
      <c r="EW2" s="1012"/>
      <c r="EX2" s="1012"/>
      <c r="EY2" s="1012"/>
      <c r="EZ2" s="1012"/>
    </row>
    <row r="3" spans="1:170" ht="15" customHeight="1" x14ac:dyDescent="0.2">
      <c r="A3" s="1003" t="s">
        <v>989</v>
      </c>
      <c r="B3" s="1003"/>
      <c r="C3" s="1003"/>
      <c r="D3" s="1003"/>
      <c r="E3" s="1003"/>
      <c r="F3" s="1003"/>
      <c r="G3" s="1003"/>
      <c r="H3" s="907" t="s">
        <v>44</v>
      </c>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907"/>
      <c r="AJ3" s="907"/>
      <c r="AK3" s="907"/>
      <c r="AL3" s="907"/>
      <c r="AM3" s="907"/>
      <c r="AN3" s="907"/>
      <c r="AO3" s="907"/>
      <c r="AP3" s="907"/>
      <c r="AQ3" s="907"/>
      <c r="AR3" s="907"/>
      <c r="AS3" s="907"/>
      <c r="AT3" s="907"/>
      <c r="AU3" s="907"/>
      <c r="AV3" s="907"/>
      <c r="AW3" s="907"/>
      <c r="AX3" s="907"/>
      <c r="AY3" s="907"/>
      <c r="AZ3" s="907"/>
      <c r="BA3" s="907"/>
      <c r="BB3" s="907"/>
      <c r="BC3" s="907"/>
      <c r="BD3" s="907"/>
      <c r="BE3" s="907"/>
      <c r="BF3" s="907"/>
      <c r="BG3" s="907"/>
      <c r="BH3" s="907"/>
      <c r="BI3" s="907"/>
      <c r="BJ3" s="907"/>
      <c r="BK3" s="907"/>
      <c r="BL3" s="907"/>
      <c r="BM3" s="907"/>
      <c r="BN3" s="907"/>
      <c r="BO3" s="907"/>
      <c r="BP3" s="907"/>
      <c r="BQ3" s="907"/>
      <c r="BR3" s="907"/>
      <c r="BS3" s="907"/>
      <c r="BT3" s="907"/>
      <c r="BU3" s="907"/>
      <c r="BV3" s="907"/>
      <c r="BW3" s="907"/>
      <c r="BX3" s="907"/>
      <c r="BY3" s="907"/>
      <c r="BZ3" s="907"/>
      <c r="CA3" s="907"/>
      <c r="CB3" s="907"/>
      <c r="CC3" s="907"/>
      <c r="CD3" s="907"/>
      <c r="CE3" s="907"/>
      <c r="CF3" s="907"/>
      <c r="CG3" s="907"/>
      <c r="CH3" s="907"/>
      <c r="CI3" s="907"/>
      <c r="CJ3" s="907"/>
      <c r="CK3" s="908"/>
      <c r="CL3" s="913" t="s">
        <v>990</v>
      </c>
      <c r="CM3" s="914"/>
      <c r="CN3" s="914"/>
      <c r="CO3" s="914"/>
      <c r="CP3" s="914"/>
      <c r="CQ3" s="914"/>
      <c r="CR3" s="915"/>
      <c r="CS3" s="913" t="s">
        <v>991</v>
      </c>
      <c r="CT3" s="914"/>
      <c r="CU3" s="914"/>
      <c r="CV3" s="914"/>
      <c r="CW3" s="914"/>
      <c r="CX3" s="914"/>
      <c r="CY3" s="915"/>
      <c r="CZ3" s="913" t="s">
        <v>992</v>
      </c>
      <c r="DA3" s="914"/>
      <c r="DB3" s="914"/>
      <c r="DC3" s="914"/>
      <c r="DD3" s="914"/>
      <c r="DE3" s="914"/>
      <c r="DF3" s="914"/>
      <c r="DG3" s="914"/>
      <c r="DH3" s="914"/>
      <c r="DI3" s="914"/>
      <c r="DJ3" s="914"/>
      <c r="DK3" s="915"/>
      <c r="DL3" s="913" t="s">
        <v>993</v>
      </c>
      <c r="DM3" s="914"/>
      <c r="DN3" s="914"/>
      <c r="DO3" s="914"/>
      <c r="DP3" s="914"/>
      <c r="DQ3" s="914"/>
      <c r="DR3" s="914"/>
      <c r="DS3" s="914"/>
      <c r="DT3" s="914"/>
      <c r="DU3" s="914"/>
      <c r="DV3" s="915"/>
      <c r="DW3" s="858" t="s">
        <v>383</v>
      </c>
      <c r="DX3" s="859"/>
      <c r="DY3" s="859"/>
      <c r="DZ3" s="859"/>
      <c r="EA3" s="859"/>
      <c r="EB3" s="859"/>
      <c r="EC3" s="859"/>
      <c r="ED3" s="859"/>
      <c r="EE3" s="859"/>
      <c r="EF3" s="859"/>
      <c r="EG3" s="859"/>
      <c r="EH3" s="859"/>
      <c r="EI3" s="859"/>
      <c r="EJ3" s="859"/>
      <c r="EK3" s="859"/>
      <c r="EL3" s="859"/>
      <c r="EM3" s="859"/>
      <c r="EN3" s="859"/>
      <c r="EO3" s="859"/>
      <c r="EP3" s="859"/>
      <c r="EQ3" s="859"/>
      <c r="ER3" s="859"/>
      <c r="ES3" s="859"/>
      <c r="ET3" s="859"/>
      <c r="EU3" s="859"/>
      <c r="EV3" s="859"/>
      <c r="EW3" s="859"/>
      <c r="EX3" s="859"/>
      <c r="EY3" s="859"/>
      <c r="EZ3" s="859"/>
      <c r="FA3" s="859"/>
      <c r="FB3" s="859"/>
      <c r="FC3" s="859"/>
      <c r="FD3" s="859"/>
      <c r="FE3" s="859"/>
      <c r="FF3" s="859"/>
      <c r="FG3" s="859"/>
      <c r="FH3" s="859"/>
      <c r="FI3" s="859"/>
      <c r="FJ3" s="859"/>
      <c r="FK3" s="859"/>
    </row>
    <row r="4" spans="1:170" ht="15" customHeight="1" x14ac:dyDescent="0.2">
      <c r="A4" s="1003"/>
      <c r="B4" s="1003"/>
      <c r="C4" s="1003"/>
      <c r="D4" s="1003"/>
      <c r="E4" s="1003"/>
      <c r="F4" s="1003"/>
      <c r="G4" s="1003"/>
      <c r="H4" s="909"/>
      <c r="I4" s="909"/>
      <c r="J4" s="909"/>
      <c r="K4" s="909"/>
      <c r="L4" s="909"/>
      <c r="M4" s="909"/>
      <c r="N4" s="909"/>
      <c r="O4" s="909"/>
      <c r="P4" s="909"/>
      <c r="Q4" s="909"/>
      <c r="R4" s="909"/>
      <c r="S4" s="909"/>
      <c r="T4" s="909"/>
      <c r="U4" s="909"/>
      <c r="V4" s="909"/>
      <c r="W4" s="909"/>
      <c r="X4" s="909"/>
      <c r="Y4" s="909"/>
      <c r="Z4" s="909"/>
      <c r="AA4" s="909"/>
      <c r="AB4" s="909"/>
      <c r="AC4" s="909"/>
      <c r="AD4" s="909"/>
      <c r="AE4" s="909"/>
      <c r="AF4" s="909"/>
      <c r="AG4" s="909"/>
      <c r="AH4" s="909"/>
      <c r="AI4" s="909"/>
      <c r="AJ4" s="909"/>
      <c r="AK4" s="909"/>
      <c r="AL4" s="909"/>
      <c r="AM4" s="909"/>
      <c r="AN4" s="909"/>
      <c r="AO4" s="909"/>
      <c r="AP4" s="909"/>
      <c r="AQ4" s="909"/>
      <c r="AR4" s="909"/>
      <c r="AS4" s="909"/>
      <c r="AT4" s="909"/>
      <c r="AU4" s="909"/>
      <c r="AV4" s="909"/>
      <c r="AW4" s="909"/>
      <c r="AX4" s="909"/>
      <c r="AY4" s="909"/>
      <c r="AZ4" s="909"/>
      <c r="BA4" s="909"/>
      <c r="BB4" s="909"/>
      <c r="BC4" s="909"/>
      <c r="BD4" s="909"/>
      <c r="BE4" s="909"/>
      <c r="BF4" s="909"/>
      <c r="BG4" s="909"/>
      <c r="BH4" s="909"/>
      <c r="BI4" s="909"/>
      <c r="BJ4" s="909"/>
      <c r="BK4" s="909"/>
      <c r="BL4" s="909"/>
      <c r="BM4" s="909"/>
      <c r="BN4" s="909"/>
      <c r="BO4" s="909"/>
      <c r="BP4" s="909"/>
      <c r="BQ4" s="909"/>
      <c r="BR4" s="909"/>
      <c r="BS4" s="909"/>
      <c r="BT4" s="909"/>
      <c r="BU4" s="909"/>
      <c r="BV4" s="909"/>
      <c r="BW4" s="909"/>
      <c r="BX4" s="909"/>
      <c r="BY4" s="909"/>
      <c r="BZ4" s="909"/>
      <c r="CA4" s="909"/>
      <c r="CB4" s="909"/>
      <c r="CC4" s="909"/>
      <c r="CD4" s="909"/>
      <c r="CE4" s="909"/>
      <c r="CF4" s="909"/>
      <c r="CG4" s="909"/>
      <c r="CH4" s="909"/>
      <c r="CI4" s="909"/>
      <c r="CJ4" s="909"/>
      <c r="CK4" s="910"/>
      <c r="CL4" s="916"/>
      <c r="CM4" s="917"/>
      <c r="CN4" s="917"/>
      <c r="CO4" s="917"/>
      <c r="CP4" s="917"/>
      <c r="CQ4" s="917"/>
      <c r="CR4" s="918"/>
      <c r="CS4" s="916"/>
      <c r="CT4" s="917"/>
      <c r="CU4" s="917"/>
      <c r="CV4" s="917"/>
      <c r="CW4" s="917"/>
      <c r="CX4" s="917"/>
      <c r="CY4" s="918"/>
      <c r="CZ4" s="916"/>
      <c r="DA4" s="917"/>
      <c r="DB4" s="917"/>
      <c r="DC4" s="917"/>
      <c r="DD4" s="917"/>
      <c r="DE4" s="917"/>
      <c r="DF4" s="917"/>
      <c r="DG4" s="917"/>
      <c r="DH4" s="917"/>
      <c r="DI4" s="917"/>
      <c r="DJ4" s="917"/>
      <c r="DK4" s="918"/>
      <c r="DL4" s="916"/>
      <c r="DM4" s="917"/>
      <c r="DN4" s="917"/>
      <c r="DO4" s="917"/>
      <c r="DP4" s="917"/>
      <c r="DQ4" s="917"/>
      <c r="DR4" s="917"/>
      <c r="DS4" s="917"/>
      <c r="DT4" s="917"/>
      <c r="DU4" s="917"/>
      <c r="DV4" s="918"/>
      <c r="DW4" s="922" t="s">
        <v>818</v>
      </c>
      <c r="DX4" s="923"/>
      <c r="DY4" s="923"/>
      <c r="DZ4" s="923"/>
      <c r="EA4" s="923"/>
      <c r="EB4" s="783" t="s">
        <v>799</v>
      </c>
      <c r="EC4" s="783"/>
      <c r="ED4" s="783"/>
      <c r="EE4" s="875" t="s">
        <v>994</v>
      </c>
      <c r="EF4" s="1004"/>
      <c r="EG4" s="922" t="s">
        <v>818</v>
      </c>
      <c r="EH4" s="923"/>
      <c r="EI4" s="923"/>
      <c r="EJ4" s="923"/>
      <c r="EK4" s="923"/>
      <c r="EL4" s="783" t="s">
        <v>801</v>
      </c>
      <c r="EM4" s="783"/>
      <c r="EN4" s="783"/>
      <c r="EO4" s="875" t="s">
        <v>994</v>
      </c>
      <c r="EP4" s="1004"/>
      <c r="EQ4" s="922" t="s">
        <v>818</v>
      </c>
      <c r="ER4" s="923"/>
      <c r="ES4" s="923"/>
      <c r="ET4" s="923"/>
      <c r="EU4" s="923"/>
      <c r="EV4" s="783" t="s">
        <v>1088</v>
      </c>
      <c r="EW4" s="783"/>
      <c r="EX4" s="783"/>
      <c r="EY4" s="875" t="s">
        <v>994</v>
      </c>
      <c r="EZ4" s="1004"/>
      <c r="FA4" s="913" t="s">
        <v>384</v>
      </c>
      <c r="FB4" s="914"/>
      <c r="FC4" s="914"/>
      <c r="FD4" s="914"/>
      <c r="FE4" s="914"/>
      <c r="FF4" s="914"/>
      <c r="FG4" s="914"/>
      <c r="FH4" s="914"/>
      <c r="FI4" s="914"/>
      <c r="FJ4" s="914"/>
      <c r="FK4" s="914"/>
    </row>
    <row r="5" spans="1:170" ht="15" customHeight="1" x14ac:dyDescent="0.2">
      <c r="A5" s="1003"/>
      <c r="B5" s="1003"/>
      <c r="C5" s="1003"/>
      <c r="D5" s="1003"/>
      <c r="E5" s="1003"/>
      <c r="F5" s="1003"/>
      <c r="G5" s="1003"/>
      <c r="H5" s="911"/>
      <c r="I5" s="911"/>
      <c r="J5" s="911"/>
      <c r="K5" s="911"/>
      <c r="L5" s="911"/>
      <c r="M5" s="911"/>
      <c r="N5" s="911"/>
      <c r="O5" s="911"/>
      <c r="P5" s="911"/>
      <c r="Q5" s="911"/>
      <c r="R5" s="911"/>
      <c r="S5" s="911"/>
      <c r="T5" s="911"/>
      <c r="U5" s="911"/>
      <c r="V5" s="911"/>
      <c r="W5" s="911"/>
      <c r="X5" s="911"/>
      <c r="Y5" s="911"/>
      <c r="Z5" s="911"/>
      <c r="AA5" s="911"/>
      <c r="AB5" s="911"/>
      <c r="AC5" s="911"/>
      <c r="AD5" s="911"/>
      <c r="AE5" s="911"/>
      <c r="AF5" s="911"/>
      <c r="AG5" s="911"/>
      <c r="AH5" s="911"/>
      <c r="AI5" s="911"/>
      <c r="AJ5" s="911"/>
      <c r="AK5" s="911"/>
      <c r="AL5" s="911"/>
      <c r="AM5" s="911"/>
      <c r="AN5" s="911"/>
      <c r="AO5" s="911"/>
      <c r="AP5" s="911"/>
      <c r="AQ5" s="911"/>
      <c r="AR5" s="911"/>
      <c r="AS5" s="911"/>
      <c r="AT5" s="911"/>
      <c r="AU5" s="911"/>
      <c r="AV5" s="911"/>
      <c r="AW5" s="911"/>
      <c r="AX5" s="911"/>
      <c r="AY5" s="911"/>
      <c r="AZ5" s="911"/>
      <c r="BA5" s="911"/>
      <c r="BB5" s="911"/>
      <c r="BC5" s="911"/>
      <c r="BD5" s="911"/>
      <c r="BE5" s="911"/>
      <c r="BF5" s="911"/>
      <c r="BG5" s="911"/>
      <c r="BH5" s="911"/>
      <c r="BI5" s="911"/>
      <c r="BJ5" s="911"/>
      <c r="BK5" s="911"/>
      <c r="BL5" s="911"/>
      <c r="BM5" s="911"/>
      <c r="BN5" s="911"/>
      <c r="BO5" s="911"/>
      <c r="BP5" s="911"/>
      <c r="BQ5" s="911"/>
      <c r="BR5" s="911"/>
      <c r="BS5" s="911"/>
      <c r="BT5" s="911"/>
      <c r="BU5" s="911"/>
      <c r="BV5" s="911"/>
      <c r="BW5" s="911"/>
      <c r="BX5" s="911"/>
      <c r="BY5" s="911"/>
      <c r="BZ5" s="911"/>
      <c r="CA5" s="911"/>
      <c r="CB5" s="911"/>
      <c r="CC5" s="911"/>
      <c r="CD5" s="911"/>
      <c r="CE5" s="911"/>
      <c r="CF5" s="911"/>
      <c r="CG5" s="911"/>
      <c r="CH5" s="911"/>
      <c r="CI5" s="911"/>
      <c r="CJ5" s="911"/>
      <c r="CK5" s="912"/>
      <c r="CL5" s="919"/>
      <c r="CM5" s="920"/>
      <c r="CN5" s="920"/>
      <c r="CO5" s="920"/>
      <c r="CP5" s="920"/>
      <c r="CQ5" s="920"/>
      <c r="CR5" s="921"/>
      <c r="CS5" s="919"/>
      <c r="CT5" s="920"/>
      <c r="CU5" s="920"/>
      <c r="CV5" s="920"/>
      <c r="CW5" s="920"/>
      <c r="CX5" s="920"/>
      <c r="CY5" s="921"/>
      <c r="CZ5" s="919"/>
      <c r="DA5" s="920"/>
      <c r="DB5" s="920"/>
      <c r="DC5" s="920"/>
      <c r="DD5" s="920"/>
      <c r="DE5" s="920"/>
      <c r="DF5" s="920"/>
      <c r="DG5" s="920"/>
      <c r="DH5" s="920"/>
      <c r="DI5" s="920"/>
      <c r="DJ5" s="920"/>
      <c r="DK5" s="921"/>
      <c r="DL5" s="919"/>
      <c r="DM5" s="920"/>
      <c r="DN5" s="920"/>
      <c r="DO5" s="920"/>
      <c r="DP5" s="920"/>
      <c r="DQ5" s="920"/>
      <c r="DR5" s="920"/>
      <c r="DS5" s="920"/>
      <c r="DT5" s="920"/>
      <c r="DU5" s="920"/>
      <c r="DV5" s="921"/>
      <c r="DW5" s="927" t="s">
        <v>995</v>
      </c>
      <c r="DX5" s="928"/>
      <c r="DY5" s="928"/>
      <c r="DZ5" s="928"/>
      <c r="EA5" s="928"/>
      <c r="EB5" s="928"/>
      <c r="EC5" s="928"/>
      <c r="ED5" s="928"/>
      <c r="EE5" s="928"/>
      <c r="EF5" s="929"/>
      <c r="EG5" s="927" t="s">
        <v>996</v>
      </c>
      <c r="EH5" s="928"/>
      <c r="EI5" s="928"/>
      <c r="EJ5" s="928"/>
      <c r="EK5" s="928"/>
      <c r="EL5" s="928"/>
      <c r="EM5" s="928"/>
      <c r="EN5" s="928"/>
      <c r="EO5" s="928"/>
      <c r="EP5" s="929"/>
      <c r="EQ5" s="927" t="s">
        <v>997</v>
      </c>
      <c r="ER5" s="928"/>
      <c r="ES5" s="928"/>
      <c r="ET5" s="928"/>
      <c r="EU5" s="928"/>
      <c r="EV5" s="928"/>
      <c r="EW5" s="928"/>
      <c r="EX5" s="928"/>
      <c r="EY5" s="928"/>
      <c r="EZ5" s="929"/>
      <c r="FA5" s="919"/>
      <c r="FB5" s="920"/>
      <c r="FC5" s="920"/>
      <c r="FD5" s="920"/>
      <c r="FE5" s="920"/>
      <c r="FF5" s="920"/>
      <c r="FG5" s="920"/>
      <c r="FH5" s="920"/>
      <c r="FI5" s="920"/>
      <c r="FJ5" s="920"/>
      <c r="FK5" s="920"/>
    </row>
    <row r="6" spans="1:170" ht="15" customHeight="1" thickBot="1" x14ac:dyDescent="0.25">
      <c r="A6" s="1002" t="s">
        <v>822</v>
      </c>
      <c r="B6" s="1002"/>
      <c r="C6" s="1002"/>
      <c r="D6" s="1002"/>
      <c r="E6" s="1002"/>
      <c r="F6" s="1002"/>
      <c r="G6" s="1002"/>
      <c r="H6" s="900" t="s">
        <v>823</v>
      </c>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0"/>
      <c r="AY6" s="900"/>
      <c r="AZ6" s="900"/>
      <c r="BA6" s="900"/>
      <c r="BB6" s="900"/>
      <c r="BC6" s="900"/>
      <c r="BD6" s="900"/>
      <c r="BE6" s="900"/>
      <c r="BF6" s="900"/>
      <c r="BG6" s="900"/>
      <c r="BH6" s="900"/>
      <c r="BI6" s="900"/>
      <c r="BJ6" s="900"/>
      <c r="BK6" s="900"/>
      <c r="BL6" s="900"/>
      <c r="BM6" s="900"/>
      <c r="BN6" s="900"/>
      <c r="BO6" s="900"/>
      <c r="BP6" s="900"/>
      <c r="BQ6" s="900"/>
      <c r="BR6" s="900"/>
      <c r="BS6" s="900"/>
      <c r="BT6" s="900"/>
      <c r="BU6" s="900"/>
      <c r="BV6" s="900"/>
      <c r="BW6" s="900"/>
      <c r="BX6" s="900"/>
      <c r="BY6" s="900"/>
      <c r="BZ6" s="900"/>
      <c r="CA6" s="900"/>
      <c r="CB6" s="900"/>
      <c r="CC6" s="900"/>
      <c r="CD6" s="900"/>
      <c r="CE6" s="900"/>
      <c r="CF6" s="900"/>
      <c r="CG6" s="900"/>
      <c r="CH6" s="900"/>
      <c r="CI6" s="900"/>
      <c r="CJ6" s="900"/>
      <c r="CK6" s="901"/>
      <c r="CL6" s="887" t="s">
        <v>824</v>
      </c>
      <c r="CM6" s="888"/>
      <c r="CN6" s="888"/>
      <c r="CO6" s="888"/>
      <c r="CP6" s="888"/>
      <c r="CQ6" s="888"/>
      <c r="CR6" s="889"/>
      <c r="CS6" s="887" t="s">
        <v>825</v>
      </c>
      <c r="CT6" s="888"/>
      <c r="CU6" s="888"/>
      <c r="CV6" s="888"/>
      <c r="CW6" s="888"/>
      <c r="CX6" s="888"/>
      <c r="CY6" s="889"/>
      <c r="CZ6" s="887" t="s">
        <v>998</v>
      </c>
      <c r="DA6" s="888"/>
      <c r="DB6" s="888"/>
      <c r="DC6" s="888"/>
      <c r="DD6" s="888"/>
      <c r="DE6" s="888"/>
      <c r="DF6" s="888"/>
      <c r="DG6" s="888"/>
      <c r="DH6" s="888"/>
      <c r="DI6" s="888"/>
      <c r="DJ6" s="888"/>
      <c r="DK6" s="889"/>
      <c r="DL6" s="887" t="s">
        <v>999</v>
      </c>
      <c r="DM6" s="888"/>
      <c r="DN6" s="888"/>
      <c r="DO6" s="888"/>
      <c r="DP6" s="888"/>
      <c r="DQ6" s="888"/>
      <c r="DR6" s="888"/>
      <c r="DS6" s="888"/>
      <c r="DT6" s="888"/>
      <c r="DU6" s="888"/>
      <c r="DV6" s="889"/>
      <c r="DW6" s="887" t="s">
        <v>826</v>
      </c>
      <c r="DX6" s="888"/>
      <c r="DY6" s="888"/>
      <c r="DZ6" s="888"/>
      <c r="EA6" s="888"/>
      <c r="EB6" s="888"/>
      <c r="EC6" s="888"/>
      <c r="ED6" s="888"/>
      <c r="EE6" s="888"/>
      <c r="EF6" s="889"/>
      <c r="EG6" s="887" t="s">
        <v>827</v>
      </c>
      <c r="EH6" s="888"/>
      <c r="EI6" s="888"/>
      <c r="EJ6" s="888"/>
      <c r="EK6" s="888"/>
      <c r="EL6" s="888"/>
      <c r="EM6" s="888"/>
      <c r="EN6" s="888"/>
      <c r="EO6" s="888"/>
      <c r="EP6" s="889"/>
      <c r="EQ6" s="887" t="s">
        <v>828</v>
      </c>
      <c r="ER6" s="888"/>
      <c r="ES6" s="888"/>
      <c r="ET6" s="888"/>
      <c r="EU6" s="888"/>
      <c r="EV6" s="888"/>
      <c r="EW6" s="888"/>
      <c r="EX6" s="888"/>
      <c r="EY6" s="888"/>
      <c r="EZ6" s="889"/>
      <c r="FA6" s="887" t="s">
        <v>829</v>
      </c>
      <c r="FB6" s="888"/>
      <c r="FC6" s="888"/>
      <c r="FD6" s="888"/>
      <c r="FE6" s="888"/>
      <c r="FF6" s="888"/>
      <c r="FG6" s="888"/>
      <c r="FH6" s="888"/>
      <c r="FI6" s="888"/>
      <c r="FJ6" s="888"/>
      <c r="FK6" s="888"/>
    </row>
    <row r="7" spans="1:170" ht="36" customHeight="1" x14ac:dyDescent="0.2">
      <c r="A7" s="1006">
        <v>1</v>
      </c>
      <c r="B7" s="1006"/>
      <c r="C7" s="1006"/>
      <c r="D7" s="1006"/>
      <c r="E7" s="1006"/>
      <c r="F7" s="1006"/>
      <c r="G7" s="1006"/>
      <c r="H7" s="1007" t="s">
        <v>1000</v>
      </c>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6"/>
      <c r="AY7" s="786"/>
      <c r="AZ7" s="786"/>
      <c r="BA7" s="786"/>
      <c r="BB7" s="786"/>
      <c r="BC7" s="786"/>
      <c r="BD7" s="786"/>
      <c r="BE7" s="786"/>
      <c r="BF7" s="786"/>
      <c r="BG7" s="786"/>
      <c r="BH7" s="786"/>
      <c r="BI7" s="786"/>
      <c r="BJ7" s="786"/>
      <c r="BK7" s="786"/>
      <c r="BL7" s="786"/>
      <c r="BM7" s="786"/>
      <c r="BN7" s="786"/>
      <c r="BO7" s="786"/>
      <c r="BP7" s="786"/>
      <c r="BQ7" s="786"/>
      <c r="BR7" s="786"/>
      <c r="BS7" s="786"/>
      <c r="BT7" s="786"/>
      <c r="BU7" s="786"/>
      <c r="BV7" s="786"/>
      <c r="BW7" s="786"/>
      <c r="BX7" s="786"/>
      <c r="BY7" s="786"/>
      <c r="BZ7" s="786"/>
      <c r="CA7" s="786"/>
      <c r="CB7" s="786"/>
      <c r="CC7" s="786"/>
      <c r="CD7" s="786"/>
      <c r="CE7" s="786"/>
      <c r="CF7" s="786"/>
      <c r="CG7" s="786"/>
      <c r="CH7" s="786"/>
      <c r="CI7" s="786"/>
      <c r="CJ7" s="786"/>
      <c r="CK7" s="786"/>
      <c r="CL7" s="890" t="s">
        <v>1001</v>
      </c>
      <c r="CM7" s="891"/>
      <c r="CN7" s="891"/>
      <c r="CO7" s="891"/>
      <c r="CP7" s="891"/>
      <c r="CQ7" s="891"/>
      <c r="CR7" s="892"/>
      <c r="CS7" s="995" t="s">
        <v>74</v>
      </c>
      <c r="CT7" s="936"/>
      <c r="CU7" s="936"/>
      <c r="CV7" s="936"/>
      <c r="CW7" s="936"/>
      <c r="CX7" s="936"/>
      <c r="CY7" s="994"/>
      <c r="CZ7" s="995"/>
      <c r="DA7" s="936"/>
      <c r="DB7" s="936"/>
      <c r="DC7" s="936"/>
      <c r="DD7" s="936"/>
      <c r="DE7" s="936"/>
      <c r="DF7" s="936"/>
      <c r="DG7" s="936"/>
      <c r="DH7" s="936"/>
      <c r="DI7" s="936"/>
      <c r="DJ7" s="936"/>
      <c r="DK7" s="994"/>
      <c r="DL7" s="995"/>
      <c r="DM7" s="936"/>
      <c r="DN7" s="936"/>
      <c r="DO7" s="936"/>
      <c r="DP7" s="936"/>
      <c r="DQ7" s="936"/>
      <c r="DR7" s="936"/>
      <c r="DS7" s="936"/>
      <c r="DT7" s="936"/>
      <c r="DU7" s="936"/>
      <c r="DV7" s="994"/>
      <c r="DW7" s="1008">
        <f>DW10+DW17</f>
        <v>40583900</v>
      </c>
      <c r="DX7" s="898"/>
      <c r="DY7" s="898"/>
      <c r="DZ7" s="898"/>
      <c r="EA7" s="898"/>
      <c r="EB7" s="898"/>
      <c r="EC7" s="898"/>
      <c r="ED7" s="898"/>
      <c r="EE7" s="898"/>
      <c r="EF7" s="1009"/>
      <c r="EG7" s="1008">
        <f t="shared" ref="EG7" si="0">EG10+EG17</f>
        <v>41048460</v>
      </c>
      <c r="EH7" s="898"/>
      <c r="EI7" s="898"/>
      <c r="EJ7" s="898"/>
      <c r="EK7" s="898"/>
      <c r="EL7" s="898"/>
      <c r="EM7" s="898"/>
      <c r="EN7" s="898"/>
      <c r="EO7" s="898"/>
      <c r="EP7" s="1009"/>
      <c r="EQ7" s="1008">
        <f t="shared" ref="EQ7" si="1">EQ10+EQ17</f>
        <v>41234560</v>
      </c>
      <c r="ER7" s="898"/>
      <c r="ES7" s="898"/>
      <c r="ET7" s="898"/>
      <c r="EU7" s="898"/>
      <c r="EV7" s="898"/>
      <c r="EW7" s="898"/>
      <c r="EX7" s="898"/>
      <c r="EY7" s="898"/>
      <c r="EZ7" s="1009"/>
      <c r="FA7" s="999"/>
      <c r="FB7" s="1000"/>
      <c r="FC7" s="1000"/>
      <c r="FD7" s="1000"/>
      <c r="FE7" s="1000"/>
      <c r="FF7" s="1000"/>
      <c r="FG7" s="1000"/>
      <c r="FH7" s="1000"/>
      <c r="FI7" s="1000"/>
      <c r="FJ7" s="1000"/>
      <c r="FK7" s="1001"/>
      <c r="FL7" s="482" t="s">
        <v>1066</v>
      </c>
      <c r="FM7" s="482" t="s">
        <v>1068</v>
      </c>
      <c r="FN7" s="482" t="s">
        <v>1082</v>
      </c>
    </row>
    <row r="8" spans="1:170" ht="32.25" customHeight="1" x14ac:dyDescent="0.2">
      <c r="A8" s="975" t="s">
        <v>342</v>
      </c>
      <c r="B8" s="975"/>
      <c r="C8" s="975"/>
      <c r="D8" s="975"/>
      <c r="E8" s="975"/>
      <c r="F8" s="975"/>
      <c r="G8" s="975"/>
      <c r="H8" s="1005" t="s">
        <v>1002</v>
      </c>
      <c r="I8" s="826"/>
      <c r="J8" s="826"/>
      <c r="K8" s="826"/>
      <c r="L8" s="826"/>
      <c r="M8" s="826"/>
      <c r="N8" s="826"/>
      <c r="O8" s="826"/>
      <c r="P8" s="826"/>
      <c r="Q8" s="826"/>
      <c r="R8" s="826"/>
      <c r="S8" s="826"/>
      <c r="T8" s="826"/>
      <c r="U8" s="826"/>
      <c r="V8" s="826"/>
      <c r="W8" s="826"/>
      <c r="X8" s="826"/>
      <c r="Y8" s="826"/>
      <c r="Z8" s="826"/>
      <c r="AA8" s="826"/>
      <c r="AB8" s="826"/>
      <c r="AC8" s="826"/>
      <c r="AD8" s="826"/>
      <c r="AE8" s="826"/>
      <c r="AF8" s="826"/>
      <c r="AG8" s="826"/>
      <c r="AH8" s="826"/>
      <c r="AI8" s="826"/>
      <c r="AJ8" s="826"/>
      <c r="AK8" s="826"/>
      <c r="AL8" s="826"/>
      <c r="AM8" s="826"/>
      <c r="AN8" s="826"/>
      <c r="AO8" s="826"/>
      <c r="AP8" s="826"/>
      <c r="AQ8" s="826"/>
      <c r="AR8" s="826"/>
      <c r="AS8" s="826"/>
      <c r="AT8" s="826"/>
      <c r="AU8" s="826"/>
      <c r="AV8" s="826"/>
      <c r="AW8" s="826"/>
      <c r="AX8" s="826"/>
      <c r="AY8" s="826"/>
      <c r="AZ8" s="826"/>
      <c r="BA8" s="826"/>
      <c r="BB8" s="826"/>
      <c r="BC8" s="826"/>
      <c r="BD8" s="826"/>
      <c r="BE8" s="826"/>
      <c r="BF8" s="826"/>
      <c r="BG8" s="826"/>
      <c r="BH8" s="826"/>
      <c r="BI8" s="826"/>
      <c r="BJ8" s="826"/>
      <c r="BK8" s="826"/>
      <c r="BL8" s="826"/>
      <c r="BM8" s="826"/>
      <c r="BN8" s="826"/>
      <c r="BO8" s="826"/>
      <c r="BP8" s="826"/>
      <c r="BQ8" s="826"/>
      <c r="BR8" s="826"/>
      <c r="BS8" s="826"/>
      <c r="BT8" s="826"/>
      <c r="BU8" s="826"/>
      <c r="BV8" s="826"/>
      <c r="BW8" s="826"/>
      <c r="BX8" s="826"/>
      <c r="BY8" s="826"/>
      <c r="BZ8" s="826"/>
      <c r="CA8" s="826"/>
      <c r="CB8" s="826"/>
      <c r="CC8" s="826"/>
      <c r="CD8" s="826"/>
      <c r="CE8" s="826"/>
      <c r="CF8" s="826"/>
      <c r="CG8" s="826"/>
      <c r="CH8" s="826"/>
      <c r="CI8" s="826"/>
      <c r="CJ8" s="826"/>
      <c r="CK8" s="826"/>
      <c r="CL8" s="782" t="s">
        <v>1003</v>
      </c>
      <c r="CM8" s="783"/>
      <c r="CN8" s="783"/>
      <c r="CO8" s="783"/>
      <c r="CP8" s="783"/>
      <c r="CQ8" s="783"/>
      <c r="CR8" s="784"/>
      <c r="CS8" s="785" t="s">
        <v>74</v>
      </c>
      <c r="CT8" s="783"/>
      <c r="CU8" s="783"/>
      <c r="CV8" s="783"/>
      <c r="CW8" s="783"/>
      <c r="CX8" s="783"/>
      <c r="CY8" s="784"/>
      <c r="CZ8" s="785"/>
      <c r="DA8" s="783"/>
      <c r="DB8" s="783"/>
      <c r="DC8" s="783"/>
      <c r="DD8" s="783"/>
      <c r="DE8" s="783"/>
      <c r="DF8" s="783"/>
      <c r="DG8" s="783"/>
      <c r="DH8" s="783"/>
      <c r="DI8" s="783"/>
      <c r="DJ8" s="783"/>
      <c r="DK8" s="784"/>
      <c r="DL8" s="785"/>
      <c r="DM8" s="783"/>
      <c r="DN8" s="783"/>
      <c r="DO8" s="783"/>
      <c r="DP8" s="783"/>
      <c r="DQ8" s="783"/>
      <c r="DR8" s="783"/>
      <c r="DS8" s="783"/>
      <c r="DT8" s="783"/>
      <c r="DU8" s="783"/>
      <c r="DV8" s="784"/>
      <c r="DW8" s="776"/>
      <c r="DX8" s="777"/>
      <c r="DY8" s="777"/>
      <c r="DZ8" s="777"/>
      <c r="EA8" s="777"/>
      <c r="EB8" s="777"/>
      <c r="EC8" s="777"/>
      <c r="ED8" s="777"/>
      <c r="EE8" s="777"/>
      <c r="EF8" s="778"/>
      <c r="EG8" s="776"/>
      <c r="EH8" s="777"/>
      <c r="EI8" s="777"/>
      <c r="EJ8" s="777"/>
      <c r="EK8" s="777"/>
      <c r="EL8" s="777"/>
      <c r="EM8" s="777"/>
      <c r="EN8" s="777"/>
      <c r="EO8" s="777"/>
      <c r="EP8" s="778"/>
      <c r="EQ8" s="776"/>
      <c r="ER8" s="777"/>
      <c r="ES8" s="777"/>
      <c r="ET8" s="777"/>
      <c r="EU8" s="777"/>
      <c r="EV8" s="777"/>
      <c r="EW8" s="777"/>
      <c r="EX8" s="777"/>
      <c r="EY8" s="777"/>
      <c r="EZ8" s="778"/>
      <c r="FA8" s="779"/>
      <c r="FB8" s="780"/>
      <c r="FC8" s="780"/>
      <c r="FD8" s="780"/>
      <c r="FE8" s="780"/>
      <c r="FF8" s="780"/>
      <c r="FG8" s="780"/>
      <c r="FH8" s="780"/>
      <c r="FI8" s="780"/>
      <c r="FJ8" s="780"/>
      <c r="FK8" s="781"/>
    </row>
    <row r="9" spans="1:170" ht="27.75" customHeight="1" x14ac:dyDescent="0.2">
      <c r="A9" s="975" t="s">
        <v>343</v>
      </c>
      <c r="B9" s="975"/>
      <c r="C9" s="975"/>
      <c r="D9" s="975"/>
      <c r="E9" s="975"/>
      <c r="F9" s="975"/>
      <c r="G9" s="975"/>
      <c r="H9" s="1005" t="s">
        <v>1004</v>
      </c>
      <c r="I9" s="826"/>
      <c r="J9" s="826"/>
      <c r="K9" s="826"/>
      <c r="L9" s="826"/>
      <c r="M9" s="826"/>
      <c r="N9" s="826"/>
      <c r="O9" s="826"/>
      <c r="P9" s="826"/>
      <c r="Q9" s="826"/>
      <c r="R9" s="826"/>
      <c r="S9" s="826"/>
      <c r="T9" s="826"/>
      <c r="U9" s="826"/>
      <c r="V9" s="826"/>
      <c r="W9" s="826"/>
      <c r="X9" s="826"/>
      <c r="Y9" s="826"/>
      <c r="Z9" s="826"/>
      <c r="AA9" s="826"/>
      <c r="AB9" s="826"/>
      <c r="AC9" s="826"/>
      <c r="AD9" s="826"/>
      <c r="AE9" s="826"/>
      <c r="AF9" s="826"/>
      <c r="AG9" s="826"/>
      <c r="AH9" s="826"/>
      <c r="AI9" s="826"/>
      <c r="AJ9" s="826"/>
      <c r="AK9" s="826"/>
      <c r="AL9" s="826"/>
      <c r="AM9" s="826"/>
      <c r="AN9" s="826"/>
      <c r="AO9" s="826"/>
      <c r="AP9" s="826"/>
      <c r="AQ9" s="826"/>
      <c r="AR9" s="826"/>
      <c r="AS9" s="826"/>
      <c r="AT9" s="826"/>
      <c r="AU9" s="826"/>
      <c r="AV9" s="826"/>
      <c r="AW9" s="826"/>
      <c r="AX9" s="826"/>
      <c r="AY9" s="826"/>
      <c r="AZ9" s="826"/>
      <c r="BA9" s="826"/>
      <c r="BB9" s="826"/>
      <c r="BC9" s="826"/>
      <c r="BD9" s="826"/>
      <c r="BE9" s="826"/>
      <c r="BF9" s="826"/>
      <c r="BG9" s="826"/>
      <c r="BH9" s="826"/>
      <c r="BI9" s="826"/>
      <c r="BJ9" s="826"/>
      <c r="BK9" s="826"/>
      <c r="BL9" s="826"/>
      <c r="BM9" s="826"/>
      <c r="BN9" s="826"/>
      <c r="BO9" s="826"/>
      <c r="BP9" s="826"/>
      <c r="BQ9" s="826"/>
      <c r="BR9" s="826"/>
      <c r="BS9" s="826"/>
      <c r="BT9" s="826"/>
      <c r="BU9" s="826"/>
      <c r="BV9" s="826"/>
      <c r="BW9" s="826"/>
      <c r="BX9" s="826"/>
      <c r="BY9" s="826"/>
      <c r="BZ9" s="826"/>
      <c r="CA9" s="826"/>
      <c r="CB9" s="826"/>
      <c r="CC9" s="826"/>
      <c r="CD9" s="826"/>
      <c r="CE9" s="826"/>
      <c r="CF9" s="826"/>
      <c r="CG9" s="826"/>
      <c r="CH9" s="826"/>
      <c r="CI9" s="826"/>
      <c r="CJ9" s="826"/>
      <c r="CK9" s="826"/>
      <c r="CL9" s="782" t="s">
        <v>1005</v>
      </c>
      <c r="CM9" s="783"/>
      <c r="CN9" s="783"/>
      <c r="CO9" s="783"/>
      <c r="CP9" s="783"/>
      <c r="CQ9" s="783"/>
      <c r="CR9" s="784"/>
      <c r="CS9" s="785" t="s">
        <v>74</v>
      </c>
      <c r="CT9" s="783"/>
      <c r="CU9" s="783"/>
      <c r="CV9" s="783"/>
      <c r="CW9" s="783"/>
      <c r="CX9" s="783"/>
      <c r="CY9" s="784"/>
      <c r="CZ9" s="785"/>
      <c r="DA9" s="783"/>
      <c r="DB9" s="783"/>
      <c r="DC9" s="783"/>
      <c r="DD9" s="783"/>
      <c r="DE9" s="783"/>
      <c r="DF9" s="783"/>
      <c r="DG9" s="783"/>
      <c r="DH9" s="783"/>
      <c r="DI9" s="783"/>
      <c r="DJ9" s="783"/>
      <c r="DK9" s="784"/>
      <c r="DL9" s="785"/>
      <c r="DM9" s="783"/>
      <c r="DN9" s="783"/>
      <c r="DO9" s="783"/>
      <c r="DP9" s="783"/>
      <c r="DQ9" s="783"/>
      <c r="DR9" s="783"/>
      <c r="DS9" s="783"/>
      <c r="DT9" s="783"/>
      <c r="DU9" s="783"/>
      <c r="DV9" s="784"/>
      <c r="DW9" s="776"/>
      <c r="DX9" s="777"/>
      <c r="DY9" s="777"/>
      <c r="DZ9" s="777"/>
      <c r="EA9" s="777"/>
      <c r="EB9" s="777"/>
      <c r="EC9" s="777"/>
      <c r="ED9" s="777"/>
      <c r="EE9" s="777"/>
      <c r="EF9" s="778"/>
      <c r="EG9" s="776"/>
      <c r="EH9" s="777"/>
      <c r="EI9" s="777"/>
      <c r="EJ9" s="777"/>
      <c r="EK9" s="777"/>
      <c r="EL9" s="777"/>
      <c r="EM9" s="777"/>
      <c r="EN9" s="777"/>
      <c r="EO9" s="777"/>
      <c r="EP9" s="778"/>
      <c r="EQ9" s="776"/>
      <c r="ER9" s="777"/>
      <c r="ES9" s="777"/>
      <c r="ET9" s="777"/>
      <c r="EU9" s="777"/>
      <c r="EV9" s="777"/>
      <c r="EW9" s="777"/>
      <c r="EX9" s="777"/>
      <c r="EY9" s="777"/>
      <c r="EZ9" s="778"/>
      <c r="FA9" s="779"/>
      <c r="FB9" s="780"/>
      <c r="FC9" s="780"/>
      <c r="FD9" s="780"/>
      <c r="FE9" s="780"/>
      <c r="FF9" s="780"/>
      <c r="FG9" s="780"/>
      <c r="FH9" s="780"/>
      <c r="FI9" s="780"/>
      <c r="FJ9" s="780"/>
      <c r="FK9" s="781"/>
    </row>
    <row r="10" spans="1:170" ht="27" customHeight="1" x14ac:dyDescent="0.25">
      <c r="A10" s="975" t="s">
        <v>344</v>
      </c>
      <c r="B10" s="975"/>
      <c r="C10" s="975"/>
      <c r="D10" s="975"/>
      <c r="E10" s="975"/>
      <c r="F10" s="975"/>
      <c r="G10" s="975"/>
      <c r="H10" s="1005" t="s">
        <v>1006</v>
      </c>
      <c r="I10" s="826"/>
      <c r="J10" s="826"/>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826"/>
      <c r="AK10" s="826"/>
      <c r="AL10" s="826"/>
      <c r="AM10" s="826"/>
      <c r="AN10" s="826"/>
      <c r="AO10" s="826"/>
      <c r="AP10" s="826"/>
      <c r="AQ10" s="826"/>
      <c r="AR10" s="826"/>
      <c r="AS10" s="826"/>
      <c r="AT10" s="826"/>
      <c r="AU10" s="826"/>
      <c r="AV10" s="826"/>
      <c r="AW10" s="826"/>
      <c r="AX10" s="826"/>
      <c r="AY10" s="826"/>
      <c r="AZ10" s="826"/>
      <c r="BA10" s="826"/>
      <c r="BB10" s="826"/>
      <c r="BC10" s="826"/>
      <c r="BD10" s="826"/>
      <c r="BE10" s="826"/>
      <c r="BF10" s="826"/>
      <c r="BG10" s="826"/>
      <c r="BH10" s="826"/>
      <c r="BI10" s="826"/>
      <c r="BJ10" s="826"/>
      <c r="BK10" s="826"/>
      <c r="BL10" s="826"/>
      <c r="BM10" s="826"/>
      <c r="BN10" s="826"/>
      <c r="BO10" s="826"/>
      <c r="BP10" s="826"/>
      <c r="BQ10" s="826"/>
      <c r="BR10" s="826"/>
      <c r="BS10" s="826"/>
      <c r="BT10" s="826"/>
      <c r="BU10" s="826"/>
      <c r="BV10" s="826"/>
      <c r="BW10" s="826"/>
      <c r="BX10" s="826"/>
      <c r="BY10" s="826"/>
      <c r="BZ10" s="826"/>
      <c r="CA10" s="826"/>
      <c r="CB10" s="826"/>
      <c r="CC10" s="826"/>
      <c r="CD10" s="826"/>
      <c r="CE10" s="826"/>
      <c r="CF10" s="826"/>
      <c r="CG10" s="826"/>
      <c r="CH10" s="826"/>
      <c r="CI10" s="826"/>
      <c r="CJ10" s="826"/>
      <c r="CK10" s="826"/>
      <c r="CL10" s="782" t="s">
        <v>1007</v>
      </c>
      <c r="CM10" s="783"/>
      <c r="CN10" s="783"/>
      <c r="CO10" s="783"/>
      <c r="CP10" s="783"/>
      <c r="CQ10" s="783"/>
      <c r="CR10" s="784"/>
      <c r="CS10" s="785" t="s">
        <v>74</v>
      </c>
      <c r="CT10" s="783"/>
      <c r="CU10" s="783"/>
      <c r="CV10" s="783"/>
      <c r="CW10" s="783"/>
      <c r="CX10" s="783"/>
      <c r="CY10" s="784"/>
      <c r="CZ10" s="785"/>
      <c r="DA10" s="783"/>
      <c r="DB10" s="783"/>
      <c r="DC10" s="783"/>
      <c r="DD10" s="783"/>
      <c r="DE10" s="783"/>
      <c r="DF10" s="783"/>
      <c r="DG10" s="783"/>
      <c r="DH10" s="783"/>
      <c r="DI10" s="783"/>
      <c r="DJ10" s="783"/>
      <c r="DK10" s="784"/>
      <c r="DL10" s="785"/>
      <c r="DM10" s="783"/>
      <c r="DN10" s="783"/>
      <c r="DO10" s="783"/>
      <c r="DP10" s="783"/>
      <c r="DQ10" s="783"/>
      <c r="DR10" s="783"/>
      <c r="DS10" s="783"/>
      <c r="DT10" s="783"/>
      <c r="DU10" s="783"/>
      <c r="DV10" s="784"/>
      <c r="DW10" s="776">
        <v>15133900.75</v>
      </c>
      <c r="DX10" s="777"/>
      <c r="DY10" s="777"/>
      <c r="DZ10" s="777"/>
      <c r="EA10" s="777"/>
      <c r="EB10" s="777"/>
      <c r="EC10" s="777"/>
      <c r="ED10" s="777"/>
      <c r="EE10" s="777"/>
      <c r="EF10" s="778"/>
      <c r="EG10" s="776">
        <v>15133900.75</v>
      </c>
      <c r="EH10" s="777"/>
      <c r="EI10" s="777"/>
      <c r="EJ10" s="777"/>
      <c r="EK10" s="777"/>
      <c r="EL10" s="777"/>
      <c r="EM10" s="777"/>
      <c r="EN10" s="777"/>
      <c r="EO10" s="777"/>
      <c r="EP10" s="778"/>
      <c r="EQ10" s="776">
        <v>15133900.75</v>
      </c>
      <c r="ER10" s="777"/>
      <c r="ES10" s="777"/>
      <c r="ET10" s="777"/>
      <c r="EU10" s="777"/>
      <c r="EV10" s="777"/>
      <c r="EW10" s="777"/>
      <c r="EX10" s="777"/>
      <c r="EY10" s="777"/>
      <c r="EZ10" s="778"/>
      <c r="FA10" s="779"/>
      <c r="FB10" s="780"/>
      <c r="FC10" s="780"/>
      <c r="FD10" s="780"/>
      <c r="FE10" s="780"/>
      <c r="FF10" s="780"/>
      <c r="FG10" s="780"/>
      <c r="FH10" s="780"/>
      <c r="FI10" s="780"/>
      <c r="FJ10" s="780"/>
      <c r="FK10" s="781"/>
      <c r="FL10" s="522" t="s">
        <v>1069</v>
      </c>
    </row>
    <row r="11" spans="1:170" ht="24.75" customHeight="1" x14ac:dyDescent="0.2">
      <c r="A11" s="975" t="s">
        <v>1008</v>
      </c>
      <c r="B11" s="975"/>
      <c r="C11" s="975"/>
      <c r="D11" s="975"/>
      <c r="E11" s="975"/>
      <c r="F11" s="975"/>
      <c r="G11" s="975"/>
      <c r="H11" s="993" t="s">
        <v>1009</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1"/>
      <c r="AY11" s="771"/>
      <c r="AZ11" s="771"/>
      <c r="BA11" s="771"/>
      <c r="BB11" s="771"/>
      <c r="BC11" s="771"/>
      <c r="BD11" s="771"/>
      <c r="BE11" s="771"/>
      <c r="BF11" s="771"/>
      <c r="BG11" s="771"/>
      <c r="BH11" s="771"/>
      <c r="BI11" s="771"/>
      <c r="BJ11" s="771"/>
      <c r="BK11" s="771"/>
      <c r="BL11" s="771"/>
      <c r="BM11" s="771"/>
      <c r="BN11" s="771"/>
      <c r="BO11" s="771"/>
      <c r="BP11" s="771"/>
      <c r="BQ11" s="771"/>
      <c r="BR11" s="771"/>
      <c r="BS11" s="771"/>
      <c r="BT11" s="771"/>
      <c r="BU11" s="771"/>
      <c r="BV11" s="771"/>
      <c r="BW11" s="771"/>
      <c r="BX11" s="771"/>
      <c r="BY11" s="771"/>
      <c r="BZ11" s="771"/>
      <c r="CA11" s="771"/>
      <c r="CB11" s="771"/>
      <c r="CC11" s="771"/>
      <c r="CD11" s="771"/>
      <c r="CE11" s="771"/>
      <c r="CF11" s="771"/>
      <c r="CG11" s="771"/>
      <c r="CH11" s="771"/>
      <c r="CI11" s="771"/>
      <c r="CJ11" s="771"/>
      <c r="CK11" s="771"/>
      <c r="CL11" s="782" t="s">
        <v>1010</v>
      </c>
      <c r="CM11" s="783"/>
      <c r="CN11" s="783"/>
      <c r="CO11" s="783"/>
      <c r="CP11" s="783"/>
      <c r="CQ11" s="783"/>
      <c r="CR11" s="784"/>
      <c r="CS11" s="785" t="s">
        <v>74</v>
      </c>
      <c r="CT11" s="783"/>
      <c r="CU11" s="783"/>
      <c r="CV11" s="783"/>
      <c r="CW11" s="783"/>
      <c r="CX11" s="783"/>
      <c r="CY11" s="784"/>
      <c r="CZ11" s="785" t="s">
        <v>74</v>
      </c>
      <c r="DA11" s="783"/>
      <c r="DB11" s="783"/>
      <c r="DC11" s="783"/>
      <c r="DD11" s="783"/>
      <c r="DE11" s="783"/>
      <c r="DF11" s="783"/>
      <c r="DG11" s="783"/>
      <c r="DH11" s="783"/>
      <c r="DI11" s="783"/>
      <c r="DJ11" s="783"/>
      <c r="DK11" s="784"/>
      <c r="DL11" s="785"/>
      <c r="DM11" s="783"/>
      <c r="DN11" s="783"/>
      <c r="DO11" s="783"/>
      <c r="DP11" s="783"/>
      <c r="DQ11" s="783"/>
      <c r="DR11" s="783"/>
      <c r="DS11" s="783"/>
      <c r="DT11" s="783"/>
      <c r="DU11" s="783"/>
      <c r="DV11" s="784"/>
      <c r="DW11" s="776"/>
      <c r="DX11" s="777"/>
      <c r="DY11" s="777"/>
      <c r="DZ11" s="777"/>
      <c r="EA11" s="777"/>
      <c r="EB11" s="777"/>
      <c r="EC11" s="777"/>
      <c r="ED11" s="777"/>
      <c r="EE11" s="777"/>
      <c r="EF11" s="778"/>
      <c r="EG11" s="776"/>
      <c r="EH11" s="777"/>
      <c r="EI11" s="777"/>
      <c r="EJ11" s="777"/>
      <c r="EK11" s="777"/>
      <c r="EL11" s="777"/>
      <c r="EM11" s="777"/>
      <c r="EN11" s="777"/>
      <c r="EO11" s="777"/>
      <c r="EP11" s="778"/>
      <c r="EQ11" s="776"/>
      <c r="ER11" s="777"/>
      <c r="ES11" s="777"/>
      <c r="ET11" s="777"/>
      <c r="EU11" s="777"/>
      <c r="EV11" s="777"/>
      <c r="EW11" s="777"/>
      <c r="EX11" s="777"/>
      <c r="EY11" s="777"/>
      <c r="EZ11" s="778"/>
      <c r="FA11" s="779"/>
      <c r="FB11" s="780"/>
      <c r="FC11" s="780"/>
      <c r="FD11" s="780"/>
      <c r="FE11" s="780"/>
      <c r="FF11" s="780"/>
      <c r="FG11" s="780"/>
      <c r="FH11" s="780"/>
      <c r="FI11" s="780"/>
      <c r="FJ11" s="780"/>
      <c r="FK11" s="781"/>
    </row>
    <row r="12" spans="1:170" ht="15" customHeight="1" x14ac:dyDescent="0.2">
      <c r="A12" s="975"/>
      <c r="B12" s="975"/>
      <c r="C12" s="975"/>
      <c r="D12" s="975"/>
      <c r="E12" s="975"/>
      <c r="F12" s="975"/>
      <c r="G12" s="975"/>
      <c r="H12" s="990" t="s">
        <v>1011</v>
      </c>
      <c r="I12" s="991"/>
      <c r="J12" s="991"/>
      <c r="K12" s="991"/>
      <c r="L12" s="991"/>
      <c r="M12" s="991"/>
      <c r="N12" s="991"/>
      <c r="O12" s="991"/>
      <c r="P12" s="991"/>
      <c r="Q12" s="991"/>
      <c r="R12" s="991"/>
      <c r="S12" s="991"/>
      <c r="T12" s="991"/>
      <c r="U12" s="991"/>
      <c r="V12" s="991"/>
      <c r="W12" s="991"/>
      <c r="X12" s="991"/>
      <c r="Y12" s="991"/>
      <c r="Z12" s="991"/>
      <c r="AA12" s="991"/>
      <c r="AB12" s="991"/>
      <c r="AC12" s="991"/>
      <c r="AD12" s="991"/>
      <c r="AE12" s="991"/>
      <c r="AF12" s="991"/>
      <c r="AG12" s="991"/>
      <c r="AH12" s="991"/>
      <c r="AI12" s="991"/>
      <c r="AJ12" s="991"/>
      <c r="AK12" s="991"/>
      <c r="AL12" s="991"/>
      <c r="AM12" s="991"/>
      <c r="AN12" s="991"/>
      <c r="AO12" s="991"/>
      <c r="AP12" s="991"/>
      <c r="AQ12" s="991"/>
      <c r="AR12" s="991"/>
      <c r="AS12" s="991"/>
      <c r="AT12" s="991"/>
      <c r="AU12" s="991"/>
      <c r="AV12" s="991"/>
      <c r="AW12" s="991"/>
      <c r="AX12" s="991"/>
      <c r="AY12" s="991"/>
      <c r="AZ12" s="991"/>
      <c r="BA12" s="991"/>
      <c r="BB12" s="991"/>
      <c r="BC12" s="991"/>
      <c r="BD12" s="991"/>
      <c r="BE12" s="991"/>
      <c r="BF12" s="991"/>
      <c r="BG12" s="991"/>
      <c r="BH12" s="991"/>
      <c r="BI12" s="991"/>
      <c r="BJ12" s="991"/>
      <c r="BK12" s="991"/>
      <c r="BL12" s="991"/>
      <c r="BM12" s="991"/>
      <c r="BN12" s="991"/>
      <c r="BO12" s="991"/>
      <c r="BP12" s="991"/>
      <c r="BQ12" s="991"/>
      <c r="BR12" s="991"/>
      <c r="BS12" s="991"/>
      <c r="BT12" s="991"/>
      <c r="BU12" s="991"/>
      <c r="BV12" s="991"/>
      <c r="BW12" s="991"/>
      <c r="BX12" s="991"/>
      <c r="BY12" s="991"/>
      <c r="BZ12" s="991"/>
      <c r="CA12" s="991"/>
      <c r="CB12" s="991"/>
      <c r="CC12" s="991"/>
      <c r="CD12" s="991"/>
      <c r="CE12" s="991"/>
      <c r="CF12" s="991"/>
      <c r="CG12" s="991"/>
      <c r="CH12" s="991"/>
      <c r="CI12" s="991"/>
      <c r="CJ12" s="991"/>
      <c r="CK12" s="992"/>
      <c r="CL12" s="867" t="s">
        <v>598</v>
      </c>
      <c r="CM12" s="868"/>
      <c r="CN12" s="868"/>
      <c r="CO12" s="868"/>
      <c r="CP12" s="868"/>
      <c r="CQ12" s="868"/>
      <c r="CR12" s="869"/>
      <c r="CS12" s="870"/>
      <c r="CT12" s="868"/>
      <c r="CU12" s="868"/>
      <c r="CV12" s="868"/>
      <c r="CW12" s="868"/>
      <c r="CX12" s="868"/>
      <c r="CY12" s="869"/>
      <c r="CZ12" s="870"/>
      <c r="DA12" s="868"/>
      <c r="DB12" s="868"/>
      <c r="DC12" s="868"/>
      <c r="DD12" s="868"/>
      <c r="DE12" s="868"/>
      <c r="DF12" s="868"/>
      <c r="DG12" s="868"/>
      <c r="DH12" s="868"/>
      <c r="DI12" s="868"/>
      <c r="DJ12" s="868"/>
      <c r="DK12" s="869"/>
      <c r="DL12" s="870"/>
      <c r="DM12" s="868"/>
      <c r="DN12" s="868"/>
      <c r="DO12" s="868"/>
      <c r="DP12" s="868"/>
      <c r="DQ12" s="868"/>
      <c r="DR12" s="868"/>
      <c r="DS12" s="868"/>
      <c r="DT12" s="868"/>
      <c r="DU12" s="868"/>
      <c r="DV12" s="869"/>
      <c r="DW12" s="871"/>
      <c r="DX12" s="872"/>
      <c r="DY12" s="872"/>
      <c r="DZ12" s="872"/>
      <c r="EA12" s="872"/>
      <c r="EB12" s="872"/>
      <c r="EC12" s="872"/>
      <c r="ED12" s="872"/>
      <c r="EE12" s="872"/>
      <c r="EF12" s="873"/>
      <c r="EG12" s="871"/>
      <c r="EH12" s="872"/>
      <c r="EI12" s="872"/>
      <c r="EJ12" s="872"/>
      <c r="EK12" s="872"/>
      <c r="EL12" s="872"/>
      <c r="EM12" s="872"/>
      <c r="EN12" s="872"/>
      <c r="EO12" s="872"/>
      <c r="EP12" s="873"/>
      <c r="EQ12" s="871"/>
      <c r="ER12" s="872"/>
      <c r="ES12" s="872"/>
      <c r="ET12" s="872"/>
      <c r="EU12" s="872"/>
      <c r="EV12" s="872"/>
      <c r="EW12" s="872"/>
      <c r="EX12" s="872"/>
      <c r="EY12" s="872"/>
      <c r="EZ12" s="873"/>
      <c r="FA12" s="874"/>
      <c r="FB12" s="875"/>
      <c r="FC12" s="875"/>
      <c r="FD12" s="875"/>
      <c r="FE12" s="875"/>
      <c r="FF12" s="875"/>
      <c r="FG12" s="875"/>
      <c r="FH12" s="875"/>
      <c r="FI12" s="875"/>
      <c r="FJ12" s="875"/>
      <c r="FK12" s="876"/>
    </row>
    <row r="13" spans="1:170" ht="15" customHeight="1" x14ac:dyDescent="0.2">
      <c r="A13" s="975"/>
      <c r="B13" s="975"/>
      <c r="C13" s="975"/>
      <c r="D13" s="975"/>
      <c r="E13" s="975"/>
      <c r="F13" s="975"/>
      <c r="G13" s="975"/>
      <c r="H13" s="989"/>
      <c r="I13" s="813"/>
      <c r="J13" s="813"/>
      <c r="K13" s="813"/>
      <c r="L13" s="813"/>
      <c r="M13" s="813"/>
      <c r="N13" s="813"/>
      <c r="O13" s="813"/>
      <c r="P13" s="813"/>
      <c r="Q13" s="813"/>
      <c r="R13" s="813"/>
      <c r="S13" s="813"/>
      <c r="T13" s="813"/>
      <c r="U13" s="813"/>
      <c r="V13" s="813"/>
      <c r="W13" s="813"/>
      <c r="X13" s="813"/>
      <c r="Y13" s="813"/>
      <c r="Z13" s="813"/>
      <c r="AA13" s="813"/>
      <c r="AB13" s="813"/>
      <c r="AC13" s="813"/>
      <c r="AD13" s="813"/>
      <c r="AE13" s="813"/>
      <c r="AF13" s="813"/>
      <c r="AG13" s="813"/>
      <c r="AH13" s="813"/>
      <c r="AI13" s="813"/>
      <c r="AJ13" s="813"/>
      <c r="AK13" s="813"/>
      <c r="AL13" s="813"/>
      <c r="AM13" s="813"/>
      <c r="AN13" s="813"/>
      <c r="AO13" s="813"/>
      <c r="AP13" s="813"/>
      <c r="AQ13" s="813"/>
      <c r="AR13" s="813"/>
      <c r="AS13" s="813"/>
      <c r="AT13" s="813"/>
      <c r="AU13" s="813"/>
      <c r="AV13" s="813"/>
      <c r="AW13" s="813"/>
      <c r="AX13" s="813"/>
      <c r="AY13" s="813"/>
      <c r="AZ13" s="813"/>
      <c r="BA13" s="813"/>
      <c r="BB13" s="813"/>
      <c r="BC13" s="813"/>
      <c r="BD13" s="813"/>
      <c r="BE13" s="813"/>
      <c r="BF13" s="813"/>
      <c r="BG13" s="813"/>
      <c r="BH13" s="813"/>
      <c r="BI13" s="813"/>
      <c r="BJ13" s="813"/>
      <c r="BK13" s="813"/>
      <c r="BL13" s="813"/>
      <c r="BM13" s="813"/>
      <c r="BN13" s="813"/>
      <c r="BO13" s="813"/>
      <c r="BP13" s="813"/>
      <c r="BQ13" s="813"/>
      <c r="BR13" s="813"/>
      <c r="BS13" s="813"/>
      <c r="BT13" s="813"/>
      <c r="BU13" s="813"/>
      <c r="BV13" s="813"/>
      <c r="BW13" s="813"/>
      <c r="BX13" s="813"/>
      <c r="BY13" s="813"/>
      <c r="BZ13" s="813"/>
      <c r="CA13" s="813"/>
      <c r="CB13" s="813"/>
      <c r="CC13" s="813"/>
      <c r="CD13" s="813"/>
      <c r="CE13" s="813"/>
      <c r="CF13" s="813"/>
      <c r="CG13" s="813"/>
      <c r="CH13" s="813"/>
      <c r="CI13" s="813"/>
      <c r="CJ13" s="813"/>
      <c r="CK13" s="813"/>
      <c r="CL13" s="816"/>
      <c r="CM13" s="817"/>
      <c r="CN13" s="817"/>
      <c r="CO13" s="817"/>
      <c r="CP13" s="817"/>
      <c r="CQ13" s="817"/>
      <c r="CR13" s="818"/>
      <c r="CS13" s="819"/>
      <c r="CT13" s="817"/>
      <c r="CU13" s="817"/>
      <c r="CV13" s="817"/>
      <c r="CW13" s="817"/>
      <c r="CX13" s="817"/>
      <c r="CY13" s="818"/>
      <c r="CZ13" s="819"/>
      <c r="DA13" s="817"/>
      <c r="DB13" s="817"/>
      <c r="DC13" s="817"/>
      <c r="DD13" s="817"/>
      <c r="DE13" s="817"/>
      <c r="DF13" s="817"/>
      <c r="DG13" s="817"/>
      <c r="DH13" s="817"/>
      <c r="DI13" s="817"/>
      <c r="DJ13" s="817"/>
      <c r="DK13" s="818"/>
      <c r="DL13" s="819"/>
      <c r="DM13" s="817"/>
      <c r="DN13" s="817"/>
      <c r="DO13" s="817"/>
      <c r="DP13" s="817"/>
      <c r="DQ13" s="817"/>
      <c r="DR13" s="817"/>
      <c r="DS13" s="817"/>
      <c r="DT13" s="817"/>
      <c r="DU13" s="817"/>
      <c r="DV13" s="818"/>
      <c r="DW13" s="807"/>
      <c r="DX13" s="808"/>
      <c r="DY13" s="808"/>
      <c r="DZ13" s="808"/>
      <c r="EA13" s="808"/>
      <c r="EB13" s="808"/>
      <c r="EC13" s="808"/>
      <c r="ED13" s="808"/>
      <c r="EE13" s="808"/>
      <c r="EF13" s="809"/>
      <c r="EG13" s="807"/>
      <c r="EH13" s="808"/>
      <c r="EI13" s="808"/>
      <c r="EJ13" s="808"/>
      <c r="EK13" s="808"/>
      <c r="EL13" s="808"/>
      <c r="EM13" s="808"/>
      <c r="EN13" s="808"/>
      <c r="EO13" s="808"/>
      <c r="EP13" s="809"/>
      <c r="EQ13" s="807"/>
      <c r="ER13" s="808"/>
      <c r="ES13" s="808"/>
      <c r="ET13" s="808"/>
      <c r="EU13" s="808"/>
      <c r="EV13" s="808"/>
      <c r="EW13" s="808"/>
      <c r="EX13" s="808"/>
      <c r="EY13" s="808"/>
      <c r="EZ13" s="809"/>
      <c r="FA13" s="810"/>
      <c r="FB13" s="811"/>
      <c r="FC13" s="811"/>
      <c r="FD13" s="811"/>
      <c r="FE13" s="811"/>
      <c r="FF13" s="811"/>
      <c r="FG13" s="811"/>
      <c r="FH13" s="811"/>
      <c r="FI13" s="811"/>
      <c r="FJ13" s="811"/>
      <c r="FK13" s="812"/>
    </row>
    <row r="14" spans="1:170" ht="15" customHeight="1" x14ac:dyDescent="0.2">
      <c r="A14" s="975"/>
      <c r="B14" s="975"/>
      <c r="C14" s="975"/>
      <c r="D14" s="975"/>
      <c r="E14" s="975"/>
      <c r="F14" s="975"/>
      <c r="G14" s="975"/>
      <c r="H14" s="990" t="s">
        <v>1012</v>
      </c>
      <c r="I14" s="991"/>
      <c r="J14" s="991"/>
      <c r="K14" s="991"/>
      <c r="L14" s="991"/>
      <c r="M14" s="991"/>
      <c r="N14" s="991"/>
      <c r="O14" s="991"/>
      <c r="P14" s="991"/>
      <c r="Q14" s="991"/>
      <c r="R14" s="991"/>
      <c r="S14" s="991"/>
      <c r="T14" s="991"/>
      <c r="U14" s="991"/>
      <c r="V14" s="991"/>
      <c r="W14" s="991"/>
      <c r="X14" s="991"/>
      <c r="Y14" s="991"/>
      <c r="Z14" s="991"/>
      <c r="AA14" s="991"/>
      <c r="AB14" s="991"/>
      <c r="AC14" s="991"/>
      <c r="AD14" s="991"/>
      <c r="AE14" s="991"/>
      <c r="AF14" s="991"/>
      <c r="AG14" s="991"/>
      <c r="AH14" s="991"/>
      <c r="AI14" s="991"/>
      <c r="AJ14" s="991"/>
      <c r="AK14" s="991"/>
      <c r="AL14" s="991"/>
      <c r="AM14" s="991"/>
      <c r="AN14" s="991"/>
      <c r="AO14" s="991"/>
      <c r="AP14" s="991"/>
      <c r="AQ14" s="991"/>
      <c r="AR14" s="991"/>
      <c r="AS14" s="991"/>
      <c r="AT14" s="991"/>
      <c r="AU14" s="991"/>
      <c r="AV14" s="991"/>
      <c r="AW14" s="991"/>
      <c r="AX14" s="991"/>
      <c r="AY14" s="991"/>
      <c r="AZ14" s="991"/>
      <c r="BA14" s="991"/>
      <c r="BB14" s="991"/>
      <c r="BC14" s="991"/>
      <c r="BD14" s="991"/>
      <c r="BE14" s="991"/>
      <c r="BF14" s="991"/>
      <c r="BG14" s="991"/>
      <c r="BH14" s="991"/>
      <c r="BI14" s="991"/>
      <c r="BJ14" s="991"/>
      <c r="BK14" s="991"/>
      <c r="BL14" s="991"/>
      <c r="BM14" s="991"/>
      <c r="BN14" s="991"/>
      <c r="BO14" s="991"/>
      <c r="BP14" s="991"/>
      <c r="BQ14" s="991"/>
      <c r="BR14" s="991"/>
      <c r="BS14" s="991"/>
      <c r="BT14" s="991"/>
      <c r="BU14" s="991"/>
      <c r="BV14" s="991"/>
      <c r="BW14" s="991"/>
      <c r="BX14" s="991"/>
      <c r="BY14" s="991"/>
      <c r="BZ14" s="991"/>
      <c r="CA14" s="991"/>
      <c r="CB14" s="991"/>
      <c r="CC14" s="991"/>
      <c r="CD14" s="991"/>
      <c r="CE14" s="991"/>
      <c r="CF14" s="991"/>
      <c r="CG14" s="991"/>
      <c r="CH14" s="991"/>
      <c r="CI14" s="991"/>
      <c r="CJ14" s="991"/>
      <c r="CK14" s="992"/>
      <c r="CL14" s="867" t="s">
        <v>684</v>
      </c>
      <c r="CM14" s="868"/>
      <c r="CN14" s="868"/>
      <c r="CO14" s="868"/>
      <c r="CP14" s="868"/>
      <c r="CQ14" s="868"/>
      <c r="CR14" s="869"/>
      <c r="CS14" s="870"/>
      <c r="CT14" s="868"/>
      <c r="CU14" s="868"/>
      <c r="CV14" s="868"/>
      <c r="CW14" s="868"/>
      <c r="CX14" s="868"/>
      <c r="CY14" s="869"/>
      <c r="CZ14" s="870"/>
      <c r="DA14" s="868"/>
      <c r="DB14" s="868"/>
      <c r="DC14" s="868"/>
      <c r="DD14" s="868"/>
      <c r="DE14" s="868"/>
      <c r="DF14" s="868"/>
      <c r="DG14" s="868"/>
      <c r="DH14" s="868"/>
      <c r="DI14" s="868"/>
      <c r="DJ14" s="868"/>
      <c r="DK14" s="869"/>
      <c r="DL14" s="870"/>
      <c r="DM14" s="868"/>
      <c r="DN14" s="868"/>
      <c r="DO14" s="868"/>
      <c r="DP14" s="868"/>
      <c r="DQ14" s="868"/>
      <c r="DR14" s="868"/>
      <c r="DS14" s="868"/>
      <c r="DT14" s="868"/>
      <c r="DU14" s="868"/>
      <c r="DV14" s="869"/>
      <c r="DW14" s="871"/>
      <c r="DX14" s="872"/>
      <c r="DY14" s="872"/>
      <c r="DZ14" s="872"/>
      <c r="EA14" s="872"/>
      <c r="EB14" s="872"/>
      <c r="EC14" s="872"/>
      <c r="ED14" s="872"/>
      <c r="EE14" s="872"/>
      <c r="EF14" s="873"/>
      <c r="EG14" s="871"/>
      <c r="EH14" s="872"/>
      <c r="EI14" s="872"/>
      <c r="EJ14" s="872"/>
      <c r="EK14" s="872"/>
      <c r="EL14" s="872"/>
      <c r="EM14" s="872"/>
      <c r="EN14" s="872"/>
      <c r="EO14" s="872"/>
      <c r="EP14" s="873"/>
      <c r="EQ14" s="871"/>
      <c r="ER14" s="872"/>
      <c r="ES14" s="872"/>
      <c r="ET14" s="872"/>
      <c r="EU14" s="872"/>
      <c r="EV14" s="872"/>
      <c r="EW14" s="872"/>
      <c r="EX14" s="872"/>
      <c r="EY14" s="872"/>
      <c r="EZ14" s="873"/>
      <c r="FA14" s="874"/>
      <c r="FB14" s="875"/>
      <c r="FC14" s="875"/>
      <c r="FD14" s="875"/>
      <c r="FE14" s="875"/>
      <c r="FF14" s="875"/>
      <c r="FG14" s="875"/>
      <c r="FH14" s="875"/>
      <c r="FI14" s="875"/>
      <c r="FJ14" s="875"/>
      <c r="FK14" s="876"/>
    </row>
    <row r="15" spans="1:170" ht="15" customHeight="1" x14ac:dyDescent="0.2">
      <c r="A15" s="975"/>
      <c r="B15" s="975"/>
      <c r="C15" s="975"/>
      <c r="D15" s="975"/>
      <c r="E15" s="975"/>
      <c r="F15" s="975"/>
      <c r="G15" s="975"/>
      <c r="H15" s="989"/>
      <c r="I15" s="813"/>
      <c r="J15" s="813"/>
      <c r="K15" s="813"/>
      <c r="L15" s="813"/>
      <c r="M15" s="813"/>
      <c r="N15" s="813"/>
      <c r="O15" s="813"/>
      <c r="P15" s="813"/>
      <c r="Q15" s="813"/>
      <c r="R15" s="813"/>
      <c r="S15" s="813"/>
      <c r="T15" s="813"/>
      <c r="U15" s="813"/>
      <c r="V15" s="813"/>
      <c r="W15" s="813"/>
      <c r="X15" s="813"/>
      <c r="Y15" s="813"/>
      <c r="Z15" s="813"/>
      <c r="AA15" s="813"/>
      <c r="AB15" s="813"/>
      <c r="AC15" s="813"/>
      <c r="AD15" s="813"/>
      <c r="AE15" s="813"/>
      <c r="AF15" s="813"/>
      <c r="AG15" s="813"/>
      <c r="AH15" s="813"/>
      <c r="AI15" s="813"/>
      <c r="AJ15" s="813"/>
      <c r="AK15" s="813"/>
      <c r="AL15" s="813"/>
      <c r="AM15" s="813"/>
      <c r="AN15" s="813"/>
      <c r="AO15" s="813"/>
      <c r="AP15" s="813"/>
      <c r="AQ15" s="813"/>
      <c r="AR15" s="813"/>
      <c r="AS15" s="813"/>
      <c r="AT15" s="813"/>
      <c r="AU15" s="813"/>
      <c r="AV15" s="813"/>
      <c r="AW15" s="813"/>
      <c r="AX15" s="813"/>
      <c r="AY15" s="813"/>
      <c r="AZ15" s="813"/>
      <c r="BA15" s="813"/>
      <c r="BB15" s="813"/>
      <c r="BC15" s="813"/>
      <c r="BD15" s="813"/>
      <c r="BE15" s="813"/>
      <c r="BF15" s="813"/>
      <c r="BG15" s="813"/>
      <c r="BH15" s="813"/>
      <c r="BI15" s="813"/>
      <c r="BJ15" s="813"/>
      <c r="BK15" s="813"/>
      <c r="BL15" s="813"/>
      <c r="BM15" s="813"/>
      <c r="BN15" s="813"/>
      <c r="BO15" s="813"/>
      <c r="BP15" s="813"/>
      <c r="BQ15" s="813"/>
      <c r="BR15" s="813"/>
      <c r="BS15" s="813"/>
      <c r="BT15" s="813"/>
      <c r="BU15" s="813"/>
      <c r="BV15" s="813"/>
      <c r="BW15" s="813"/>
      <c r="BX15" s="813"/>
      <c r="BY15" s="813"/>
      <c r="BZ15" s="813"/>
      <c r="CA15" s="813"/>
      <c r="CB15" s="813"/>
      <c r="CC15" s="813"/>
      <c r="CD15" s="813"/>
      <c r="CE15" s="813"/>
      <c r="CF15" s="813"/>
      <c r="CG15" s="813"/>
      <c r="CH15" s="813"/>
      <c r="CI15" s="813"/>
      <c r="CJ15" s="813"/>
      <c r="CK15" s="813"/>
      <c r="CL15" s="816"/>
      <c r="CM15" s="817"/>
      <c r="CN15" s="817"/>
      <c r="CO15" s="817"/>
      <c r="CP15" s="817"/>
      <c r="CQ15" s="817"/>
      <c r="CR15" s="818"/>
      <c r="CS15" s="819"/>
      <c r="CT15" s="817"/>
      <c r="CU15" s="817"/>
      <c r="CV15" s="817"/>
      <c r="CW15" s="817"/>
      <c r="CX15" s="817"/>
      <c r="CY15" s="818"/>
      <c r="CZ15" s="819"/>
      <c r="DA15" s="817"/>
      <c r="DB15" s="817"/>
      <c r="DC15" s="817"/>
      <c r="DD15" s="817"/>
      <c r="DE15" s="817"/>
      <c r="DF15" s="817"/>
      <c r="DG15" s="817"/>
      <c r="DH15" s="817"/>
      <c r="DI15" s="817"/>
      <c r="DJ15" s="817"/>
      <c r="DK15" s="818"/>
      <c r="DL15" s="819"/>
      <c r="DM15" s="817"/>
      <c r="DN15" s="817"/>
      <c r="DO15" s="817"/>
      <c r="DP15" s="817"/>
      <c r="DQ15" s="817"/>
      <c r="DR15" s="817"/>
      <c r="DS15" s="817"/>
      <c r="DT15" s="817"/>
      <c r="DU15" s="817"/>
      <c r="DV15" s="818"/>
      <c r="DW15" s="807"/>
      <c r="DX15" s="808"/>
      <c r="DY15" s="808"/>
      <c r="DZ15" s="808"/>
      <c r="EA15" s="808"/>
      <c r="EB15" s="808"/>
      <c r="EC15" s="808"/>
      <c r="ED15" s="808"/>
      <c r="EE15" s="808"/>
      <c r="EF15" s="809"/>
      <c r="EG15" s="807"/>
      <c r="EH15" s="808"/>
      <c r="EI15" s="808"/>
      <c r="EJ15" s="808"/>
      <c r="EK15" s="808"/>
      <c r="EL15" s="808"/>
      <c r="EM15" s="808"/>
      <c r="EN15" s="808"/>
      <c r="EO15" s="808"/>
      <c r="EP15" s="809"/>
      <c r="EQ15" s="807"/>
      <c r="ER15" s="808"/>
      <c r="ES15" s="808"/>
      <c r="ET15" s="808"/>
      <c r="EU15" s="808"/>
      <c r="EV15" s="808"/>
      <c r="EW15" s="808"/>
      <c r="EX15" s="808"/>
      <c r="EY15" s="808"/>
      <c r="EZ15" s="809"/>
      <c r="FA15" s="810"/>
      <c r="FB15" s="811"/>
      <c r="FC15" s="811"/>
      <c r="FD15" s="811"/>
      <c r="FE15" s="811"/>
      <c r="FF15" s="811"/>
      <c r="FG15" s="811"/>
      <c r="FH15" s="811"/>
      <c r="FI15" s="811"/>
      <c r="FJ15" s="811"/>
      <c r="FK15" s="812"/>
    </row>
    <row r="16" spans="1:170" ht="15" customHeight="1" x14ac:dyDescent="0.2">
      <c r="A16" s="975" t="s">
        <v>1013</v>
      </c>
      <c r="B16" s="975"/>
      <c r="C16" s="975"/>
      <c r="D16" s="975"/>
      <c r="E16" s="975"/>
      <c r="F16" s="975"/>
      <c r="G16" s="975"/>
      <c r="H16" s="993" t="s">
        <v>1014</v>
      </c>
      <c r="I16" s="771"/>
      <c r="J16" s="771"/>
      <c r="K16" s="771"/>
      <c r="L16" s="771"/>
      <c r="M16" s="771"/>
      <c r="N16" s="771"/>
      <c r="O16" s="771"/>
      <c r="P16" s="771"/>
      <c r="Q16" s="771"/>
      <c r="R16" s="771"/>
      <c r="S16" s="771"/>
      <c r="T16" s="771"/>
      <c r="U16" s="771"/>
      <c r="V16" s="771"/>
      <c r="W16" s="771"/>
      <c r="X16" s="771"/>
      <c r="Y16" s="771"/>
      <c r="Z16" s="771"/>
      <c r="AA16" s="771"/>
      <c r="AB16" s="771"/>
      <c r="AC16" s="771"/>
      <c r="AD16" s="771"/>
      <c r="AE16" s="771"/>
      <c r="AF16" s="771"/>
      <c r="AG16" s="771"/>
      <c r="AH16" s="771"/>
      <c r="AI16" s="771"/>
      <c r="AJ16" s="771"/>
      <c r="AK16" s="771"/>
      <c r="AL16" s="771"/>
      <c r="AM16" s="771"/>
      <c r="AN16" s="771"/>
      <c r="AO16" s="771"/>
      <c r="AP16" s="771"/>
      <c r="AQ16" s="771"/>
      <c r="AR16" s="771"/>
      <c r="AS16" s="771"/>
      <c r="AT16" s="771"/>
      <c r="AU16" s="771"/>
      <c r="AV16" s="771"/>
      <c r="AW16" s="771"/>
      <c r="AX16" s="771"/>
      <c r="AY16" s="771"/>
      <c r="AZ16" s="771"/>
      <c r="BA16" s="771"/>
      <c r="BB16" s="771"/>
      <c r="BC16" s="771"/>
      <c r="BD16" s="771"/>
      <c r="BE16" s="771"/>
      <c r="BF16" s="771"/>
      <c r="BG16" s="771"/>
      <c r="BH16" s="771"/>
      <c r="BI16" s="771"/>
      <c r="BJ16" s="771"/>
      <c r="BK16" s="771"/>
      <c r="BL16" s="771"/>
      <c r="BM16" s="771"/>
      <c r="BN16" s="771"/>
      <c r="BO16" s="771"/>
      <c r="BP16" s="771"/>
      <c r="BQ16" s="771"/>
      <c r="BR16" s="771"/>
      <c r="BS16" s="771"/>
      <c r="BT16" s="771"/>
      <c r="BU16" s="771"/>
      <c r="BV16" s="771"/>
      <c r="BW16" s="771"/>
      <c r="BX16" s="771"/>
      <c r="BY16" s="771"/>
      <c r="BZ16" s="771"/>
      <c r="CA16" s="771"/>
      <c r="CB16" s="771"/>
      <c r="CC16" s="771"/>
      <c r="CD16" s="771"/>
      <c r="CE16" s="771"/>
      <c r="CF16" s="771"/>
      <c r="CG16" s="771"/>
      <c r="CH16" s="771"/>
      <c r="CI16" s="771"/>
      <c r="CJ16" s="771"/>
      <c r="CK16" s="771"/>
      <c r="CL16" s="782" t="s">
        <v>1015</v>
      </c>
      <c r="CM16" s="783"/>
      <c r="CN16" s="783"/>
      <c r="CO16" s="783"/>
      <c r="CP16" s="783"/>
      <c r="CQ16" s="783"/>
      <c r="CR16" s="784"/>
      <c r="CS16" s="785" t="s">
        <v>74</v>
      </c>
      <c r="CT16" s="783"/>
      <c r="CU16" s="783"/>
      <c r="CV16" s="783"/>
      <c r="CW16" s="783"/>
      <c r="CX16" s="783"/>
      <c r="CY16" s="784"/>
      <c r="CZ16" s="785" t="s">
        <v>74</v>
      </c>
      <c r="DA16" s="783"/>
      <c r="DB16" s="783"/>
      <c r="DC16" s="783"/>
      <c r="DD16" s="783"/>
      <c r="DE16" s="783"/>
      <c r="DF16" s="783"/>
      <c r="DG16" s="783"/>
      <c r="DH16" s="783"/>
      <c r="DI16" s="783"/>
      <c r="DJ16" s="783"/>
      <c r="DK16" s="784"/>
      <c r="DL16" s="785"/>
      <c r="DM16" s="783"/>
      <c r="DN16" s="783"/>
      <c r="DO16" s="783"/>
      <c r="DP16" s="783"/>
      <c r="DQ16" s="783"/>
      <c r="DR16" s="783"/>
      <c r="DS16" s="783"/>
      <c r="DT16" s="783"/>
      <c r="DU16" s="783"/>
      <c r="DV16" s="784"/>
      <c r="DW16" s="776"/>
      <c r="DX16" s="777"/>
      <c r="DY16" s="777"/>
      <c r="DZ16" s="777"/>
      <c r="EA16" s="777"/>
      <c r="EB16" s="777"/>
      <c r="EC16" s="777"/>
      <c r="ED16" s="777"/>
      <c r="EE16" s="777"/>
      <c r="EF16" s="778"/>
      <c r="EG16" s="776"/>
      <c r="EH16" s="777"/>
      <c r="EI16" s="777"/>
      <c r="EJ16" s="777"/>
      <c r="EK16" s="777"/>
      <c r="EL16" s="777"/>
      <c r="EM16" s="777"/>
      <c r="EN16" s="777"/>
      <c r="EO16" s="777"/>
      <c r="EP16" s="778"/>
      <c r="EQ16" s="776"/>
      <c r="ER16" s="777"/>
      <c r="ES16" s="777"/>
      <c r="ET16" s="777"/>
      <c r="EU16" s="777"/>
      <c r="EV16" s="777"/>
      <c r="EW16" s="777"/>
      <c r="EX16" s="777"/>
      <c r="EY16" s="777"/>
      <c r="EZ16" s="778"/>
      <c r="FA16" s="779"/>
      <c r="FB16" s="780"/>
      <c r="FC16" s="780"/>
      <c r="FD16" s="780"/>
      <c r="FE16" s="780"/>
      <c r="FF16" s="780"/>
      <c r="FG16" s="780"/>
      <c r="FH16" s="780"/>
      <c r="FI16" s="780"/>
      <c r="FJ16" s="780"/>
      <c r="FK16" s="781"/>
    </row>
    <row r="17" spans="1:171" ht="32.25" customHeight="1" x14ac:dyDescent="0.2">
      <c r="A17" s="975" t="s">
        <v>1016</v>
      </c>
      <c r="B17" s="975"/>
      <c r="C17" s="975"/>
      <c r="D17" s="975"/>
      <c r="E17" s="975"/>
      <c r="F17" s="975"/>
      <c r="G17" s="975"/>
      <c r="H17" s="1005" t="s">
        <v>1017</v>
      </c>
      <c r="I17" s="826"/>
      <c r="J17" s="826"/>
      <c r="K17" s="826"/>
      <c r="L17" s="826"/>
      <c r="M17" s="826"/>
      <c r="N17" s="826"/>
      <c r="O17" s="826"/>
      <c r="P17" s="826"/>
      <c r="Q17" s="826"/>
      <c r="R17" s="826"/>
      <c r="S17" s="826"/>
      <c r="T17" s="826"/>
      <c r="U17" s="826"/>
      <c r="V17" s="826"/>
      <c r="W17" s="826"/>
      <c r="X17" s="826"/>
      <c r="Y17" s="826"/>
      <c r="Z17" s="826"/>
      <c r="AA17" s="826"/>
      <c r="AB17" s="826"/>
      <c r="AC17" s="826"/>
      <c r="AD17" s="826"/>
      <c r="AE17" s="826"/>
      <c r="AF17" s="826"/>
      <c r="AG17" s="826"/>
      <c r="AH17" s="826"/>
      <c r="AI17" s="826"/>
      <c r="AJ17" s="826"/>
      <c r="AK17" s="826"/>
      <c r="AL17" s="826"/>
      <c r="AM17" s="826"/>
      <c r="AN17" s="826"/>
      <c r="AO17" s="826"/>
      <c r="AP17" s="826"/>
      <c r="AQ17" s="826"/>
      <c r="AR17" s="826"/>
      <c r="AS17" s="826"/>
      <c r="AT17" s="826"/>
      <c r="AU17" s="826"/>
      <c r="AV17" s="826"/>
      <c r="AW17" s="826"/>
      <c r="AX17" s="826"/>
      <c r="AY17" s="826"/>
      <c r="AZ17" s="826"/>
      <c r="BA17" s="826"/>
      <c r="BB17" s="826"/>
      <c r="BC17" s="826"/>
      <c r="BD17" s="826"/>
      <c r="BE17" s="826"/>
      <c r="BF17" s="826"/>
      <c r="BG17" s="826"/>
      <c r="BH17" s="826"/>
      <c r="BI17" s="826"/>
      <c r="BJ17" s="826"/>
      <c r="BK17" s="826"/>
      <c r="BL17" s="826"/>
      <c r="BM17" s="826"/>
      <c r="BN17" s="826"/>
      <c r="BO17" s="826"/>
      <c r="BP17" s="826"/>
      <c r="BQ17" s="826"/>
      <c r="BR17" s="826"/>
      <c r="BS17" s="826"/>
      <c r="BT17" s="826"/>
      <c r="BU17" s="826"/>
      <c r="BV17" s="826"/>
      <c r="BW17" s="826"/>
      <c r="BX17" s="826"/>
      <c r="BY17" s="826"/>
      <c r="BZ17" s="826"/>
      <c r="CA17" s="826"/>
      <c r="CB17" s="826"/>
      <c r="CC17" s="826"/>
      <c r="CD17" s="826"/>
      <c r="CE17" s="826"/>
      <c r="CF17" s="826"/>
      <c r="CG17" s="826"/>
      <c r="CH17" s="826"/>
      <c r="CI17" s="826"/>
      <c r="CJ17" s="826"/>
      <c r="CK17" s="826"/>
      <c r="CL17" s="782" t="s">
        <v>1018</v>
      </c>
      <c r="CM17" s="783"/>
      <c r="CN17" s="783"/>
      <c r="CO17" s="783"/>
      <c r="CP17" s="783"/>
      <c r="CQ17" s="783"/>
      <c r="CR17" s="784"/>
      <c r="CS17" s="785" t="s">
        <v>74</v>
      </c>
      <c r="CT17" s="783"/>
      <c r="CU17" s="783"/>
      <c r="CV17" s="783"/>
      <c r="CW17" s="783"/>
      <c r="CX17" s="783"/>
      <c r="CY17" s="784"/>
      <c r="CZ17" s="785"/>
      <c r="DA17" s="783"/>
      <c r="DB17" s="783"/>
      <c r="DC17" s="783"/>
      <c r="DD17" s="783"/>
      <c r="DE17" s="783"/>
      <c r="DF17" s="783"/>
      <c r="DG17" s="783"/>
      <c r="DH17" s="783"/>
      <c r="DI17" s="783"/>
      <c r="DJ17" s="783"/>
      <c r="DK17" s="784"/>
      <c r="DL17" s="785"/>
      <c r="DM17" s="783"/>
      <c r="DN17" s="783"/>
      <c r="DO17" s="783"/>
      <c r="DP17" s="783"/>
      <c r="DQ17" s="783"/>
      <c r="DR17" s="783"/>
      <c r="DS17" s="783"/>
      <c r="DT17" s="783"/>
      <c r="DU17" s="783"/>
      <c r="DV17" s="784"/>
      <c r="DW17" s="776">
        <f>DW18+DW21+DW39</f>
        <v>25449999.25</v>
      </c>
      <c r="DX17" s="777"/>
      <c r="DY17" s="777"/>
      <c r="DZ17" s="777"/>
      <c r="EA17" s="777"/>
      <c r="EB17" s="777"/>
      <c r="EC17" s="777"/>
      <c r="ED17" s="777"/>
      <c r="EE17" s="777"/>
      <c r="EF17" s="778"/>
      <c r="EG17" s="776">
        <f t="shared" ref="EG17" si="2">EG18+EG21+EG39</f>
        <v>25914559.25</v>
      </c>
      <c r="EH17" s="777"/>
      <c r="EI17" s="777"/>
      <c r="EJ17" s="777"/>
      <c r="EK17" s="777"/>
      <c r="EL17" s="777"/>
      <c r="EM17" s="777"/>
      <c r="EN17" s="777"/>
      <c r="EO17" s="777"/>
      <c r="EP17" s="778"/>
      <c r="EQ17" s="776">
        <f t="shared" ref="EQ17" si="3">EQ18+EQ21+EQ39</f>
        <v>26100659.25</v>
      </c>
      <c r="ER17" s="777"/>
      <c r="ES17" s="777"/>
      <c r="ET17" s="777"/>
      <c r="EU17" s="777"/>
      <c r="EV17" s="777"/>
      <c r="EW17" s="777"/>
      <c r="EX17" s="777"/>
      <c r="EY17" s="777"/>
      <c r="EZ17" s="778"/>
      <c r="FA17" s="779"/>
      <c r="FB17" s="780"/>
      <c r="FC17" s="780"/>
      <c r="FD17" s="780"/>
      <c r="FE17" s="780"/>
      <c r="FF17" s="780"/>
      <c r="FG17" s="780"/>
      <c r="FH17" s="780"/>
      <c r="FI17" s="780"/>
      <c r="FJ17" s="780"/>
      <c r="FK17" s="781"/>
      <c r="FL17" s="482">
        <v>2023</v>
      </c>
    </row>
    <row r="18" spans="1:171" ht="31.5" customHeight="1" x14ac:dyDescent="0.2">
      <c r="A18" s="975" t="s">
        <v>1019</v>
      </c>
      <c r="B18" s="975"/>
      <c r="C18" s="975"/>
      <c r="D18" s="975"/>
      <c r="E18" s="975"/>
      <c r="F18" s="975"/>
      <c r="G18" s="975"/>
      <c r="H18" s="993" t="s">
        <v>1020</v>
      </c>
      <c r="I18" s="771"/>
      <c r="J18" s="771"/>
      <c r="K18" s="771"/>
      <c r="L18" s="771"/>
      <c r="M18" s="771"/>
      <c r="N18" s="771"/>
      <c r="O18" s="771"/>
      <c r="P18" s="771"/>
      <c r="Q18" s="771"/>
      <c r="R18" s="771"/>
      <c r="S18" s="771"/>
      <c r="T18" s="771"/>
      <c r="U18" s="771"/>
      <c r="V18" s="771"/>
      <c r="W18" s="771"/>
      <c r="X18" s="771"/>
      <c r="Y18" s="771"/>
      <c r="Z18" s="771"/>
      <c r="AA18" s="771"/>
      <c r="AB18" s="771"/>
      <c r="AC18" s="771"/>
      <c r="AD18" s="771"/>
      <c r="AE18" s="771"/>
      <c r="AF18" s="771"/>
      <c r="AG18" s="771"/>
      <c r="AH18" s="771"/>
      <c r="AI18" s="771"/>
      <c r="AJ18" s="771"/>
      <c r="AK18" s="771"/>
      <c r="AL18" s="771"/>
      <c r="AM18" s="771"/>
      <c r="AN18" s="771"/>
      <c r="AO18" s="771"/>
      <c r="AP18" s="771"/>
      <c r="AQ18" s="771"/>
      <c r="AR18" s="771"/>
      <c r="AS18" s="771"/>
      <c r="AT18" s="771"/>
      <c r="AU18" s="771"/>
      <c r="AV18" s="771"/>
      <c r="AW18" s="771"/>
      <c r="AX18" s="771"/>
      <c r="AY18" s="771"/>
      <c r="AZ18" s="771"/>
      <c r="BA18" s="771"/>
      <c r="BB18" s="771"/>
      <c r="BC18" s="771"/>
      <c r="BD18" s="771"/>
      <c r="BE18" s="771"/>
      <c r="BF18" s="771"/>
      <c r="BG18" s="771"/>
      <c r="BH18" s="771"/>
      <c r="BI18" s="771"/>
      <c r="BJ18" s="771"/>
      <c r="BK18" s="771"/>
      <c r="BL18" s="771"/>
      <c r="BM18" s="771"/>
      <c r="BN18" s="771"/>
      <c r="BO18" s="771"/>
      <c r="BP18" s="771"/>
      <c r="BQ18" s="771"/>
      <c r="BR18" s="771"/>
      <c r="BS18" s="771"/>
      <c r="BT18" s="771"/>
      <c r="BU18" s="771"/>
      <c r="BV18" s="771"/>
      <c r="BW18" s="771"/>
      <c r="BX18" s="771"/>
      <c r="BY18" s="771"/>
      <c r="BZ18" s="771"/>
      <c r="CA18" s="771"/>
      <c r="CB18" s="771"/>
      <c r="CC18" s="771"/>
      <c r="CD18" s="771"/>
      <c r="CE18" s="771"/>
      <c r="CF18" s="771"/>
      <c r="CG18" s="771"/>
      <c r="CH18" s="771"/>
      <c r="CI18" s="771"/>
      <c r="CJ18" s="771"/>
      <c r="CK18" s="771"/>
      <c r="CL18" s="782" t="s">
        <v>1021</v>
      </c>
      <c r="CM18" s="783"/>
      <c r="CN18" s="783"/>
      <c r="CO18" s="783"/>
      <c r="CP18" s="783"/>
      <c r="CQ18" s="783"/>
      <c r="CR18" s="784"/>
      <c r="CS18" s="785" t="s">
        <v>74</v>
      </c>
      <c r="CT18" s="783"/>
      <c r="CU18" s="783"/>
      <c r="CV18" s="783"/>
      <c r="CW18" s="783"/>
      <c r="CX18" s="783"/>
      <c r="CY18" s="784"/>
      <c r="CZ18" s="785"/>
      <c r="DA18" s="783"/>
      <c r="DB18" s="783"/>
      <c r="DC18" s="783"/>
      <c r="DD18" s="783"/>
      <c r="DE18" s="783"/>
      <c r="DF18" s="783"/>
      <c r="DG18" s="783"/>
      <c r="DH18" s="783"/>
      <c r="DI18" s="783"/>
      <c r="DJ18" s="783"/>
      <c r="DK18" s="784"/>
      <c r="DL18" s="785"/>
      <c r="DM18" s="783"/>
      <c r="DN18" s="783"/>
      <c r="DO18" s="783"/>
      <c r="DP18" s="783"/>
      <c r="DQ18" s="783"/>
      <c r="DR18" s="783"/>
      <c r="DS18" s="783"/>
      <c r="DT18" s="783"/>
      <c r="DU18" s="783"/>
      <c r="DV18" s="784"/>
      <c r="DW18" s="776">
        <f>DW19</f>
        <v>24885159.25</v>
      </c>
      <c r="DX18" s="777"/>
      <c r="DY18" s="777"/>
      <c r="DZ18" s="777"/>
      <c r="EA18" s="777"/>
      <c r="EB18" s="777"/>
      <c r="EC18" s="777"/>
      <c r="ED18" s="777"/>
      <c r="EE18" s="777"/>
      <c r="EF18" s="778"/>
      <c r="EG18" s="776">
        <f t="shared" ref="EG18" si="4">EG19</f>
        <v>25801559.25</v>
      </c>
      <c r="EH18" s="777"/>
      <c r="EI18" s="777"/>
      <c r="EJ18" s="777"/>
      <c r="EK18" s="777"/>
      <c r="EL18" s="777"/>
      <c r="EM18" s="777"/>
      <c r="EN18" s="777"/>
      <c r="EO18" s="777"/>
      <c r="EP18" s="778"/>
      <c r="EQ18" s="776">
        <f t="shared" ref="EQ18" si="5">EQ19</f>
        <v>25987659.25</v>
      </c>
      <c r="ER18" s="777"/>
      <c r="ES18" s="777"/>
      <c r="ET18" s="777"/>
      <c r="EU18" s="777"/>
      <c r="EV18" s="777"/>
      <c r="EW18" s="777"/>
      <c r="EX18" s="777"/>
      <c r="EY18" s="777"/>
      <c r="EZ18" s="778"/>
      <c r="FA18" s="779"/>
      <c r="FB18" s="780"/>
      <c r="FC18" s="780"/>
      <c r="FD18" s="780"/>
      <c r="FE18" s="780"/>
      <c r="FF18" s="780"/>
      <c r="FG18" s="780"/>
      <c r="FH18" s="780"/>
      <c r="FI18" s="780"/>
      <c r="FJ18" s="780"/>
      <c r="FK18" s="781"/>
      <c r="FL18" s="482" t="s">
        <v>843</v>
      </c>
    </row>
    <row r="19" spans="1:171" ht="34.5" customHeight="1" x14ac:dyDescent="0.2">
      <c r="A19" s="975" t="s">
        <v>1022</v>
      </c>
      <c r="B19" s="975"/>
      <c r="C19" s="975"/>
      <c r="D19" s="975"/>
      <c r="E19" s="975"/>
      <c r="F19" s="975"/>
      <c r="G19" s="975"/>
      <c r="H19" s="988" t="s">
        <v>1009</v>
      </c>
      <c r="I19" s="806"/>
      <c r="J19" s="806"/>
      <c r="K19" s="806"/>
      <c r="L19" s="806"/>
      <c r="M19" s="806"/>
      <c r="N19" s="806"/>
      <c r="O19" s="806"/>
      <c r="P19" s="806"/>
      <c r="Q19" s="806"/>
      <c r="R19" s="806"/>
      <c r="S19" s="806"/>
      <c r="T19" s="806"/>
      <c r="U19" s="806"/>
      <c r="V19" s="806"/>
      <c r="W19" s="806"/>
      <c r="X19" s="806"/>
      <c r="Y19" s="806"/>
      <c r="Z19" s="806"/>
      <c r="AA19" s="806"/>
      <c r="AB19" s="806"/>
      <c r="AC19" s="806"/>
      <c r="AD19" s="806"/>
      <c r="AE19" s="806"/>
      <c r="AF19" s="806"/>
      <c r="AG19" s="806"/>
      <c r="AH19" s="806"/>
      <c r="AI19" s="806"/>
      <c r="AJ19" s="806"/>
      <c r="AK19" s="806"/>
      <c r="AL19" s="806"/>
      <c r="AM19" s="806"/>
      <c r="AN19" s="806"/>
      <c r="AO19" s="806"/>
      <c r="AP19" s="806"/>
      <c r="AQ19" s="806"/>
      <c r="AR19" s="806"/>
      <c r="AS19" s="806"/>
      <c r="AT19" s="806"/>
      <c r="AU19" s="806"/>
      <c r="AV19" s="806"/>
      <c r="AW19" s="806"/>
      <c r="AX19" s="806"/>
      <c r="AY19" s="806"/>
      <c r="AZ19" s="806"/>
      <c r="BA19" s="806"/>
      <c r="BB19" s="806"/>
      <c r="BC19" s="806"/>
      <c r="BD19" s="806"/>
      <c r="BE19" s="806"/>
      <c r="BF19" s="806"/>
      <c r="BG19" s="806"/>
      <c r="BH19" s="806"/>
      <c r="BI19" s="806"/>
      <c r="BJ19" s="806"/>
      <c r="BK19" s="806"/>
      <c r="BL19" s="806"/>
      <c r="BM19" s="806"/>
      <c r="BN19" s="806"/>
      <c r="BO19" s="806"/>
      <c r="BP19" s="806"/>
      <c r="BQ19" s="806"/>
      <c r="BR19" s="806"/>
      <c r="BS19" s="806"/>
      <c r="BT19" s="806"/>
      <c r="BU19" s="806"/>
      <c r="BV19" s="806"/>
      <c r="BW19" s="806"/>
      <c r="BX19" s="806"/>
      <c r="BY19" s="806"/>
      <c r="BZ19" s="806"/>
      <c r="CA19" s="806"/>
      <c r="CB19" s="806"/>
      <c r="CC19" s="806"/>
      <c r="CD19" s="806"/>
      <c r="CE19" s="806"/>
      <c r="CF19" s="806"/>
      <c r="CG19" s="806"/>
      <c r="CH19" s="806"/>
      <c r="CI19" s="806"/>
      <c r="CJ19" s="806"/>
      <c r="CK19" s="806"/>
      <c r="CL19" s="782" t="s">
        <v>1023</v>
      </c>
      <c r="CM19" s="783"/>
      <c r="CN19" s="783"/>
      <c r="CO19" s="783"/>
      <c r="CP19" s="783"/>
      <c r="CQ19" s="783"/>
      <c r="CR19" s="784"/>
      <c r="CS19" s="785" t="s">
        <v>74</v>
      </c>
      <c r="CT19" s="783"/>
      <c r="CU19" s="783"/>
      <c r="CV19" s="783"/>
      <c r="CW19" s="783"/>
      <c r="CX19" s="783"/>
      <c r="CY19" s="784"/>
      <c r="CZ19" s="785"/>
      <c r="DA19" s="783"/>
      <c r="DB19" s="783"/>
      <c r="DC19" s="783"/>
      <c r="DD19" s="783"/>
      <c r="DE19" s="783"/>
      <c r="DF19" s="783"/>
      <c r="DG19" s="783"/>
      <c r="DH19" s="783"/>
      <c r="DI19" s="783"/>
      <c r="DJ19" s="783"/>
      <c r="DK19" s="784"/>
      <c r="DL19" s="785"/>
      <c r="DM19" s="783"/>
      <c r="DN19" s="783"/>
      <c r="DO19" s="783"/>
      <c r="DP19" s="783"/>
      <c r="DQ19" s="783"/>
      <c r="DR19" s="783"/>
      <c r="DS19" s="783"/>
      <c r="DT19" s="783"/>
      <c r="DU19" s="783"/>
      <c r="DV19" s="784"/>
      <c r="DW19" s="776">
        <f>40583900-DW10-DW22-DW40</f>
        <v>24885159.25</v>
      </c>
      <c r="DX19" s="777"/>
      <c r="DY19" s="777"/>
      <c r="DZ19" s="777"/>
      <c r="EA19" s="777"/>
      <c r="EB19" s="777"/>
      <c r="EC19" s="777"/>
      <c r="ED19" s="777"/>
      <c r="EE19" s="777"/>
      <c r="EF19" s="778"/>
      <c r="EG19" s="776">
        <f>41048460-EG10-EG22-EG40</f>
        <v>25801559.25</v>
      </c>
      <c r="EH19" s="777"/>
      <c r="EI19" s="777"/>
      <c r="EJ19" s="777"/>
      <c r="EK19" s="777"/>
      <c r="EL19" s="777"/>
      <c r="EM19" s="777"/>
      <c r="EN19" s="777"/>
      <c r="EO19" s="777"/>
      <c r="EP19" s="778"/>
      <c r="EQ19" s="776">
        <f>41234560-EQ10-EQ22-EQ40</f>
        <v>25987659.25</v>
      </c>
      <c r="ER19" s="777"/>
      <c r="ES19" s="777"/>
      <c r="ET19" s="777"/>
      <c r="EU19" s="777"/>
      <c r="EV19" s="777"/>
      <c r="EW19" s="777"/>
      <c r="EX19" s="777"/>
      <c r="EY19" s="777"/>
      <c r="EZ19" s="778"/>
      <c r="FA19" s="779"/>
      <c r="FB19" s="780"/>
      <c r="FC19" s="780"/>
      <c r="FD19" s="780"/>
      <c r="FE19" s="780"/>
      <c r="FF19" s="780"/>
      <c r="FG19" s="780"/>
      <c r="FH19" s="780"/>
      <c r="FI19" s="780"/>
      <c r="FJ19" s="780"/>
      <c r="FK19" s="781"/>
      <c r="FL19" s="521" t="s">
        <v>843</v>
      </c>
      <c r="FM19" s="488" t="s">
        <v>1067</v>
      </c>
    </row>
    <row r="20" spans="1:171" ht="30.75" customHeight="1" x14ac:dyDescent="0.2">
      <c r="A20" s="975" t="s">
        <v>1024</v>
      </c>
      <c r="B20" s="975"/>
      <c r="C20" s="975"/>
      <c r="D20" s="975"/>
      <c r="E20" s="975"/>
      <c r="F20" s="975"/>
      <c r="G20" s="975"/>
      <c r="H20" s="988" t="s">
        <v>1025</v>
      </c>
      <c r="I20" s="806"/>
      <c r="J20" s="806"/>
      <c r="K20" s="806"/>
      <c r="L20" s="806"/>
      <c r="M20" s="806"/>
      <c r="N20" s="806"/>
      <c r="O20" s="806"/>
      <c r="P20" s="806"/>
      <c r="Q20" s="806"/>
      <c r="R20" s="806"/>
      <c r="S20" s="806"/>
      <c r="T20" s="806"/>
      <c r="U20" s="806"/>
      <c r="V20" s="806"/>
      <c r="W20" s="806"/>
      <c r="X20" s="806"/>
      <c r="Y20" s="806"/>
      <c r="Z20" s="806"/>
      <c r="AA20" s="806"/>
      <c r="AB20" s="806"/>
      <c r="AC20" s="806"/>
      <c r="AD20" s="806"/>
      <c r="AE20" s="806"/>
      <c r="AF20" s="806"/>
      <c r="AG20" s="806"/>
      <c r="AH20" s="806"/>
      <c r="AI20" s="806"/>
      <c r="AJ20" s="806"/>
      <c r="AK20" s="806"/>
      <c r="AL20" s="806"/>
      <c r="AM20" s="806"/>
      <c r="AN20" s="806"/>
      <c r="AO20" s="806"/>
      <c r="AP20" s="806"/>
      <c r="AQ20" s="806"/>
      <c r="AR20" s="806"/>
      <c r="AS20" s="806"/>
      <c r="AT20" s="806"/>
      <c r="AU20" s="806"/>
      <c r="AV20" s="806"/>
      <c r="AW20" s="806"/>
      <c r="AX20" s="806"/>
      <c r="AY20" s="806"/>
      <c r="AZ20" s="806"/>
      <c r="BA20" s="806"/>
      <c r="BB20" s="806"/>
      <c r="BC20" s="806"/>
      <c r="BD20" s="806"/>
      <c r="BE20" s="806"/>
      <c r="BF20" s="806"/>
      <c r="BG20" s="806"/>
      <c r="BH20" s="806"/>
      <c r="BI20" s="806"/>
      <c r="BJ20" s="806"/>
      <c r="BK20" s="806"/>
      <c r="BL20" s="806"/>
      <c r="BM20" s="806"/>
      <c r="BN20" s="806"/>
      <c r="BO20" s="806"/>
      <c r="BP20" s="806"/>
      <c r="BQ20" s="806"/>
      <c r="BR20" s="806"/>
      <c r="BS20" s="806"/>
      <c r="BT20" s="806"/>
      <c r="BU20" s="806"/>
      <c r="BV20" s="806"/>
      <c r="BW20" s="806"/>
      <c r="BX20" s="806"/>
      <c r="BY20" s="806"/>
      <c r="BZ20" s="806"/>
      <c r="CA20" s="806"/>
      <c r="CB20" s="806"/>
      <c r="CC20" s="806"/>
      <c r="CD20" s="806"/>
      <c r="CE20" s="806"/>
      <c r="CF20" s="806"/>
      <c r="CG20" s="806"/>
      <c r="CH20" s="806"/>
      <c r="CI20" s="806"/>
      <c r="CJ20" s="806"/>
      <c r="CK20" s="806"/>
      <c r="CL20" s="782" t="s">
        <v>1026</v>
      </c>
      <c r="CM20" s="783"/>
      <c r="CN20" s="783"/>
      <c r="CO20" s="783"/>
      <c r="CP20" s="783"/>
      <c r="CQ20" s="783"/>
      <c r="CR20" s="784"/>
      <c r="CS20" s="785" t="s">
        <v>74</v>
      </c>
      <c r="CT20" s="783"/>
      <c r="CU20" s="783"/>
      <c r="CV20" s="783"/>
      <c r="CW20" s="783"/>
      <c r="CX20" s="783"/>
      <c r="CY20" s="784"/>
      <c r="CZ20" s="785"/>
      <c r="DA20" s="783"/>
      <c r="DB20" s="783"/>
      <c r="DC20" s="783"/>
      <c r="DD20" s="783"/>
      <c r="DE20" s="783"/>
      <c r="DF20" s="783"/>
      <c r="DG20" s="783"/>
      <c r="DH20" s="783"/>
      <c r="DI20" s="783"/>
      <c r="DJ20" s="783"/>
      <c r="DK20" s="784"/>
      <c r="DL20" s="785"/>
      <c r="DM20" s="783"/>
      <c r="DN20" s="783"/>
      <c r="DO20" s="783"/>
      <c r="DP20" s="783"/>
      <c r="DQ20" s="783"/>
      <c r="DR20" s="783"/>
      <c r="DS20" s="783"/>
      <c r="DT20" s="783"/>
      <c r="DU20" s="783"/>
      <c r="DV20" s="784"/>
      <c r="DW20" s="776"/>
      <c r="DX20" s="777"/>
      <c r="DY20" s="777"/>
      <c r="DZ20" s="777"/>
      <c r="EA20" s="777"/>
      <c r="EB20" s="777"/>
      <c r="EC20" s="777"/>
      <c r="ED20" s="777"/>
      <c r="EE20" s="777"/>
      <c r="EF20" s="778"/>
      <c r="EG20" s="776"/>
      <c r="EH20" s="777"/>
      <c r="EI20" s="777"/>
      <c r="EJ20" s="777"/>
      <c r="EK20" s="777"/>
      <c r="EL20" s="777"/>
      <c r="EM20" s="777"/>
      <c r="EN20" s="777"/>
      <c r="EO20" s="777"/>
      <c r="EP20" s="778"/>
      <c r="EQ20" s="776"/>
      <c r="ER20" s="777"/>
      <c r="ES20" s="777"/>
      <c r="ET20" s="777"/>
      <c r="EU20" s="777"/>
      <c r="EV20" s="777"/>
      <c r="EW20" s="777"/>
      <c r="EX20" s="777"/>
      <c r="EY20" s="777"/>
      <c r="EZ20" s="778"/>
      <c r="FA20" s="779"/>
      <c r="FB20" s="780"/>
      <c r="FC20" s="780"/>
      <c r="FD20" s="780"/>
      <c r="FE20" s="780"/>
      <c r="FF20" s="780"/>
      <c r="FG20" s="780"/>
      <c r="FH20" s="780"/>
      <c r="FI20" s="780"/>
      <c r="FJ20" s="780"/>
      <c r="FK20" s="781"/>
      <c r="FO20" s="510">
        <f>DW19+DW10</f>
        <v>40019060</v>
      </c>
    </row>
    <row r="21" spans="1:171" ht="32.25" customHeight="1" x14ac:dyDescent="0.2">
      <c r="A21" s="975" t="s">
        <v>1027</v>
      </c>
      <c r="B21" s="975"/>
      <c r="C21" s="975"/>
      <c r="D21" s="975"/>
      <c r="E21" s="975"/>
      <c r="F21" s="975"/>
      <c r="G21" s="975"/>
      <c r="H21" s="993" t="s">
        <v>408</v>
      </c>
      <c r="I21" s="771"/>
      <c r="J21" s="771"/>
      <c r="K21" s="771"/>
      <c r="L21" s="771"/>
      <c r="M21" s="771"/>
      <c r="N21" s="771"/>
      <c r="O21" s="771"/>
      <c r="P21" s="771"/>
      <c r="Q21" s="771"/>
      <c r="R21" s="771"/>
      <c r="S21" s="771"/>
      <c r="T21" s="771"/>
      <c r="U21" s="771"/>
      <c r="V21" s="771"/>
      <c r="W21" s="771"/>
      <c r="X21" s="771"/>
      <c r="Y21" s="771"/>
      <c r="Z21" s="771"/>
      <c r="AA21" s="771"/>
      <c r="AB21" s="771"/>
      <c r="AC21" s="771"/>
      <c r="AD21" s="771"/>
      <c r="AE21" s="771"/>
      <c r="AF21" s="771"/>
      <c r="AG21" s="771"/>
      <c r="AH21" s="771"/>
      <c r="AI21" s="771"/>
      <c r="AJ21" s="771"/>
      <c r="AK21" s="771"/>
      <c r="AL21" s="771"/>
      <c r="AM21" s="771"/>
      <c r="AN21" s="771"/>
      <c r="AO21" s="771"/>
      <c r="AP21" s="771"/>
      <c r="AQ21" s="771"/>
      <c r="AR21" s="771"/>
      <c r="AS21" s="771"/>
      <c r="AT21" s="771"/>
      <c r="AU21" s="771"/>
      <c r="AV21" s="771"/>
      <c r="AW21" s="771"/>
      <c r="AX21" s="771"/>
      <c r="AY21" s="771"/>
      <c r="AZ21" s="771"/>
      <c r="BA21" s="771"/>
      <c r="BB21" s="771"/>
      <c r="BC21" s="771"/>
      <c r="BD21" s="771"/>
      <c r="BE21" s="771"/>
      <c r="BF21" s="771"/>
      <c r="BG21" s="771"/>
      <c r="BH21" s="771"/>
      <c r="BI21" s="771"/>
      <c r="BJ21" s="771"/>
      <c r="BK21" s="771"/>
      <c r="BL21" s="771"/>
      <c r="BM21" s="771"/>
      <c r="BN21" s="771"/>
      <c r="BO21" s="771"/>
      <c r="BP21" s="771"/>
      <c r="BQ21" s="771"/>
      <c r="BR21" s="771"/>
      <c r="BS21" s="771"/>
      <c r="BT21" s="771"/>
      <c r="BU21" s="771"/>
      <c r="BV21" s="771"/>
      <c r="BW21" s="771"/>
      <c r="BX21" s="771"/>
      <c r="BY21" s="771"/>
      <c r="BZ21" s="771"/>
      <c r="CA21" s="771"/>
      <c r="CB21" s="771"/>
      <c r="CC21" s="771"/>
      <c r="CD21" s="771"/>
      <c r="CE21" s="771"/>
      <c r="CF21" s="771"/>
      <c r="CG21" s="771"/>
      <c r="CH21" s="771"/>
      <c r="CI21" s="771"/>
      <c r="CJ21" s="771"/>
      <c r="CK21" s="771"/>
      <c r="CL21" s="782" t="s">
        <v>1028</v>
      </c>
      <c r="CM21" s="783"/>
      <c r="CN21" s="783"/>
      <c r="CO21" s="783"/>
      <c r="CP21" s="783"/>
      <c r="CQ21" s="783"/>
      <c r="CR21" s="784"/>
      <c r="CS21" s="785" t="s">
        <v>74</v>
      </c>
      <c r="CT21" s="783"/>
      <c r="CU21" s="783"/>
      <c r="CV21" s="783"/>
      <c r="CW21" s="783"/>
      <c r="CX21" s="783"/>
      <c r="CY21" s="784"/>
      <c r="CZ21" s="785"/>
      <c r="DA21" s="783"/>
      <c r="DB21" s="783"/>
      <c r="DC21" s="783"/>
      <c r="DD21" s="783"/>
      <c r="DE21" s="783"/>
      <c r="DF21" s="783"/>
      <c r="DG21" s="783"/>
      <c r="DH21" s="783"/>
      <c r="DI21" s="783"/>
      <c r="DJ21" s="783"/>
      <c r="DK21" s="784"/>
      <c r="DL21" s="785"/>
      <c r="DM21" s="783"/>
      <c r="DN21" s="783"/>
      <c r="DO21" s="783"/>
      <c r="DP21" s="783"/>
      <c r="DQ21" s="783"/>
      <c r="DR21" s="783"/>
      <c r="DS21" s="783"/>
      <c r="DT21" s="783"/>
      <c r="DU21" s="783"/>
      <c r="DV21" s="784"/>
      <c r="DW21" s="776">
        <f>DW22</f>
        <v>451840</v>
      </c>
      <c r="DX21" s="777"/>
      <c r="DY21" s="777"/>
      <c r="DZ21" s="777"/>
      <c r="EA21" s="777"/>
      <c r="EB21" s="777"/>
      <c r="EC21" s="777"/>
      <c r="ED21" s="777"/>
      <c r="EE21" s="777"/>
      <c r="EF21" s="778"/>
      <c r="EG21" s="776">
        <f t="shared" ref="EG21" si="6">EG22</f>
        <v>0</v>
      </c>
      <c r="EH21" s="777"/>
      <c r="EI21" s="777"/>
      <c r="EJ21" s="777"/>
      <c r="EK21" s="777"/>
      <c r="EL21" s="777"/>
      <c r="EM21" s="777"/>
      <c r="EN21" s="777"/>
      <c r="EO21" s="777"/>
      <c r="EP21" s="778"/>
      <c r="EQ21" s="776">
        <f t="shared" ref="EQ21" si="7">EQ22</f>
        <v>0</v>
      </c>
      <c r="ER21" s="777"/>
      <c r="ES21" s="777"/>
      <c r="ET21" s="777"/>
      <c r="EU21" s="777"/>
      <c r="EV21" s="777"/>
      <c r="EW21" s="777"/>
      <c r="EX21" s="777"/>
      <c r="EY21" s="777"/>
      <c r="EZ21" s="778"/>
      <c r="FA21" s="779"/>
      <c r="FB21" s="780"/>
      <c r="FC21" s="780"/>
      <c r="FD21" s="780"/>
      <c r="FE21" s="780"/>
      <c r="FF21" s="780"/>
      <c r="FG21" s="780"/>
      <c r="FH21" s="780"/>
      <c r="FI21" s="780"/>
      <c r="FJ21" s="780"/>
      <c r="FK21" s="781"/>
    </row>
    <row r="22" spans="1:171" ht="32.25" customHeight="1" x14ac:dyDescent="0.2">
      <c r="A22" s="975" t="s">
        <v>409</v>
      </c>
      <c r="B22" s="975"/>
      <c r="C22" s="975"/>
      <c r="D22" s="975"/>
      <c r="E22" s="975"/>
      <c r="F22" s="975"/>
      <c r="G22" s="975"/>
      <c r="H22" s="988" t="s">
        <v>1009</v>
      </c>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6"/>
      <c r="AY22" s="806"/>
      <c r="AZ22" s="806"/>
      <c r="BA22" s="806"/>
      <c r="BB22" s="806"/>
      <c r="BC22" s="806"/>
      <c r="BD22" s="806"/>
      <c r="BE22" s="806"/>
      <c r="BF22" s="806"/>
      <c r="BG22" s="806"/>
      <c r="BH22" s="806"/>
      <c r="BI22" s="806"/>
      <c r="BJ22" s="806"/>
      <c r="BK22" s="806"/>
      <c r="BL22" s="806"/>
      <c r="BM22" s="806"/>
      <c r="BN22" s="806"/>
      <c r="BO22" s="806"/>
      <c r="BP22" s="806"/>
      <c r="BQ22" s="806"/>
      <c r="BR22" s="806"/>
      <c r="BS22" s="806"/>
      <c r="BT22" s="806"/>
      <c r="BU22" s="806"/>
      <c r="BV22" s="806"/>
      <c r="BW22" s="806"/>
      <c r="BX22" s="806"/>
      <c r="BY22" s="806"/>
      <c r="BZ22" s="806"/>
      <c r="CA22" s="806"/>
      <c r="CB22" s="806"/>
      <c r="CC22" s="806"/>
      <c r="CD22" s="806"/>
      <c r="CE22" s="806"/>
      <c r="CF22" s="806"/>
      <c r="CG22" s="806"/>
      <c r="CH22" s="806"/>
      <c r="CI22" s="806"/>
      <c r="CJ22" s="806"/>
      <c r="CK22" s="806"/>
      <c r="CL22" s="782" t="s">
        <v>1029</v>
      </c>
      <c r="CM22" s="783"/>
      <c r="CN22" s="783"/>
      <c r="CO22" s="783"/>
      <c r="CP22" s="783"/>
      <c r="CQ22" s="783"/>
      <c r="CR22" s="784"/>
      <c r="CS22" s="785" t="s">
        <v>74</v>
      </c>
      <c r="CT22" s="783"/>
      <c r="CU22" s="783"/>
      <c r="CV22" s="783"/>
      <c r="CW22" s="783"/>
      <c r="CX22" s="783"/>
      <c r="CY22" s="784"/>
      <c r="CZ22" s="785"/>
      <c r="DA22" s="783"/>
      <c r="DB22" s="783"/>
      <c r="DC22" s="783"/>
      <c r="DD22" s="783"/>
      <c r="DE22" s="783"/>
      <c r="DF22" s="783"/>
      <c r="DG22" s="783"/>
      <c r="DH22" s="783"/>
      <c r="DI22" s="783"/>
      <c r="DJ22" s="783"/>
      <c r="DK22" s="784"/>
      <c r="DL22" s="785"/>
      <c r="DM22" s="783"/>
      <c r="DN22" s="783"/>
      <c r="DO22" s="783"/>
      <c r="DP22" s="783"/>
      <c r="DQ22" s="783"/>
      <c r="DR22" s="783"/>
      <c r="DS22" s="783"/>
      <c r="DT22" s="783"/>
      <c r="DU22" s="783"/>
      <c r="DV22" s="784"/>
      <c r="DW22" s="776">
        <v>451840</v>
      </c>
      <c r="DX22" s="777"/>
      <c r="DY22" s="777"/>
      <c r="DZ22" s="777"/>
      <c r="EA22" s="777"/>
      <c r="EB22" s="777"/>
      <c r="EC22" s="777"/>
      <c r="ED22" s="777"/>
      <c r="EE22" s="777"/>
      <c r="EF22" s="778"/>
      <c r="EG22" s="776">
        <v>0</v>
      </c>
      <c r="EH22" s="777"/>
      <c r="EI22" s="777"/>
      <c r="EJ22" s="777"/>
      <c r="EK22" s="777"/>
      <c r="EL22" s="777"/>
      <c r="EM22" s="777"/>
      <c r="EN22" s="777"/>
      <c r="EO22" s="777"/>
      <c r="EP22" s="778"/>
      <c r="EQ22" s="776">
        <v>0</v>
      </c>
      <c r="ER22" s="777"/>
      <c r="ES22" s="777"/>
      <c r="ET22" s="777"/>
      <c r="EU22" s="777"/>
      <c r="EV22" s="777"/>
      <c r="EW22" s="777"/>
      <c r="EX22" s="777"/>
      <c r="EY22" s="777"/>
      <c r="EZ22" s="778"/>
      <c r="FA22" s="779"/>
      <c r="FB22" s="780"/>
      <c r="FC22" s="780"/>
      <c r="FD22" s="780"/>
      <c r="FE22" s="780"/>
      <c r="FF22" s="780"/>
      <c r="FG22" s="780"/>
      <c r="FH22" s="780"/>
      <c r="FI22" s="780"/>
      <c r="FJ22" s="780"/>
      <c r="FK22" s="781"/>
      <c r="FL22" s="482" t="s">
        <v>1065</v>
      </c>
    </row>
    <row r="23" spans="1:171" ht="15" customHeight="1" x14ac:dyDescent="0.2">
      <c r="A23" s="975"/>
      <c r="B23" s="975"/>
      <c r="C23" s="975"/>
      <c r="D23" s="975"/>
      <c r="E23" s="975"/>
      <c r="F23" s="975"/>
      <c r="G23" s="975"/>
      <c r="H23" s="990" t="s">
        <v>1011</v>
      </c>
      <c r="I23" s="991"/>
      <c r="J23" s="991"/>
      <c r="K23" s="991"/>
      <c r="L23" s="991"/>
      <c r="M23" s="991"/>
      <c r="N23" s="991"/>
      <c r="O23" s="991"/>
      <c r="P23" s="991"/>
      <c r="Q23" s="991"/>
      <c r="R23" s="991"/>
      <c r="S23" s="991"/>
      <c r="T23" s="991"/>
      <c r="U23" s="991"/>
      <c r="V23" s="991"/>
      <c r="W23" s="991"/>
      <c r="X23" s="991"/>
      <c r="Y23" s="991"/>
      <c r="Z23" s="991"/>
      <c r="AA23" s="991"/>
      <c r="AB23" s="991"/>
      <c r="AC23" s="991"/>
      <c r="AD23" s="991"/>
      <c r="AE23" s="991"/>
      <c r="AF23" s="991"/>
      <c r="AG23" s="991"/>
      <c r="AH23" s="991"/>
      <c r="AI23" s="991"/>
      <c r="AJ23" s="991"/>
      <c r="AK23" s="991"/>
      <c r="AL23" s="991"/>
      <c r="AM23" s="991"/>
      <c r="AN23" s="991"/>
      <c r="AO23" s="991"/>
      <c r="AP23" s="991"/>
      <c r="AQ23" s="991"/>
      <c r="AR23" s="991"/>
      <c r="AS23" s="991"/>
      <c r="AT23" s="991"/>
      <c r="AU23" s="991"/>
      <c r="AV23" s="991"/>
      <c r="AW23" s="991"/>
      <c r="AX23" s="991"/>
      <c r="AY23" s="991"/>
      <c r="AZ23" s="991"/>
      <c r="BA23" s="991"/>
      <c r="BB23" s="991"/>
      <c r="BC23" s="991"/>
      <c r="BD23" s="991"/>
      <c r="BE23" s="991"/>
      <c r="BF23" s="991"/>
      <c r="BG23" s="991"/>
      <c r="BH23" s="991"/>
      <c r="BI23" s="991"/>
      <c r="BJ23" s="991"/>
      <c r="BK23" s="991"/>
      <c r="BL23" s="991"/>
      <c r="BM23" s="991"/>
      <c r="BN23" s="991"/>
      <c r="BO23" s="991"/>
      <c r="BP23" s="991"/>
      <c r="BQ23" s="991"/>
      <c r="BR23" s="991"/>
      <c r="BS23" s="991"/>
      <c r="BT23" s="991"/>
      <c r="BU23" s="991"/>
      <c r="BV23" s="991"/>
      <c r="BW23" s="991"/>
      <c r="BX23" s="991"/>
      <c r="BY23" s="991"/>
      <c r="BZ23" s="991"/>
      <c r="CA23" s="991"/>
      <c r="CB23" s="991"/>
      <c r="CC23" s="991"/>
      <c r="CD23" s="991"/>
      <c r="CE23" s="991"/>
      <c r="CF23" s="991"/>
      <c r="CG23" s="991"/>
      <c r="CH23" s="991"/>
      <c r="CI23" s="991"/>
      <c r="CJ23" s="991"/>
      <c r="CK23" s="992"/>
      <c r="CL23" s="867" t="s">
        <v>1030</v>
      </c>
      <c r="CM23" s="868"/>
      <c r="CN23" s="868"/>
      <c r="CO23" s="868"/>
      <c r="CP23" s="868"/>
      <c r="CQ23" s="868"/>
      <c r="CR23" s="869"/>
      <c r="CS23" s="870"/>
      <c r="CT23" s="868"/>
      <c r="CU23" s="868"/>
      <c r="CV23" s="868"/>
      <c r="CW23" s="868"/>
      <c r="CX23" s="868"/>
      <c r="CY23" s="869"/>
      <c r="CZ23" s="870"/>
      <c r="DA23" s="868"/>
      <c r="DB23" s="868"/>
      <c r="DC23" s="868"/>
      <c r="DD23" s="868"/>
      <c r="DE23" s="868"/>
      <c r="DF23" s="868"/>
      <c r="DG23" s="868"/>
      <c r="DH23" s="868"/>
      <c r="DI23" s="868"/>
      <c r="DJ23" s="868"/>
      <c r="DK23" s="869"/>
      <c r="DL23" s="870"/>
      <c r="DM23" s="868"/>
      <c r="DN23" s="868"/>
      <c r="DO23" s="868"/>
      <c r="DP23" s="868"/>
      <c r="DQ23" s="868"/>
      <c r="DR23" s="868"/>
      <c r="DS23" s="868"/>
      <c r="DT23" s="868"/>
      <c r="DU23" s="868"/>
      <c r="DV23" s="869"/>
      <c r="DW23" s="871"/>
      <c r="DX23" s="872"/>
      <c r="DY23" s="872"/>
      <c r="DZ23" s="872"/>
      <c r="EA23" s="872"/>
      <c r="EB23" s="872"/>
      <c r="EC23" s="872"/>
      <c r="ED23" s="872"/>
      <c r="EE23" s="872"/>
      <c r="EF23" s="873"/>
      <c r="EG23" s="871"/>
      <c r="EH23" s="872"/>
      <c r="EI23" s="872"/>
      <c r="EJ23" s="872"/>
      <c r="EK23" s="872"/>
      <c r="EL23" s="872"/>
      <c r="EM23" s="872"/>
      <c r="EN23" s="872"/>
      <c r="EO23" s="872"/>
      <c r="EP23" s="873"/>
      <c r="EQ23" s="871"/>
      <c r="ER23" s="872"/>
      <c r="ES23" s="872"/>
      <c r="ET23" s="872"/>
      <c r="EU23" s="872"/>
      <c r="EV23" s="872"/>
      <c r="EW23" s="872"/>
      <c r="EX23" s="872"/>
      <c r="EY23" s="872"/>
      <c r="EZ23" s="873"/>
      <c r="FA23" s="874"/>
      <c r="FB23" s="875"/>
      <c r="FC23" s="875"/>
      <c r="FD23" s="875"/>
      <c r="FE23" s="875"/>
      <c r="FF23" s="875"/>
      <c r="FG23" s="875"/>
      <c r="FH23" s="875"/>
      <c r="FI23" s="875"/>
      <c r="FJ23" s="875"/>
      <c r="FK23" s="876"/>
    </row>
    <row r="24" spans="1:171" ht="15" customHeight="1" x14ac:dyDescent="0.2">
      <c r="A24" s="975"/>
      <c r="B24" s="975"/>
      <c r="C24" s="975"/>
      <c r="D24" s="975"/>
      <c r="E24" s="975"/>
      <c r="F24" s="975"/>
      <c r="G24" s="975"/>
      <c r="H24" s="989"/>
      <c r="I24" s="813"/>
      <c r="J24" s="813"/>
      <c r="K24" s="813"/>
      <c r="L24" s="813"/>
      <c r="M24" s="813"/>
      <c r="N24" s="813"/>
      <c r="O24" s="813"/>
      <c r="P24" s="813"/>
      <c r="Q24" s="813"/>
      <c r="R24" s="813"/>
      <c r="S24" s="813"/>
      <c r="T24" s="813"/>
      <c r="U24" s="813"/>
      <c r="V24" s="813"/>
      <c r="W24" s="813"/>
      <c r="X24" s="813"/>
      <c r="Y24" s="813"/>
      <c r="Z24" s="813"/>
      <c r="AA24" s="813"/>
      <c r="AB24" s="813"/>
      <c r="AC24" s="813"/>
      <c r="AD24" s="813"/>
      <c r="AE24" s="813"/>
      <c r="AF24" s="813"/>
      <c r="AG24" s="813"/>
      <c r="AH24" s="813"/>
      <c r="AI24" s="813"/>
      <c r="AJ24" s="813"/>
      <c r="AK24" s="813"/>
      <c r="AL24" s="813"/>
      <c r="AM24" s="813"/>
      <c r="AN24" s="813"/>
      <c r="AO24" s="813"/>
      <c r="AP24" s="813"/>
      <c r="AQ24" s="813"/>
      <c r="AR24" s="813"/>
      <c r="AS24" s="813"/>
      <c r="AT24" s="813"/>
      <c r="AU24" s="813"/>
      <c r="AV24" s="813"/>
      <c r="AW24" s="813"/>
      <c r="AX24" s="813"/>
      <c r="AY24" s="813"/>
      <c r="AZ24" s="813"/>
      <c r="BA24" s="813"/>
      <c r="BB24" s="813"/>
      <c r="BC24" s="813"/>
      <c r="BD24" s="813"/>
      <c r="BE24" s="813"/>
      <c r="BF24" s="813"/>
      <c r="BG24" s="813"/>
      <c r="BH24" s="813"/>
      <c r="BI24" s="813"/>
      <c r="BJ24" s="813"/>
      <c r="BK24" s="813"/>
      <c r="BL24" s="813"/>
      <c r="BM24" s="813"/>
      <c r="BN24" s="813"/>
      <c r="BO24" s="813"/>
      <c r="BP24" s="813"/>
      <c r="BQ24" s="813"/>
      <c r="BR24" s="813"/>
      <c r="BS24" s="813"/>
      <c r="BT24" s="813"/>
      <c r="BU24" s="813"/>
      <c r="BV24" s="813"/>
      <c r="BW24" s="813"/>
      <c r="BX24" s="813"/>
      <c r="BY24" s="813"/>
      <c r="BZ24" s="813"/>
      <c r="CA24" s="813"/>
      <c r="CB24" s="813"/>
      <c r="CC24" s="813"/>
      <c r="CD24" s="813"/>
      <c r="CE24" s="813"/>
      <c r="CF24" s="813"/>
      <c r="CG24" s="813"/>
      <c r="CH24" s="813"/>
      <c r="CI24" s="813"/>
      <c r="CJ24" s="813"/>
      <c r="CK24" s="813"/>
      <c r="CL24" s="816"/>
      <c r="CM24" s="817"/>
      <c r="CN24" s="817"/>
      <c r="CO24" s="817"/>
      <c r="CP24" s="817"/>
      <c r="CQ24" s="817"/>
      <c r="CR24" s="818"/>
      <c r="CS24" s="819"/>
      <c r="CT24" s="817"/>
      <c r="CU24" s="817"/>
      <c r="CV24" s="817"/>
      <c r="CW24" s="817"/>
      <c r="CX24" s="817"/>
      <c r="CY24" s="818"/>
      <c r="CZ24" s="819"/>
      <c r="DA24" s="817"/>
      <c r="DB24" s="817"/>
      <c r="DC24" s="817"/>
      <c r="DD24" s="817"/>
      <c r="DE24" s="817"/>
      <c r="DF24" s="817"/>
      <c r="DG24" s="817"/>
      <c r="DH24" s="817"/>
      <c r="DI24" s="817"/>
      <c r="DJ24" s="817"/>
      <c r="DK24" s="818"/>
      <c r="DL24" s="819"/>
      <c r="DM24" s="817"/>
      <c r="DN24" s="817"/>
      <c r="DO24" s="817"/>
      <c r="DP24" s="817"/>
      <c r="DQ24" s="817"/>
      <c r="DR24" s="817"/>
      <c r="DS24" s="817"/>
      <c r="DT24" s="817"/>
      <c r="DU24" s="817"/>
      <c r="DV24" s="818"/>
      <c r="DW24" s="807"/>
      <c r="DX24" s="808"/>
      <c r="DY24" s="808"/>
      <c r="DZ24" s="808"/>
      <c r="EA24" s="808"/>
      <c r="EB24" s="808"/>
      <c r="EC24" s="808"/>
      <c r="ED24" s="808"/>
      <c r="EE24" s="808"/>
      <c r="EF24" s="809"/>
      <c r="EG24" s="807"/>
      <c r="EH24" s="808"/>
      <c r="EI24" s="808"/>
      <c r="EJ24" s="808"/>
      <c r="EK24" s="808"/>
      <c r="EL24" s="808"/>
      <c r="EM24" s="808"/>
      <c r="EN24" s="808"/>
      <c r="EO24" s="808"/>
      <c r="EP24" s="809"/>
      <c r="EQ24" s="807"/>
      <c r="ER24" s="808"/>
      <c r="ES24" s="808"/>
      <c r="ET24" s="808"/>
      <c r="EU24" s="808"/>
      <c r="EV24" s="808"/>
      <c r="EW24" s="808"/>
      <c r="EX24" s="808"/>
      <c r="EY24" s="808"/>
      <c r="EZ24" s="809"/>
      <c r="FA24" s="810"/>
      <c r="FB24" s="811"/>
      <c r="FC24" s="811"/>
      <c r="FD24" s="811"/>
      <c r="FE24" s="811"/>
      <c r="FF24" s="811"/>
      <c r="FG24" s="811"/>
      <c r="FH24" s="811"/>
      <c r="FI24" s="811"/>
      <c r="FJ24" s="811"/>
      <c r="FK24" s="812"/>
    </row>
    <row r="25" spans="1:171" ht="27.75" customHeight="1" x14ac:dyDescent="0.2">
      <c r="A25" s="975" t="s">
        <v>1031</v>
      </c>
      <c r="B25" s="975"/>
      <c r="C25" s="975"/>
      <c r="D25" s="975"/>
      <c r="E25" s="975"/>
      <c r="F25" s="975"/>
      <c r="G25" s="975"/>
      <c r="H25" s="988" t="s">
        <v>1025</v>
      </c>
      <c r="I25" s="806"/>
      <c r="J25" s="806"/>
      <c r="K25" s="806"/>
      <c r="L25" s="806"/>
      <c r="M25" s="806"/>
      <c r="N25" s="806"/>
      <c r="O25" s="806"/>
      <c r="P25" s="806"/>
      <c r="Q25" s="806"/>
      <c r="R25" s="806"/>
      <c r="S25" s="806"/>
      <c r="T25" s="806"/>
      <c r="U25" s="806"/>
      <c r="V25" s="806"/>
      <c r="W25" s="806"/>
      <c r="X25" s="806"/>
      <c r="Y25" s="806"/>
      <c r="Z25" s="806"/>
      <c r="AA25" s="806"/>
      <c r="AB25" s="806"/>
      <c r="AC25" s="806"/>
      <c r="AD25" s="806"/>
      <c r="AE25" s="806"/>
      <c r="AF25" s="806"/>
      <c r="AG25" s="806"/>
      <c r="AH25" s="806"/>
      <c r="AI25" s="806"/>
      <c r="AJ25" s="806"/>
      <c r="AK25" s="806"/>
      <c r="AL25" s="806"/>
      <c r="AM25" s="806"/>
      <c r="AN25" s="806"/>
      <c r="AO25" s="806"/>
      <c r="AP25" s="806"/>
      <c r="AQ25" s="806"/>
      <c r="AR25" s="806"/>
      <c r="AS25" s="806"/>
      <c r="AT25" s="806"/>
      <c r="AU25" s="806"/>
      <c r="AV25" s="806"/>
      <c r="AW25" s="806"/>
      <c r="AX25" s="806"/>
      <c r="AY25" s="806"/>
      <c r="AZ25" s="806"/>
      <c r="BA25" s="806"/>
      <c r="BB25" s="806"/>
      <c r="BC25" s="806"/>
      <c r="BD25" s="806"/>
      <c r="BE25" s="806"/>
      <c r="BF25" s="806"/>
      <c r="BG25" s="806"/>
      <c r="BH25" s="806"/>
      <c r="BI25" s="806"/>
      <c r="BJ25" s="806"/>
      <c r="BK25" s="806"/>
      <c r="BL25" s="806"/>
      <c r="BM25" s="806"/>
      <c r="BN25" s="806"/>
      <c r="BO25" s="806"/>
      <c r="BP25" s="806"/>
      <c r="BQ25" s="806"/>
      <c r="BR25" s="806"/>
      <c r="BS25" s="806"/>
      <c r="BT25" s="806"/>
      <c r="BU25" s="806"/>
      <c r="BV25" s="806"/>
      <c r="BW25" s="806"/>
      <c r="BX25" s="806"/>
      <c r="BY25" s="806"/>
      <c r="BZ25" s="806"/>
      <c r="CA25" s="806"/>
      <c r="CB25" s="806"/>
      <c r="CC25" s="806"/>
      <c r="CD25" s="806"/>
      <c r="CE25" s="806"/>
      <c r="CF25" s="806"/>
      <c r="CG25" s="806"/>
      <c r="CH25" s="806"/>
      <c r="CI25" s="806"/>
      <c r="CJ25" s="806"/>
      <c r="CK25" s="806"/>
      <c r="CL25" s="782" t="s">
        <v>1032</v>
      </c>
      <c r="CM25" s="783"/>
      <c r="CN25" s="783"/>
      <c r="CO25" s="783"/>
      <c r="CP25" s="783"/>
      <c r="CQ25" s="783"/>
      <c r="CR25" s="784"/>
      <c r="CS25" s="785" t="s">
        <v>74</v>
      </c>
      <c r="CT25" s="783"/>
      <c r="CU25" s="783"/>
      <c r="CV25" s="783"/>
      <c r="CW25" s="783"/>
      <c r="CX25" s="783"/>
      <c r="CY25" s="784"/>
      <c r="CZ25" s="785"/>
      <c r="DA25" s="783"/>
      <c r="DB25" s="783"/>
      <c r="DC25" s="783"/>
      <c r="DD25" s="783"/>
      <c r="DE25" s="783"/>
      <c r="DF25" s="783"/>
      <c r="DG25" s="783"/>
      <c r="DH25" s="783"/>
      <c r="DI25" s="783"/>
      <c r="DJ25" s="783"/>
      <c r="DK25" s="784"/>
      <c r="DL25" s="785"/>
      <c r="DM25" s="783"/>
      <c r="DN25" s="783"/>
      <c r="DO25" s="783"/>
      <c r="DP25" s="783"/>
      <c r="DQ25" s="783"/>
      <c r="DR25" s="783"/>
      <c r="DS25" s="783"/>
      <c r="DT25" s="783"/>
      <c r="DU25" s="783"/>
      <c r="DV25" s="784"/>
      <c r="DW25" s="776"/>
      <c r="DX25" s="777"/>
      <c r="DY25" s="777"/>
      <c r="DZ25" s="777"/>
      <c r="EA25" s="777"/>
      <c r="EB25" s="777"/>
      <c r="EC25" s="777"/>
      <c r="ED25" s="777"/>
      <c r="EE25" s="777"/>
      <c r="EF25" s="778"/>
      <c r="EG25" s="776"/>
      <c r="EH25" s="777"/>
      <c r="EI25" s="777"/>
      <c r="EJ25" s="777"/>
      <c r="EK25" s="777"/>
      <c r="EL25" s="777"/>
      <c r="EM25" s="777"/>
      <c r="EN25" s="777"/>
      <c r="EO25" s="777"/>
      <c r="EP25" s="778"/>
      <c r="EQ25" s="776"/>
      <c r="ER25" s="777"/>
      <c r="ES25" s="777"/>
      <c r="ET25" s="777"/>
      <c r="EU25" s="777"/>
      <c r="EV25" s="777"/>
      <c r="EW25" s="777"/>
      <c r="EX25" s="777"/>
      <c r="EY25" s="777"/>
      <c r="EZ25" s="778"/>
      <c r="FA25" s="779"/>
      <c r="FB25" s="780"/>
      <c r="FC25" s="780"/>
      <c r="FD25" s="780"/>
      <c r="FE25" s="780"/>
      <c r="FF25" s="780"/>
      <c r="FG25" s="780"/>
      <c r="FH25" s="780"/>
      <c r="FI25" s="780"/>
      <c r="FJ25" s="780"/>
      <c r="FK25" s="781"/>
    </row>
    <row r="26" spans="1:171" ht="29.25" customHeight="1" x14ac:dyDescent="0.2">
      <c r="A26" s="975" t="s">
        <v>1033</v>
      </c>
      <c r="B26" s="975"/>
      <c r="C26" s="975"/>
      <c r="D26" s="975"/>
      <c r="E26" s="975"/>
      <c r="F26" s="975"/>
      <c r="G26" s="975"/>
      <c r="H26" s="993" t="s">
        <v>1034</v>
      </c>
      <c r="I26" s="771"/>
      <c r="J26" s="771"/>
      <c r="K26" s="771"/>
      <c r="L26" s="771"/>
      <c r="M26" s="771"/>
      <c r="N26" s="771"/>
      <c r="O26" s="771"/>
      <c r="P26" s="771"/>
      <c r="Q26" s="771"/>
      <c r="R26" s="771"/>
      <c r="S26" s="771"/>
      <c r="T26" s="771"/>
      <c r="U26" s="771"/>
      <c r="V26" s="771"/>
      <c r="W26" s="771"/>
      <c r="X26" s="771"/>
      <c r="Y26" s="771"/>
      <c r="Z26" s="771"/>
      <c r="AA26" s="771"/>
      <c r="AB26" s="771"/>
      <c r="AC26" s="771"/>
      <c r="AD26" s="771"/>
      <c r="AE26" s="771"/>
      <c r="AF26" s="771"/>
      <c r="AG26" s="771"/>
      <c r="AH26" s="771"/>
      <c r="AI26" s="771"/>
      <c r="AJ26" s="771"/>
      <c r="AK26" s="771"/>
      <c r="AL26" s="771"/>
      <c r="AM26" s="771"/>
      <c r="AN26" s="771"/>
      <c r="AO26" s="771"/>
      <c r="AP26" s="771"/>
      <c r="AQ26" s="771"/>
      <c r="AR26" s="771"/>
      <c r="AS26" s="771"/>
      <c r="AT26" s="771"/>
      <c r="AU26" s="771"/>
      <c r="AV26" s="771"/>
      <c r="AW26" s="771"/>
      <c r="AX26" s="771"/>
      <c r="AY26" s="771"/>
      <c r="AZ26" s="771"/>
      <c r="BA26" s="771"/>
      <c r="BB26" s="771"/>
      <c r="BC26" s="771"/>
      <c r="BD26" s="771"/>
      <c r="BE26" s="771"/>
      <c r="BF26" s="771"/>
      <c r="BG26" s="771"/>
      <c r="BH26" s="771"/>
      <c r="BI26" s="771"/>
      <c r="BJ26" s="771"/>
      <c r="BK26" s="771"/>
      <c r="BL26" s="771"/>
      <c r="BM26" s="771"/>
      <c r="BN26" s="771"/>
      <c r="BO26" s="771"/>
      <c r="BP26" s="771"/>
      <c r="BQ26" s="771"/>
      <c r="BR26" s="771"/>
      <c r="BS26" s="771"/>
      <c r="BT26" s="771"/>
      <c r="BU26" s="771"/>
      <c r="BV26" s="771"/>
      <c r="BW26" s="771"/>
      <c r="BX26" s="771"/>
      <c r="BY26" s="771"/>
      <c r="BZ26" s="771"/>
      <c r="CA26" s="771"/>
      <c r="CB26" s="771"/>
      <c r="CC26" s="771"/>
      <c r="CD26" s="771"/>
      <c r="CE26" s="771"/>
      <c r="CF26" s="771"/>
      <c r="CG26" s="771"/>
      <c r="CH26" s="771"/>
      <c r="CI26" s="771"/>
      <c r="CJ26" s="771"/>
      <c r="CK26" s="771"/>
      <c r="CL26" s="782" t="s">
        <v>1035</v>
      </c>
      <c r="CM26" s="783"/>
      <c r="CN26" s="783"/>
      <c r="CO26" s="783"/>
      <c r="CP26" s="783"/>
      <c r="CQ26" s="783"/>
      <c r="CR26" s="784"/>
      <c r="CS26" s="785" t="s">
        <v>74</v>
      </c>
      <c r="CT26" s="783"/>
      <c r="CU26" s="783"/>
      <c r="CV26" s="783"/>
      <c r="CW26" s="783"/>
      <c r="CX26" s="783"/>
      <c r="CY26" s="784"/>
      <c r="CZ26" s="785"/>
      <c r="DA26" s="783"/>
      <c r="DB26" s="783"/>
      <c r="DC26" s="783"/>
      <c r="DD26" s="783"/>
      <c r="DE26" s="783"/>
      <c r="DF26" s="783"/>
      <c r="DG26" s="783"/>
      <c r="DH26" s="783"/>
      <c r="DI26" s="783"/>
      <c r="DJ26" s="783"/>
      <c r="DK26" s="784"/>
      <c r="DL26" s="785"/>
      <c r="DM26" s="783"/>
      <c r="DN26" s="783"/>
      <c r="DO26" s="783"/>
      <c r="DP26" s="783"/>
      <c r="DQ26" s="783"/>
      <c r="DR26" s="783"/>
      <c r="DS26" s="783"/>
      <c r="DT26" s="783"/>
      <c r="DU26" s="783"/>
      <c r="DV26" s="784"/>
      <c r="DW26" s="776"/>
      <c r="DX26" s="777"/>
      <c r="DY26" s="777"/>
      <c r="DZ26" s="777"/>
      <c r="EA26" s="777"/>
      <c r="EB26" s="777"/>
      <c r="EC26" s="777"/>
      <c r="ED26" s="777"/>
      <c r="EE26" s="777"/>
      <c r="EF26" s="778"/>
      <c r="EG26" s="776"/>
      <c r="EH26" s="777"/>
      <c r="EI26" s="777"/>
      <c r="EJ26" s="777"/>
      <c r="EK26" s="777"/>
      <c r="EL26" s="777"/>
      <c r="EM26" s="777"/>
      <c r="EN26" s="777"/>
      <c r="EO26" s="777"/>
      <c r="EP26" s="778"/>
      <c r="EQ26" s="776"/>
      <c r="ER26" s="777"/>
      <c r="ES26" s="777"/>
      <c r="ET26" s="777"/>
      <c r="EU26" s="777"/>
      <c r="EV26" s="777"/>
      <c r="EW26" s="777"/>
      <c r="EX26" s="777"/>
      <c r="EY26" s="777"/>
      <c r="EZ26" s="778"/>
      <c r="FA26" s="779"/>
      <c r="FB26" s="780"/>
      <c r="FC26" s="780"/>
      <c r="FD26" s="780"/>
      <c r="FE26" s="780"/>
      <c r="FF26" s="780"/>
      <c r="FG26" s="780"/>
      <c r="FH26" s="780"/>
      <c r="FI26" s="780"/>
      <c r="FJ26" s="780"/>
      <c r="FK26" s="781"/>
    </row>
    <row r="27" spans="1:171" ht="15" customHeight="1" x14ac:dyDescent="0.2">
      <c r="A27" s="975"/>
      <c r="B27" s="975"/>
      <c r="C27" s="975"/>
      <c r="D27" s="975"/>
      <c r="E27" s="975"/>
      <c r="F27" s="975"/>
      <c r="G27" s="975"/>
      <c r="H27" s="990" t="s">
        <v>1011</v>
      </c>
      <c r="I27" s="991"/>
      <c r="J27" s="991"/>
      <c r="K27" s="991"/>
      <c r="L27" s="991"/>
      <c r="M27" s="991"/>
      <c r="N27" s="991"/>
      <c r="O27" s="991"/>
      <c r="P27" s="991"/>
      <c r="Q27" s="991"/>
      <c r="R27" s="991"/>
      <c r="S27" s="991"/>
      <c r="T27" s="991"/>
      <c r="U27" s="991"/>
      <c r="V27" s="991"/>
      <c r="W27" s="991"/>
      <c r="X27" s="991"/>
      <c r="Y27" s="991"/>
      <c r="Z27" s="991"/>
      <c r="AA27" s="991"/>
      <c r="AB27" s="991"/>
      <c r="AC27" s="991"/>
      <c r="AD27" s="991"/>
      <c r="AE27" s="991"/>
      <c r="AF27" s="991"/>
      <c r="AG27" s="991"/>
      <c r="AH27" s="991"/>
      <c r="AI27" s="991"/>
      <c r="AJ27" s="991"/>
      <c r="AK27" s="991"/>
      <c r="AL27" s="991"/>
      <c r="AM27" s="991"/>
      <c r="AN27" s="991"/>
      <c r="AO27" s="991"/>
      <c r="AP27" s="991"/>
      <c r="AQ27" s="991"/>
      <c r="AR27" s="991"/>
      <c r="AS27" s="991"/>
      <c r="AT27" s="991"/>
      <c r="AU27" s="991"/>
      <c r="AV27" s="991"/>
      <c r="AW27" s="991"/>
      <c r="AX27" s="991"/>
      <c r="AY27" s="991"/>
      <c r="AZ27" s="991"/>
      <c r="BA27" s="991"/>
      <c r="BB27" s="991"/>
      <c r="BC27" s="991"/>
      <c r="BD27" s="991"/>
      <c r="BE27" s="991"/>
      <c r="BF27" s="991"/>
      <c r="BG27" s="991"/>
      <c r="BH27" s="991"/>
      <c r="BI27" s="991"/>
      <c r="BJ27" s="991"/>
      <c r="BK27" s="991"/>
      <c r="BL27" s="991"/>
      <c r="BM27" s="991"/>
      <c r="BN27" s="991"/>
      <c r="BO27" s="991"/>
      <c r="BP27" s="991"/>
      <c r="BQ27" s="991"/>
      <c r="BR27" s="991"/>
      <c r="BS27" s="991"/>
      <c r="BT27" s="991"/>
      <c r="BU27" s="991"/>
      <c r="BV27" s="991"/>
      <c r="BW27" s="991"/>
      <c r="BX27" s="991"/>
      <c r="BY27" s="991"/>
      <c r="BZ27" s="991"/>
      <c r="CA27" s="991"/>
      <c r="CB27" s="991"/>
      <c r="CC27" s="991"/>
      <c r="CD27" s="991"/>
      <c r="CE27" s="991"/>
      <c r="CF27" s="991"/>
      <c r="CG27" s="991"/>
      <c r="CH27" s="991"/>
      <c r="CI27" s="991"/>
      <c r="CJ27" s="991"/>
      <c r="CK27" s="992"/>
      <c r="CL27" s="867" t="s">
        <v>599</v>
      </c>
      <c r="CM27" s="868"/>
      <c r="CN27" s="868"/>
      <c r="CO27" s="868"/>
      <c r="CP27" s="868"/>
      <c r="CQ27" s="868"/>
      <c r="CR27" s="869"/>
      <c r="CS27" s="870"/>
      <c r="CT27" s="868"/>
      <c r="CU27" s="868"/>
      <c r="CV27" s="868"/>
      <c r="CW27" s="868"/>
      <c r="CX27" s="868"/>
      <c r="CY27" s="869"/>
      <c r="CZ27" s="870"/>
      <c r="DA27" s="868"/>
      <c r="DB27" s="868"/>
      <c r="DC27" s="868"/>
      <c r="DD27" s="868"/>
      <c r="DE27" s="868"/>
      <c r="DF27" s="868"/>
      <c r="DG27" s="868"/>
      <c r="DH27" s="868"/>
      <c r="DI27" s="868"/>
      <c r="DJ27" s="868"/>
      <c r="DK27" s="869"/>
      <c r="DL27" s="870"/>
      <c r="DM27" s="868"/>
      <c r="DN27" s="868"/>
      <c r="DO27" s="868"/>
      <c r="DP27" s="868"/>
      <c r="DQ27" s="868"/>
      <c r="DR27" s="868"/>
      <c r="DS27" s="868"/>
      <c r="DT27" s="868"/>
      <c r="DU27" s="868"/>
      <c r="DV27" s="869"/>
      <c r="DW27" s="871"/>
      <c r="DX27" s="872"/>
      <c r="DY27" s="872"/>
      <c r="DZ27" s="872"/>
      <c r="EA27" s="872"/>
      <c r="EB27" s="872"/>
      <c r="EC27" s="872"/>
      <c r="ED27" s="872"/>
      <c r="EE27" s="872"/>
      <c r="EF27" s="873"/>
      <c r="EG27" s="871"/>
      <c r="EH27" s="872"/>
      <c r="EI27" s="872"/>
      <c r="EJ27" s="872"/>
      <c r="EK27" s="872"/>
      <c r="EL27" s="872"/>
      <c r="EM27" s="872"/>
      <c r="EN27" s="872"/>
      <c r="EO27" s="872"/>
      <c r="EP27" s="873"/>
      <c r="EQ27" s="871"/>
      <c r="ER27" s="872"/>
      <c r="ES27" s="872"/>
      <c r="ET27" s="872"/>
      <c r="EU27" s="872"/>
      <c r="EV27" s="872"/>
      <c r="EW27" s="872"/>
      <c r="EX27" s="872"/>
      <c r="EY27" s="872"/>
      <c r="EZ27" s="873"/>
      <c r="FA27" s="874"/>
      <c r="FB27" s="875"/>
      <c r="FC27" s="875"/>
      <c r="FD27" s="875"/>
      <c r="FE27" s="875"/>
      <c r="FF27" s="875"/>
      <c r="FG27" s="875"/>
      <c r="FH27" s="875"/>
      <c r="FI27" s="875"/>
      <c r="FJ27" s="875"/>
      <c r="FK27" s="876"/>
    </row>
    <row r="28" spans="1:171" ht="15" customHeight="1" x14ac:dyDescent="0.2">
      <c r="A28" s="975"/>
      <c r="B28" s="975"/>
      <c r="C28" s="975"/>
      <c r="D28" s="975"/>
      <c r="E28" s="975"/>
      <c r="F28" s="975"/>
      <c r="G28" s="975"/>
      <c r="H28" s="989"/>
      <c r="I28" s="813"/>
      <c r="J28" s="813"/>
      <c r="K28" s="813"/>
      <c r="L28" s="813"/>
      <c r="M28" s="813"/>
      <c r="N28" s="813"/>
      <c r="O28" s="813"/>
      <c r="P28" s="813"/>
      <c r="Q28" s="813"/>
      <c r="R28" s="813"/>
      <c r="S28" s="813"/>
      <c r="T28" s="813"/>
      <c r="U28" s="813"/>
      <c r="V28" s="813"/>
      <c r="W28" s="813"/>
      <c r="X28" s="813"/>
      <c r="Y28" s="813"/>
      <c r="Z28" s="813"/>
      <c r="AA28" s="813"/>
      <c r="AB28" s="813"/>
      <c r="AC28" s="813"/>
      <c r="AD28" s="813"/>
      <c r="AE28" s="813"/>
      <c r="AF28" s="813"/>
      <c r="AG28" s="813"/>
      <c r="AH28" s="813"/>
      <c r="AI28" s="813"/>
      <c r="AJ28" s="813"/>
      <c r="AK28" s="813"/>
      <c r="AL28" s="813"/>
      <c r="AM28" s="813"/>
      <c r="AN28" s="813"/>
      <c r="AO28" s="813"/>
      <c r="AP28" s="813"/>
      <c r="AQ28" s="813"/>
      <c r="AR28" s="813"/>
      <c r="AS28" s="813"/>
      <c r="AT28" s="813"/>
      <c r="AU28" s="813"/>
      <c r="AV28" s="813"/>
      <c r="AW28" s="813"/>
      <c r="AX28" s="813"/>
      <c r="AY28" s="813"/>
      <c r="AZ28" s="813"/>
      <c r="BA28" s="813"/>
      <c r="BB28" s="813"/>
      <c r="BC28" s="813"/>
      <c r="BD28" s="813"/>
      <c r="BE28" s="813"/>
      <c r="BF28" s="813"/>
      <c r="BG28" s="813"/>
      <c r="BH28" s="813"/>
      <c r="BI28" s="813"/>
      <c r="BJ28" s="813"/>
      <c r="BK28" s="813"/>
      <c r="BL28" s="813"/>
      <c r="BM28" s="813"/>
      <c r="BN28" s="813"/>
      <c r="BO28" s="813"/>
      <c r="BP28" s="813"/>
      <c r="BQ28" s="813"/>
      <c r="BR28" s="813"/>
      <c r="BS28" s="813"/>
      <c r="BT28" s="813"/>
      <c r="BU28" s="813"/>
      <c r="BV28" s="813"/>
      <c r="BW28" s="813"/>
      <c r="BX28" s="813"/>
      <c r="BY28" s="813"/>
      <c r="BZ28" s="813"/>
      <c r="CA28" s="813"/>
      <c r="CB28" s="813"/>
      <c r="CC28" s="813"/>
      <c r="CD28" s="813"/>
      <c r="CE28" s="813"/>
      <c r="CF28" s="813"/>
      <c r="CG28" s="813"/>
      <c r="CH28" s="813"/>
      <c r="CI28" s="813"/>
      <c r="CJ28" s="813"/>
      <c r="CK28" s="813"/>
      <c r="CL28" s="816"/>
      <c r="CM28" s="817"/>
      <c r="CN28" s="817"/>
      <c r="CO28" s="817"/>
      <c r="CP28" s="817"/>
      <c r="CQ28" s="817"/>
      <c r="CR28" s="818"/>
      <c r="CS28" s="819"/>
      <c r="CT28" s="817"/>
      <c r="CU28" s="817"/>
      <c r="CV28" s="817"/>
      <c r="CW28" s="817"/>
      <c r="CX28" s="817"/>
      <c r="CY28" s="818"/>
      <c r="CZ28" s="819"/>
      <c r="DA28" s="817"/>
      <c r="DB28" s="817"/>
      <c r="DC28" s="817"/>
      <c r="DD28" s="817"/>
      <c r="DE28" s="817"/>
      <c r="DF28" s="817"/>
      <c r="DG28" s="817"/>
      <c r="DH28" s="817"/>
      <c r="DI28" s="817"/>
      <c r="DJ28" s="817"/>
      <c r="DK28" s="818"/>
      <c r="DL28" s="819"/>
      <c r="DM28" s="817"/>
      <c r="DN28" s="817"/>
      <c r="DO28" s="817"/>
      <c r="DP28" s="817"/>
      <c r="DQ28" s="817"/>
      <c r="DR28" s="817"/>
      <c r="DS28" s="817"/>
      <c r="DT28" s="817"/>
      <c r="DU28" s="817"/>
      <c r="DV28" s="818"/>
      <c r="DW28" s="807"/>
      <c r="DX28" s="808"/>
      <c r="DY28" s="808"/>
      <c r="DZ28" s="808"/>
      <c r="EA28" s="808"/>
      <c r="EB28" s="808"/>
      <c r="EC28" s="808"/>
      <c r="ED28" s="808"/>
      <c r="EE28" s="808"/>
      <c r="EF28" s="809"/>
      <c r="EG28" s="807"/>
      <c r="EH28" s="808"/>
      <c r="EI28" s="808"/>
      <c r="EJ28" s="808"/>
      <c r="EK28" s="808"/>
      <c r="EL28" s="808"/>
      <c r="EM28" s="808"/>
      <c r="EN28" s="808"/>
      <c r="EO28" s="808"/>
      <c r="EP28" s="809"/>
      <c r="EQ28" s="807"/>
      <c r="ER28" s="808"/>
      <c r="ES28" s="808"/>
      <c r="ET28" s="808"/>
      <c r="EU28" s="808"/>
      <c r="EV28" s="808"/>
      <c r="EW28" s="808"/>
      <c r="EX28" s="808"/>
      <c r="EY28" s="808"/>
      <c r="EZ28" s="809"/>
      <c r="FA28" s="810"/>
      <c r="FB28" s="811"/>
      <c r="FC28" s="811"/>
      <c r="FD28" s="811"/>
      <c r="FE28" s="811"/>
      <c r="FF28" s="811"/>
      <c r="FG28" s="811"/>
      <c r="FH28" s="811"/>
      <c r="FI28" s="811"/>
      <c r="FJ28" s="811"/>
      <c r="FK28" s="812"/>
    </row>
    <row r="29" spans="1:171" ht="15" customHeight="1" x14ac:dyDescent="0.2">
      <c r="A29" s="975"/>
      <c r="B29" s="975"/>
      <c r="C29" s="975"/>
      <c r="D29" s="975"/>
      <c r="E29" s="975"/>
      <c r="F29" s="975"/>
      <c r="G29" s="975"/>
      <c r="H29" s="990" t="s">
        <v>1012</v>
      </c>
      <c r="I29" s="991"/>
      <c r="J29" s="991"/>
      <c r="K29" s="991"/>
      <c r="L29" s="991"/>
      <c r="M29" s="991"/>
      <c r="N29" s="991"/>
      <c r="O29" s="991"/>
      <c r="P29" s="991"/>
      <c r="Q29" s="991"/>
      <c r="R29" s="991"/>
      <c r="S29" s="991"/>
      <c r="T29" s="991"/>
      <c r="U29" s="991"/>
      <c r="V29" s="991"/>
      <c r="W29" s="991"/>
      <c r="X29" s="991"/>
      <c r="Y29" s="991"/>
      <c r="Z29" s="991"/>
      <c r="AA29" s="991"/>
      <c r="AB29" s="991"/>
      <c r="AC29" s="991"/>
      <c r="AD29" s="991"/>
      <c r="AE29" s="991"/>
      <c r="AF29" s="991"/>
      <c r="AG29" s="991"/>
      <c r="AH29" s="991"/>
      <c r="AI29" s="991"/>
      <c r="AJ29" s="991"/>
      <c r="AK29" s="991"/>
      <c r="AL29" s="991"/>
      <c r="AM29" s="991"/>
      <c r="AN29" s="991"/>
      <c r="AO29" s="991"/>
      <c r="AP29" s="991"/>
      <c r="AQ29" s="991"/>
      <c r="AR29" s="991"/>
      <c r="AS29" s="991"/>
      <c r="AT29" s="991"/>
      <c r="AU29" s="991"/>
      <c r="AV29" s="991"/>
      <c r="AW29" s="991"/>
      <c r="AX29" s="991"/>
      <c r="AY29" s="991"/>
      <c r="AZ29" s="991"/>
      <c r="BA29" s="991"/>
      <c r="BB29" s="991"/>
      <c r="BC29" s="991"/>
      <c r="BD29" s="991"/>
      <c r="BE29" s="991"/>
      <c r="BF29" s="991"/>
      <c r="BG29" s="991"/>
      <c r="BH29" s="991"/>
      <c r="BI29" s="991"/>
      <c r="BJ29" s="991"/>
      <c r="BK29" s="991"/>
      <c r="BL29" s="991"/>
      <c r="BM29" s="991"/>
      <c r="BN29" s="991"/>
      <c r="BO29" s="991"/>
      <c r="BP29" s="991"/>
      <c r="BQ29" s="991"/>
      <c r="BR29" s="991"/>
      <c r="BS29" s="991"/>
      <c r="BT29" s="991"/>
      <c r="BU29" s="991"/>
      <c r="BV29" s="991"/>
      <c r="BW29" s="991"/>
      <c r="BX29" s="991"/>
      <c r="BY29" s="991"/>
      <c r="BZ29" s="991"/>
      <c r="CA29" s="991"/>
      <c r="CB29" s="991"/>
      <c r="CC29" s="991"/>
      <c r="CD29" s="991"/>
      <c r="CE29" s="991"/>
      <c r="CF29" s="991"/>
      <c r="CG29" s="991"/>
      <c r="CH29" s="991"/>
      <c r="CI29" s="991"/>
      <c r="CJ29" s="991"/>
      <c r="CK29" s="992"/>
      <c r="CL29" s="867" t="s">
        <v>667</v>
      </c>
      <c r="CM29" s="868"/>
      <c r="CN29" s="868"/>
      <c r="CO29" s="868"/>
      <c r="CP29" s="868"/>
      <c r="CQ29" s="868"/>
      <c r="CR29" s="869"/>
      <c r="CS29" s="870"/>
      <c r="CT29" s="868"/>
      <c r="CU29" s="868"/>
      <c r="CV29" s="868"/>
      <c r="CW29" s="868"/>
      <c r="CX29" s="868"/>
      <c r="CY29" s="869"/>
      <c r="CZ29" s="870"/>
      <c r="DA29" s="868"/>
      <c r="DB29" s="868"/>
      <c r="DC29" s="868"/>
      <c r="DD29" s="868"/>
      <c r="DE29" s="868"/>
      <c r="DF29" s="868"/>
      <c r="DG29" s="868"/>
      <c r="DH29" s="868"/>
      <c r="DI29" s="868"/>
      <c r="DJ29" s="868"/>
      <c r="DK29" s="869"/>
      <c r="DL29" s="870"/>
      <c r="DM29" s="868"/>
      <c r="DN29" s="868"/>
      <c r="DO29" s="868"/>
      <c r="DP29" s="868"/>
      <c r="DQ29" s="868"/>
      <c r="DR29" s="868"/>
      <c r="DS29" s="868"/>
      <c r="DT29" s="868"/>
      <c r="DU29" s="868"/>
      <c r="DV29" s="869"/>
      <c r="DW29" s="871"/>
      <c r="DX29" s="872"/>
      <c r="DY29" s="872"/>
      <c r="DZ29" s="872"/>
      <c r="EA29" s="872"/>
      <c r="EB29" s="872"/>
      <c r="EC29" s="872"/>
      <c r="ED29" s="872"/>
      <c r="EE29" s="872"/>
      <c r="EF29" s="873"/>
      <c r="EG29" s="871"/>
      <c r="EH29" s="872"/>
      <c r="EI29" s="872"/>
      <c r="EJ29" s="872"/>
      <c r="EK29" s="872"/>
      <c r="EL29" s="872"/>
      <c r="EM29" s="872"/>
      <c r="EN29" s="872"/>
      <c r="EO29" s="872"/>
      <c r="EP29" s="873"/>
      <c r="EQ29" s="871"/>
      <c r="ER29" s="872"/>
      <c r="ES29" s="872"/>
      <c r="ET29" s="872"/>
      <c r="EU29" s="872"/>
      <c r="EV29" s="872"/>
      <c r="EW29" s="872"/>
      <c r="EX29" s="872"/>
      <c r="EY29" s="872"/>
      <c r="EZ29" s="873"/>
      <c r="FA29" s="874"/>
      <c r="FB29" s="875"/>
      <c r="FC29" s="875"/>
      <c r="FD29" s="875"/>
      <c r="FE29" s="875"/>
      <c r="FF29" s="875"/>
      <c r="FG29" s="875"/>
      <c r="FH29" s="875"/>
      <c r="FI29" s="875"/>
      <c r="FJ29" s="875"/>
      <c r="FK29" s="876"/>
    </row>
    <row r="30" spans="1:171" ht="15" customHeight="1" x14ac:dyDescent="0.2">
      <c r="A30" s="975"/>
      <c r="B30" s="975"/>
      <c r="C30" s="975"/>
      <c r="D30" s="975"/>
      <c r="E30" s="975"/>
      <c r="F30" s="975"/>
      <c r="G30" s="975"/>
      <c r="H30" s="989"/>
      <c r="I30" s="813"/>
      <c r="J30" s="813"/>
      <c r="K30" s="813"/>
      <c r="L30" s="813"/>
      <c r="M30" s="813"/>
      <c r="N30" s="813"/>
      <c r="O30" s="813"/>
      <c r="P30" s="813"/>
      <c r="Q30" s="813"/>
      <c r="R30" s="813"/>
      <c r="S30" s="813"/>
      <c r="T30" s="813"/>
      <c r="U30" s="813"/>
      <c r="V30" s="813"/>
      <c r="W30" s="813"/>
      <c r="X30" s="813"/>
      <c r="Y30" s="813"/>
      <c r="Z30" s="813"/>
      <c r="AA30" s="813"/>
      <c r="AB30" s="813"/>
      <c r="AC30" s="813"/>
      <c r="AD30" s="813"/>
      <c r="AE30" s="813"/>
      <c r="AF30" s="813"/>
      <c r="AG30" s="813"/>
      <c r="AH30" s="813"/>
      <c r="AI30" s="813"/>
      <c r="AJ30" s="813"/>
      <c r="AK30" s="813"/>
      <c r="AL30" s="813"/>
      <c r="AM30" s="813"/>
      <c r="AN30" s="813"/>
      <c r="AO30" s="813"/>
      <c r="AP30" s="813"/>
      <c r="AQ30" s="813"/>
      <c r="AR30" s="813"/>
      <c r="AS30" s="813"/>
      <c r="AT30" s="813"/>
      <c r="AU30" s="813"/>
      <c r="AV30" s="813"/>
      <c r="AW30" s="813"/>
      <c r="AX30" s="813"/>
      <c r="AY30" s="813"/>
      <c r="AZ30" s="813"/>
      <c r="BA30" s="813"/>
      <c r="BB30" s="813"/>
      <c r="BC30" s="813"/>
      <c r="BD30" s="813"/>
      <c r="BE30" s="813"/>
      <c r="BF30" s="813"/>
      <c r="BG30" s="813"/>
      <c r="BH30" s="813"/>
      <c r="BI30" s="813"/>
      <c r="BJ30" s="813"/>
      <c r="BK30" s="813"/>
      <c r="BL30" s="813"/>
      <c r="BM30" s="813"/>
      <c r="BN30" s="813"/>
      <c r="BO30" s="813"/>
      <c r="BP30" s="813"/>
      <c r="BQ30" s="813"/>
      <c r="BR30" s="813"/>
      <c r="BS30" s="813"/>
      <c r="BT30" s="813"/>
      <c r="BU30" s="813"/>
      <c r="BV30" s="813"/>
      <c r="BW30" s="813"/>
      <c r="BX30" s="813"/>
      <c r="BY30" s="813"/>
      <c r="BZ30" s="813"/>
      <c r="CA30" s="813"/>
      <c r="CB30" s="813"/>
      <c r="CC30" s="813"/>
      <c r="CD30" s="813"/>
      <c r="CE30" s="813"/>
      <c r="CF30" s="813"/>
      <c r="CG30" s="813"/>
      <c r="CH30" s="813"/>
      <c r="CI30" s="813"/>
      <c r="CJ30" s="813"/>
      <c r="CK30" s="813"/>
      <c r="CL30" s="816"/>
      <c r="CM30" s="817"/>
      <c r="CN30" s="817"/>
      <c r="CO30" s="817"/>
      <c r="CP30" s="817"/>
      <c r="CQ30" s="817"/>
      <c r="CR30" s="818"/>
      <c r="CS30" s="819"/>
      <c r="CT30" s="817"/>
      <c r="CU30" s="817"/>
      <c r="CV30" s="817"/>
      <c r="CW30" s="817"/>
      <c r="CX30" s="817"/>
      <c r="CY30" s="818"/>
      <c r="CZ30" s="819"/>
      <c r="DA30" s="817"/>
      <c r="DB30" s="817"/>
      <c r="DC30" s="817"/>
      <c r="DD30" s="817"/>
      <c r="DE30" s="817"/>
      <c r="DF30" s="817"/>
      <c r="DG30" s="817"/>
      <c r="DH30" s="817"/>
      <c r="DI30" s="817"/>
      <c r="DJ30" s="817"/>
      <c r="DK30" s="818"/>
      <c r="DL30" s="819"/>
      <c r="DM30" s="817"/>
      <c r="DN30" s="817"/>
      <c r="DO30" s="817"/>
      <c r="DP30" s="817"/>
      <c r="DQ30" s="817"/>
      <c r="DR30" s="817"/>
      <c r="DS30" s="817"/>
      <c r="DT30" s="817"/>
      <c r="DU30" s="817"/>
      <c r="DV30" s="818"/>
      <c r="DW30" s="807"/>
      <c r="DX30" s="808"/>
      <c r="DY30" s="808"/>
      <c r="DZ30" s="808"/>
      <c r="EA30" s="808"/>
      <c r="EB30" s="808"/>
      <c r="EC30" s="808"/>
      <c r="ED30" s="808"/>
      <c r="EE30" s="808"/>
      <c r="EF30" s="809"/>
      <c r="EG30" s="807"/>
      <c r="EH30" s="808"/>
      <c r="EI30" s="808"/>
      <c r="EJ30" s="808"/>
      <c r="EK30" s="808"/>
      <c r="EL30" s="808"/>
      <c r="EM30" s="808"/>
      <c r="EN30" s="808"/>
      <c r="EO30" s="808"/>
      <c r="EP30" s="809"/>
      <c r="EQ30" s="807"/>
      <c r="ER30" s="808"/>
      <c r="ES30" s="808"/>
      <c r="ET30" s="808"/>
      <c r="EU30" s="808"/>
      <c r="EV30" s="808"/>
      <c r="EW30" s="808"/>
      <c r="EX30" s="808"/>
      <c r="EY30" s="808"/>
      <c r="EZ30" s="809"/>
      <c r="FA30" s="810"/>
      <c r="FB30" s="811"/>
      <c r="FC30" s="811"/>
      <c r="FD30" s="811"/>
      <c r="FE30" s="811"/>
      <c r="FF30" s="811"/>
      <c r="FG30" s="811"/>
      <c r="FH30" s="811"/>
      <c r="FI30" s="811"/>
      <c r="FJ30" s="811"/>
      <c r="FK30" s="812"/>
    </row>
    <row r="31" spans="1:171" ht="15" customHeight="1" x14ac:dyDescent="0.2">
      <c r="A31" s="493"/>
      <c r="B31" s="493"/>
      <c r="C31" s="493"/>
      <c r="D31" s="493"/>
      <c r="E31" s="493"/>
      <c r="F31" s="493"/>
      <c r="G31" s="493"/>
      <c r="H31" s="494"/>
      <c r="I31" s="494"/>
      <c r="J31" s="494"/>
      <c r="K31" s="494"/>
      <c r="L31" s="494"/>
      <c r="M31" s="494"/>
      <c r="N31" s="494"/>
      <c r="O31" s="494"/>
      <c r="P31" s="494"/>
      <c r="Q31" s="494"/>
      <c r="R31" s="494"/>
      <c r="S31" s="494"/>
      <c r="T31" s="494"/>
      <c r="U31" s="494"/>
      <c r="V31" s="494"/>
      <c r="W31" s="494"/>
      <c r="X31" s="494"/>
      <c r="Y31" s="494"/>
      <c r="Z31" s="494"/>
      <c r="AA31" s="494"/>
      <c r="AB31" s="494"/>
      <c r="AC31" s="494"/>
      <c r="AD31" s="494"/>
      <c r="AE31" s="494"/>
      <c r="AF31" s="494"/>
      <c r="AG31" s="494"/>
      <c r="AH31" s="494"/>
      <c r="AI31" s="494"/>
      <c r="AJ31" s="494"/>
      <c r="AK31" s="494"/>
      <c r="AL31" s="494"/>
      <c r="AM31" s="494"/>
      <c r="AN31" s="494"/>
      <c r="AO31" s="494"/>
      <c r="AP31" s="494"/>
      <c r="AQ31" s="494"/>
      <c r="AR31" s="494"/>
      <c r="AS31" s="494"/>
      <c r="AT31" s="494"/>
      <c r="AU31" s="494"/>
      <c r="AV31" s="494"/>
      <c r="AW31" s="494"/>
      <c r="AX31" s="494"/>
      <c r="AY31" s="494"/>
      <c r="AZ31" s="494"/>
      <c r="BA31" s="494"/>
      <c r="BB31" s="494"/>
      <c r="BC31" s="494"/>
      <c r="BD31" s="494"/>
      <c r="BE31" s="494"/>
      <c r="BF31" s="494"/>
      <c r="BG31" s="494"/>
      <c r="BH31" s="494"/>
      <c r="BI31" s="494"/>
      <c r="BJ31" s="494"/>
      <c r="BK31" s="494"/>
      <c r="BL31" s="494"/>
      <c r="BM31" s="494"/>
      <c r="BN31" s="494"/>
      <c r="BO31" s="494"/>
      <c r="BP31" s="494"/>
      <c r="BQ31" s="494"/>
      <c r="BR31" s="494"/>
      <c r="BS31" s="494"/>
      <c r="BT31" s="494"/>
      <c r="BU31" s="494"/>
      <c r="BV31" s="494"/>
      <c r="BW31" s="494"/>
      <c r="BX31" s="494"/>
      <c r="BY31" s="494"/>
      <c r="BZ31" s="494"/>
      <c r="CA31" s="494"/>
      <c r="CB31" s="494"/>
      <c r="CC31" s="494"/>
      <c r="CD31" s="494"/>
      <c r="CE31" s="494"/>
      <c r="CF31" s="494"/>
      <c r="CG31" s="494"/>
      <c r="CH31" s="494"/>
      <c r="CI31" s="494"/>
      <c r="CJ31" s="494"/>
      <c r="CK31" s="494"/>
      <c r="CL31" s="495"/>
      <c r="CM31" s="495"/>
      <c r="CN31" s="495"/>
      <c r="CO31" s="495"/>
      <c r="CP31" s="495"/>
      <c r="CQ31" s="495"/>
      <c r="CR31" s="495"/>
      <c r="CS31" s="495"/>
      <c r="CT31" s="495"/>
      <c r="CU31" s="495"/>
      <c r="CV31" s="495"/>
      <c r="CW31" s="495"/>
      <c r="CX31" s="495"/>
      <c r="CY31" s="495"/>
      <c r="CZ31" s="495"/>
      <c r="DA31" s="495"/>
      <c r="DB31" s="495"/>
      <c r="DC31" s="495"/>
      <c r="DD31" s="495"/>
      <c r="DE31" s="495"/>
      <c r="DF31" s="495"/>
      <c r="DG31" s="495"/>
      <c r="DH31" s="495"/>
      <c r="DI31" s="495"/>
      <c r="DJ31" s="495"/>
      <c r="DK31" s="495"/>
      <c r="DL31" s="495"/>
      <c r="DM31" s="495"/>
      <c r="DN31" s="495"/>
      <c r="DO31" s="495"/>
      <c r="DP31" s="495"/>
      <c r="DQ31" s="495"/>
      <c r="DR31" s="495"/>
      <c r="DS31" s="495"/>
      <c r="DT31" s="495"/>
      <c r="DU31" s="495"/>
      <c r="DV31" s="495"/>
      <c r="DW31" s="496"/>
      <c r="DX31" s="496"/>
      <c r="DY31" s="496"/>
      <c r="DZ31" s="496"/>
      <c r="EA31" s="496"/>
      <c r="EB31" s="496"/>
      <c r="EC31" s="496"/>
      <c r="ED31" s="496"/>
      <c r="EE31" s="496"/>
      <c r="EF31" s="496"/>
      <c r="EG31" s="496"/>
      <c r="EH31" s="496"/>
      <c r="EI31" s="496"/>
      <c r="EJ31" s="496"/>
      <c r="EK31" s="496"/>
      <c r="EL31" s="496"/>
      <c r="EM31" s="496"/>
      <c r="EN31" s="496"/>
      <c r="EO31" s="496"/>
      <c r="EP31" s="496"/>
      <c r="EQ31" s="496"/>
      <c r="ER31" s="496"/>
      <c r="ES31" s="496"/>
      <c r="ET31" s="496"/>
      <c r="EU31" s="496"/>
      <c r="EV31" s="496"/>
      <c r="EW31" s="496"/>
      <c r="EX31" s="496"/>
      <c r="EY31" s="496"/>
      <c r="EZ31" s="496"/>
      <c r="FA31" s="496"/>
      <c r="FB31" s="496"/>
      <c r="FC31" s="496"/>
      <c r="FD31" s="496"/>
      <c r="FE31" s="496"/>
      <c r="FF31" s="496"/>
      <c r="FG31" s="496"/>
      <c r="FH31" s="496"/>
      <c r="FI31" s="496"/>
      <c r="FJ31" s="496"/>
      <c r="FK31" s="496"/>
    </row>
    <row r="32" spans="1:171" ht="15" customHeight="1" x14ac:dyDescent="0.2">
      <c r="A32" s="1003" t="s">
        <v>989</v>
      </c>
      <c r="B32" s="1003"/>
      <c r="C32" s="1003"/>
      <c r="D32" s="1003"/>
      <c r="E32" s="1003"/>
      <c r="F32" s="1003"/>
      <c r="G32" s="1003"/>
      <c r="H32" s="907" t="s">
        <v>44</v>
      </c>
      <c r="I32" s="907"/>
      <c r="J32" s="907"/>
      <c r="K32" s="907"/>
      <c r="L32" s="907"/>
      <c r="M32" s="907"/>
      <c r="N32" s="907"/>
      <c r="O32" s="907"/>
      <c r="P32" s="907"/>
      <c r="Q32" s="907"/>
      <c r="R32" s="907"/>
      <c r="S32" s="907"/>
      <c r="T32" s="907"/>
      <c r="U32" s="907"/>
      <c r="V32" s="907"/>
      <c r="W32" s="907"/>
      <c r="X32" s="907"/>
      <c r="Y32" s="907"/>
      <c r="Z32" s="907"/>
      <c r="AA32" s="907"/>
      <c r="AB32" s="907"/>
      <c r="AC32" s="907"/>
      <c r="AD32" s="907"/>
      <c r="AE32" s="907"/>
      <c r="AF32" s="907"/>
      <c r="AG32" s="907"/>
      <c r="AH32" s="907"/>
      <c r="AI32" s="907"/>
      <c r="AJ32" s="907"/>
      <c r="AK32" s="907"/>
      <c r="AL32" s="907"/>
      <c r="AM32" s="907"/>
      <c r="AN32" s="907"/>
      <c r="AO32" s="907"/>
      <c r="AP32" s="907"/>
      <c r="AQ32" s="907"/>
      <c r="AR32" s="907"/>
      <c r="AS32" s="907"/>
      <c r="AT32" s="907"/>
      <c r="AU32" s="907"/>
      <c r="AV32" s="907"/>
      <c r="AW32" s="907"/>
      <c r="AX32" s="907"/>
      <c r="AY32" s="907"/>
      <c r="AZ32" s="907"/>
      <c r="BA32" s="907"/>
      <c r="BB32" s="907"/>
      <c r="BC32" s="907"/>
      <c r="BD32" s="907"/>
      <c r="BE32" s="907"/>
      <c r="BF32" s="907"/>
      <c r="BG32" s="907"/>
      <c r="BH32" s="907"/>
      <c r="BI32" s="907"/>
      <c r="BJ32" s="907"/>
      <c r="BK32" s="907"/>
      <c r="BL32" s="907"/>
      <c r="BM32" s="907"/>
      <c r="BN32" s="907"/>
      <c r="BO32" s="907"/>
      <c r="BP32" s="907"/>
      <c r="BQ32" s="907"/>
      <c r="BR32" s="907"/>
      <c r="BS32" s="907"/>
      <c r="BT32" s="907"/>
      <c r="BU32" s="907"/>
      <c r="BV32" s="907"/>
      <c r="BW32" s="907"/>
      <c r="BX32" s="907"/>
      <c r="BY32" s="907"/>
      <c r="BZ32" s="907"/>
      <c r="CA32" s="907"/>
      <c r="CB32" s="907"/>
      <c r="CC32" s="907"/>
      <c r="CD32" s="907"/>
      <c r="CE32" s="907"/>
      <c r="CF32" s="907"/>
      <c r="CG32" s="907"/>
      <c r="CH32" s="907"/>
      <c r="CI32" s="907"/>
      <c r="CJ32" s="907"/>
      <c r="CK32" s="908"/>
      <c r="CL32" s="913" t="s">
        <v>990</v>
      </c>
      <c r="CM32" s="914"/>
      <c r="CN32" s="914"/>
      <c r="CO32" s="914"/>
      <c r="CP32" s="914"/>
      <c r="CQ32" s="914"/>
      <c r="CR32" s="915"/>
      <c r="CS32" s="913" t="s">
        <v>991</v>
      </c>
      <c r="CT32" s="914"/>
      <c r="CU32" s="914"/>
      <c r="CV32" s="914"/>
      <c r="CW32" s="914"/>
      <c r="CX32" s="914"/>
      <c r="CY32" s="915"/>
      <c r="CZ32" s="913" t="s">
        <v>992</v>
      </c>
      <c r="DA32" s="914"/>
      <c r="DB32" s="914"/>
      <c r="DC32" s="914"/>
      <c r="DD32" s="914"/>
      <c r="DE32" s="914"/>
      <c r="DF32" s="914"/>
      <c r="DG32" s="914"/>
      <c r="DH32" s="914"/>
      <c r="DI32" s="914"/>
      <c r="DJ32" s="914"/>
      <c r="DK32" s="915"/>
      <c r="DL32" s="913" t="s">
        <v>993</v>
      </c>
      <c r="DM32" s="914"/>
      <c r="DN32" s="914"/>
      <c r="DO32" s="914"/>
      <c r="DP32" s="914"/>
      <c r="DQ32" s="914"/>
      <c r="DR32" s="914"/>
      <c r="DS32" s="914"/>
      <c r="DT32" s="914"/>
      <c r="DU32" s="914"/>
      <c r="DV32" s="915"/>
      <c r="DW32" s="858" t="s">
        <v>383</v>
      </c>
      <c r="DX32" s="859"/>
      <c r="DY32" s="859"/>
      <c r="DZ32" s="859"/>
      <c r="EA32" s="859"/>
      <c r="EB32" s="859"/>
      <c r="EC32" s="859"/>
      <c r="ED32" s="859"/>
      <c r="EE32" s="859"/>
      <c r="EF32" s="859"/>
      <c r="EG32" s="859"/>
      <c r="EH32" s="859"/>
      <c r="EI32" s="859"/>
      <c r="EJ32" s="859"/>
      <c r="EK32" s="859"/>
      <c r="EL32" s="859"/>
      <c r="EM32" s="859"/>
      <c r="EN32" s="859"/>
      <c r="EO32" s="859"/>
      <c r="EP32" s="859"/>
      <c r="EQ32" s="859"/>
      <c r="ER32" s="859"/>
      <c r="ES32" s="859"/>
      <c r="ET32" s="859"/>
      <c r="EU32" s="859"/>
      <c r="EV32" s="859"/>
      <c r="EW32" s="859"/>
      <c r="EX32" s="859"/>
      <c r="EY32" s="859"/>
      <c r="EZ32" s="859"/>
      <c r="FA32" s="859"/>
      <c r="FB32" s="859"/>
      <c r="FC32" s="859"/>
      <c r="FD32" s="859"/>
      <c r="FE32" s="859"/>
      <c r="FF32" s="859"/>
      <c r="FG32" s="859"/>
      <c r="FH32" s="859"/>
      <c r="FI32" s="859"/>
      <c r="FJ32" s="859"/>
      <c r="FK32" s="859"/>
    </row>
    <row r="33" spans="1:168" ht="15" customHeight="1" x14ac:dyDescent="0.2">
      <c r="A33" s="1003"/>
      <c r="B33" s="1003"/>
      <c r="C33" s="1003"/>
      <c r="D33" s="1003"/>
      <c r="E33" s="1003"/>
      <c r="F33" s="1003"/>
      <c r="G33" s="1003"/>
      <c r="H33" s="909"/>
      <c r="I33" s="909"/>
      <c r="J33" s="909"/>
      <c r="K33" s="909"/>
      <c r="L33" s="909"/>
      <c r="M33" s="909"/>
      <c r="N33" s="909"/>
      <c r="O33" s="909"/>
      <c r="P33" s="909"/>
      <c r="Q33" s="909"/>
      <c r="R33" s="909"/>
      <c r="S33" s="909"/>
      <c r="T33" s="909"/>
      <c r="U33" s="909"/>
      <c r="V33" s="909"/>
      <c r="W33" s="909"/>
      <c r="X33" s="909"/>
      <c r="Y33" s="909"/>
      <c r="Z33" s="909"/>
      <c r="AA33" s="909"/>
      <c r="AB33" s="909"/>
      <c r="AC33" s="909"/>
      <c r="AD33" s="909"/>
      <c r="AE33" s="909"/>
      <c r="AF33" s="909"/>
      <c r="AG33" s="909"/>
      <c r="AH33" s="909"/>
      <c r="AI33" s="909"/>
      <c r="AJ33" s="909"/>
      <c r="AK33" s="909"/>
      <c r="AL33" s="909"/>
      <c r="AM33" s="909"/>
      <c r="AN33" s="909"/>
      <c r="AO33" s="909"/>
      <c r="AP33" s="909"/>
      <c r="AQ33" s="909"/>
      <c r="AR33" s="909"/>
      <c r="AS33" s="909"/>
      <c r="AT33" s="909"/>
      <c r="AU33" s="909"/>
      <c r="AV33" s="909"/>
      <c r="AW33" s="909"/>
      <c r="AX33" s="909"/>
      <c r="AY33" s="909"/>
      <c r="AZ33" s="909"/>
      <c r="BA33" s="909"/>
      <c r="BB33" s="909"/>
      <c r="BC33" s="909"/>
      <c r="BD33" s="909"/>
      <c r="BE33" s="909"/>
      <c r="BF33" s="909"/>
      <c r="BG33" s="909"/>
      <c r="BH33" s="909"/>
      <c r="BI33" s="909"/>
      <c r="BJ33" s="909"/>
      <c r="BK33" s="909"/>
      <c r="BL33" s="909"/>
      <c r="BM33" s="909"/>
      <c r="BN33" s="909"/>
      <c r="BO33" s="909"/>
      <c r="BP33" s="909"/>
      <c r="BQ33" s="909"/>
      <c r="BR33" s="909"/>
      <c r="BS33" s="909"/>
      <c r="BT33" s="909"/>
      <c r="BU33" s="909"/>
      <c r="BV33" s="909"/>
      <c r="BW33" s="909"/>
      <c r="BX33" s="909"/>
      <c r="BY33" s="909"/>
      <c r="BZ33" s="909"/>
      <c r="CA33" s="909"/>
      <c r="CB33" s="909"/>
      <c r="CC33" s="909"/>
      <c r="CD33" s="909"/>
      <c r="CE33" s="909"/>
      <c r="CF33" s="909"/>
      <c r="CG33" s="909"/>
      <c r="CH33" s="909"/>
      <c r="CI33" s="909"/>
      <c r="CJ33" s="909"/>
      <c r="CK33" s="910"/>
      <c r="CL33" s="916"/>
      <c r="CM33" s="917"/>
      <c r="CN33" s="917"/>
      <c r="CO33" s="917"/>
      <c r="CP33" s="917"/>
      <c r="CQ33" s="917"/>
      <c r="CR33" s="918"/>
      <c r="CS33" s="916"/>
      <c r="CT33" s="917"/>
      <c r="CU33" s="917"/>
      <c r="CV33" s="917"/>
      <c r="CW33" s="917"/>
      <c r="CX33" s="917"/>
      <c r="CY33" s="918"/>
      <c r="CZ33" s="916"/>
      <c r="DA33" s="917"/>
      <c r="DB33" s="917"/>
      <c r="DC33" s="917"/>
      <c r="DD33" s="917"/>
      <c r="DE33" s="917"/>
      <c r="DF33" s="917"/>
      <c r="DG33" s="917"/>
      <c r="DH33" s="917"/>
      <c r="DI33" s="917"/>
      <c r="DJ33" s="917"/>
      <c r="DK33" s="918"/>
      <c r="DL33" s="916"/>
      <c r="DM33" s="917"/>
      <c r="DN33" s="917"/>
      <c r="DO33" s="917"/>
      <c r="DP33" s="917"/>
      <c r="DQ33" s="917"/>
      <c r="DR33" s="917"/>
      <c r="DS33" s="917"/>
      <c r="DT33" s="917"/>
      <c r="DU33" s="917"/>
      <c r="DV33" s="918"/>
      <c r="DW33" s="922" t="s">
        <v>818</v>
      </c>
      <c r="DX33" s="923"/>
      <c r="DY33" s="923"/>
      <c r="DZ33" s="923"/>
      <c r="EA33" s="923"/>
      <c r="EB33" s="924" t="s">
        <v>796</v>
      </c>
      <c r="EC33" s="924"/>
      <c r="ED33" s="924"/>
      <c r="EE33" s="875" t="s">
        <v>994</v>
      </c>
      <c r="EF33" s="1004"/>
      <c r="EG33" s="922" t="s">
        <v>818</v>
      </c>
      <c r="EH33" s="923"/>
      <c r="EI33" s="923"/>
      <c r="EJ33" s="923"/>
      <c r="EK33" s="923"/>
      <c r="EL33" s="924" t="s">
        <v>799</v>
      </c>
      <c r="EM33" s="924"/>
      <c r="EN33" s="924"/>
      <c r="EO33" s="875" t="s">
        <v>994</v>
      </c>
      <c r="EP33" s="1004"/>
      <c r="EQ33" s="922" t="s">
        <v>818</v>
      </c>
      <c r="ER33" s="923"/>
      <c r="ES33" s="923"/>
      <c r="ET33" s="923"/>
      <c r="EU33" s="923"/>
      <c r="EV33" s="924" t="s">
        <v>801</v>
      </c>
      <c r="EW33" s="924"/>
      <c r="EX33" s="924"/>
      <c r="EY33" s="875" t="s">
        <v>994</v>
      </c>
      <c r="EZ33" s="1004"/>
      <c r="FA33" s="913" t="s">
        <v>384</v>
      </c>
      <c r="FB33" s="914"/>
      <c r="FC33" s="914"/>
      <c r="FD33" s="914"/>
      <c r="FE33" s="914"/>
      <c r="FF33" s="914"/>
      <c r="FG33" s="914"/>
      <c r="FH33" s="914"/>
      <c r="FI33" s="914"/>
      <c r="FJ33" s="914"/>
      <c r="FK33" s="914"/>
    </row>
    <row r="34" spans="1:168" ht="36.75" customHeight="1" x14ac:dyDescent="0.2">
      <c r="A34" s="1003"/>
      <c r="B34" s="1003"/>
      <c r="C34" s="1003"/>
      <c r="D34" s="1003"/>
      <c r="E34" s="1003"/>
      <c r="F34" s="1003"/>
      <c r="G34" s="1003"/>
      <c r="H34" s="911"/>
      <c r="I34" s="911"/>
      <c r="J34" s="911"/>
      <c r="K34" s="911"/>
      <c r="L34" s="911"/>
      <c r="M34" s="911"/>
      <c r="N34" s="911"/>
      <c r="O34" s="911"/>
      <c r="P34" s="911"/>
      <c r="Q34" s="911"/>
      <c r="R34" s="911"/>
      <c r="S34" s="911"/>
      <c r="T34" s="911"/>
      <c r="U34" s="911"/>
      <c r="V34" s="911"/>
      <c r="W34" s="911"/>
      <c r="X34" s="911"/>
      <c r="Y34" s="911"/>
      <c r="Z34" s="911"/>
      <c r="AA34" s="911"/>
      <c r="AB34" s="911"/>
      <c r="AC34" s="911"/>
      <c r="AD34" s="911"/>
      <c r="AE34" s="911"/>
      <c r="AF34" s="911"/>
      <c r="AG34" s="911"/>
      <c r="AH34" s="911"/>
      <c r="AI34" s="911"/>
      <c r="AJ34" s="911"/>
      <c r="AK34" s="911"/>
      <c r="AL34" s="911"/>
      <c r="AM34" s="911"/>
      <c r="AN34" s="911"/>
      <c r="AO34" s="911"/>
      <c r="AP34" s="911"/>
      <c r="AQ34" s="911"/>
      <c r="AR34" s="911"/>
      <c r="AS34" s="911"/>
      <c r="AT34" s="911"/>
      <c r="AU34" s="911"/>
      <c r="AV34" s="911"/>
      <c r="AW34" s="911"/>
      <c r="AX34" s="911"/>
      <c r="AY34" s="911"/>
      <c r="AZ34" s="911"/>
      <c r="BA34" s="911"/>
      <c r="BB34" s="911"/>
      <c r="BC34" s="911"/>
      <c r="BD34" s="911"/>
      <c r="BE34" s="911"/>
      <c r="BF34" s="911"/>
      <c r="BG34" s="911"/>
      <c r="BH34" s="911"/>
      <c r="BI34" s="911"/>
      <c r="BJ34" s="911"/>
      <c r="BK34" s="911"/>
      <c r="BL34" s="911"/>
      <c r="BM34" s="911"/>
      <c r="BN34" s="911"/>
      <c r="BO34" s="911"/>
      <c r="BP34" s="911"/>
      <c r="BQ34" s="911"/>
      <c r="BR34" s="911"/>
      <c r="BS34" s="911"/>
      <c r="BT34" s="911"/>
      <c r="BU34" s="911"/>
      <c r="BV34" s="911"/>
      <c r="BW34" s="911"/>
      <c r="BX34" s="911"/>
      <c r="BY34" s="911"/>
      <c r="BZ34" s="911"/>
      <c r="CA34" s="911"/>
      <c r="CB34" s="911"/>
      <c r="CC34" s="911"/>
      <c r="CD34" s="911"/>
      <c r="CE34" s="911"/>
      <c r="CF34" s="911"/>
      <c r="CG34" s="911"/>
      <c r="CH34" s="911"/>
      <c r="CI34" s="911"/>
      <c r="CJ34" s="911"/>
      <c r="CK34" s="912"/>
      <c r="CL34" s="919"/>
      <c r="CM34" s="920"/>
      <c r="CN34" s="920"/>
      <c r="CO34" s="920"/>
      <c r="CP34" s="920"/>
      <c r="CQ34" s="920"/>
      <c r="CR34" s="921"/>
      <c r="CS34" s="919"/>
      <c r="CT34" s="920"/>
      <c r="CU34" s="920"/>
      <c r="CV34" s="920"/>
      <c r="CW34" s="920"/>
      <c r="CX34" s="920"/>
      <c r="CY34" s="921"/>
      <c r="CZ34" s="919"/>
      <c r="DA34" s="920"/>
      <c r="DB34" s="920"/>
      <c r="DC34" s="920"/>
      <c r="DD34" s="920"/>
      <c r="DE34" s="920"/>
      <c r="DF34" s="920"/>
      <c r="DG34" s="920"/>
      <c r="DH34" s="920"/>
      <c r="DI34" s="920"/>
      <c r="DJ34" s="920"/>
      <c r="DK34" s="921"/>
      <c r="DL34" s="919"/>
      <c r="DM34" s="920"/>
      <c r="DN34" s="920"/>
      <c r="DO34" s="920"/>
      <c r="DP34" s="920"/>
      <c r="DQ34" s="920"/>
      <c r="DR34" s="920"/>
      <c r="DS34" s="920"/>
      <c r="DT34" s="920"/>
      <c r="DU34" s="920"/>
      <c r="DV34" s="921"/>
      <c r="DW34" s="927" t="s">
        <v>995</v>
      </c>
      <c r="DX34" s="928"/>
      <c r="DY34" s="928"/>
      <c r="DZ34" s="928"/>
      <c r="EA34" s="928"/>
      <c r="EB34" s="928"/>
      <c r="EC34" s="928"/>
      <c r="ED34" s="928"/>
      <c r="EE34" s="928"/>
      <c r="EF34" s="929"/>
      <c r="EG34" s="927" t="s">
        <v>996</v>
      </c>
      <c r="EH34" s="928"/>
      <c r="EI34" s="928"/>
      <c r="EJ34" s="928"/>
      <c r="EK34" s="928"/>
      <c r="EL34" s="928"/>
      <c r="EM34" s="928"/>
      <c r="EN34" s="928"/>
      <c r="EO34" s="928"/>
      <c r="EP34" s="929"/>
      <c r="EQ34" s="927" t="s">
        <v>997</v>
      </c>
      <c r="ER34" s="928"/>
      <c r="ES34" s="928"/>
      <c r="ET34" s="928"/>
      <c r="EU34" s="928"/>
      <c r="EV34" s="928"/>
      <c r="EW34" s="928"/>
      <c r="EX34" s="928"/>
      <c r="EY34" s="928"/>
      <c r="EZ34" s="929"/>
      <c r="FA34" s="919"/>
      <c r="FB34" s="920"/>
      <c r="FC34" s="920"/>
      <c r="FD34" s="920"/>
      <c r="FE34" s="920"/>
      <c r="FF34" s="920"/>
      <c r="FG34" s="920"/>
      <c r="FH34" s="920"/>
      <c r="FI34" s="920"/>
      <c r="FJ34" s="920"/>
      <c r="FK34" s="920"/>
    </row>
    <row r="35" spans="1:168" ht="15" customHeight="1" thickBot="1" x14ac:dyDescent="0.25">
      <c r="A35" s="1002" t="s">
        <v>822</v>
      </c>
      <c r="B35" s="1002"/>
      <c r="C35" s="1002"/>
      <c r="D35" s="1002"/>
      <c r="E35" s="1002"/>
      <c r="F35" s="1002"/>
      <c r="G35" s="1002"/>
      <c r="H35" s="900" t="s">
        <v>823</v>
      </c>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0"/>
      <c r="AY35" s="900"/>
      <c r="AZ35" s="900"/>
      <c r="BA35" s="900"/>
      <c r="BB35" s="900"/>
      <c r="BC35" s="900"/>
      <c r="BD35" s="900"/>
      <c r="BE35" s="900"/>
      <c r="BF35" s="900"/>
      <c r="BG35" s="900"/>
      <c r="BH35" s="900"/>
      <c r="BI35" s="900"/>
      <c r="BJ35" s="900"/>
      <c r="BK35" s="900"/>
      <c r="BL35" s="900"/>
      <c r="BM35" s="900"/>
      <c r="BN35" s="900"/>
      <c r="BO35" s="900"/>
      <c r="BP35" s="900"/>
      <c r="BQ35" s="900"/>
      <c r="BR35" s="900"/>
      <c r="BS35" s="900"/>
      <c r="BT35" s="900"/>
      <c r="BU35" s="900"/>
      <c r="BV35" s="900"/>
      <c r="BW35" s="900"/>
      <c r="BX35" s="900"/>
      <c r="BY35" s="900"/>
      <c r="BZ35" s="900"/>
      <c r="CA35" s="900"/>
      <c r="CB35" s="900"/>
      <c r="CC35" s="900"/>
      <c r="CD35" s="900"/>
      <c r="CE35" s="900"/>
      <c r="CF35" s="900"/>
      <c r="CG35" s="900"/>
      <c r="CH35" s="900"/>
      <c r="CI35" s="900"/>
      <c r="CJ35" s="900"/>
      <c r="CK35" s="901"/>
      <c r="CL35" s="887" t="s">
        <v>824</v>
      </c>
      <c r="CM35" s="888"/>
      <c r="CN35" s="888"/>
      <c r="CO35" s="888"/>
      <c r="CP35" s="888"/>
      <c r="CQ35" s="888"/>
      <c r="CR35" s="889"/>
      <c r="CS35" s="887" t="s">
        <v>825</v>
      </c>
      <c r="CT35" s="888"/>
      <c r="CU35" s="888"/>
      <c r="CV35" s="888"/>
      <c r="CW35" s="888"/>
      <c r="CX35" s="888"/>
      <c r="CY35" s="889"/>
      <c r="CZ35" s="887" t="s">
        <v>998</v>
      </c>
      <c r="DA35" s="888"/>
      <c r="DB35" s="888"/>
      <c r="DC35" s="888"/>
      <c r="DD35" s="888"/>
      <c r="DE35" s="888"/>
      <c r="DF35" s="888"/>
      <c r="DG35" s="888"/>
      <c r="DH35" s="888"/>
      <c r="DI35" s="888"/>
      <c r="DJ35" s="888"/>
      <c r="DK35" s="889"/>
      <c r="DL35" s="887" t="s">
        <v>999</v>
      </c>
      <c r="DM35" s="888"/>
      <c r="DN35" s="888"/>
      <c r="DO35" s="888"/>
      <c r="DP35" s="888"/>
      <c r="DQ35" s="888"/>
      <c r="DR35" s="888"/>
      <c r="DS35" s="888"/>
      <c r="DT35" s="888"/>
      <c r="DU35" s="888"/>
      <c r="DV35" s="889"/>
      <c r="DW35" s="887" t="s">
        <v>826</v>
      </c>
      <c r="DX35" s="888"/>
      <c r="DY35" s="888"/>
      <c r="DZ35" s="888"/>
      <c r="EA35" s="888"/>
      <c r="EB35" s="888"/>
      <c r="EC35" s="888"/>
      <c r="ED35" s="888"/>
      <c r="EE35" s="888"/>
      <c r="EF35" s="889"/>
      <c r="EG35" s="887" t="s">
        <v>827</v>
      </c>
      <c r="EH35" s="888"/>
      <c r="EI35" s="888"/>
      <c r="EJ35" s="888"/>
      <c r="EK35" s="888"/>
      <c r="EL35" s="888"/>
      <c r="EM35" s="888"/>
      <c r="EN35" s="888"/>
      <c r="EO35" s="888"/>
      <c r="EP35" s="889"/>
      <c r="EQ35" s="887" t="s">
        <v>828</v>
      </c>
      <c r="ER35" s="888"/>
      <c r="ES35" s="888"/>
      <c r="ET35" s="888"/>
      <c r="EU35" s="888"/>
      <c r="EV35" s="888"/>
      <c r="EW35" s="888"/>
      <c r="EX35" s="888"/>
      <c r="EY35" s="888"/>
      <c r="EZ35" s="889"/>
      <c r="FA35" s="887" t="s">
        <v>829</v>
      </c>
      <c r="FB35" s="888"/>
      <c r="FC35" s="888"/>
      <c r="FD35" s="888"/>
      <c r="FE35" s="888"/>
      <c r="FF35" s="888"/>
      <c r="FG35" s="888"/>
      <c r="FH35" s="888"/>
      <c r="FI35" s="888"/>
      <c r="FJ35" s="888"/>
      <c r="FK35" s="888"/>
    </row>
    <row r="36" spans="1:168" ht="15" customHeight="1" x14ac:dyDescent="0.2">
      <c r="A36" s="975" t="s">
        <v>1036</v>
      </c>
      <c r="B36" s="975"/>
      <c r="C36" s="975"/>
      <c r="D36" s="975"/>
      <c r="E36" s="975"/>
      <c r="F36" s="975"/>
      <c r="G36" s="975"/>
      <c r="H36" s="993" t="s">
        <v>410</v>
      </c>
      <c r="I36" s="771"/>
      <c r="J36" s="771"/>
      <c r="K36" s="771"/>
      <c r="L36" s="771"/>
      <c r="M36" s="771"/>
      <c r="N36" s="771"/>
      <c r="O36" s="771"/>
      <c r="P36" s="771"/>
      <c r="Q36" s="771"/>
      <c r="R36" s="771"/>
      <c r="S36" s="771"/>
      <c r="T36" s="771"/>
      <c r="U36" s="771"/>
      <c r="V36" s="771"/>
      <c r="W36" s="771"/>
      <c r="X36" s="771"/>
      <c r="Y36" s="771"/>
      <c r="Z36" s="771"/>
      <c r="AA36" s="771"/>
      <c r="AB36" s="771"/>
      <c r="AC36" s="771"/>
      <c r="AD36" s="771"/>
      <c r="AE36" s="771"/>
      <c r="AF36" s="771"/>
      <c r="AG36" s="771"/>
      <c r="AH36" s="771"/>
      <c r="AI36" s="771"/>
      <c r="AJ36" s="771"/>
      <c r="AK36" s="771"/>
      <c r="AL36" s="771"/>
      <c r="AM36" s="771"/>
      <c r="AN36" s="771"/>
      <c r="AO36" s="771"/>
      <c r="AP36" s="771"/>
      <c r="AQ36" s="771"/>
      <c r="AR36" s="771"/>
      <c r="AS36" s="771"/>
      <c r="AT36" s="771"/>
      <c r="AU36" s="771"/>
      <c r="AV36" s="771"/>
      <c r="AW36" s="771"/>
      <c r="AX36" s="771"/>
      <c r="AY36" s="771"/>
      <c r="AZ36" s="771"/>
      <c r="BA36" s="771"/>
      <c r="BB36" s="771"/>
      <c r="BC36" s="771"/>
      <c r="BD36" s="771"/>
      <c r="BE36" s="771"/>
      <c r="BF36" s="771"/>
      <c r="BG36" s="771"/>
      <c r="BH36" s="771"/>
      <c r="BI36" s="771"/>
      <c r="BJ36" s="771"/>
      <c r="BK36" s="771"/>
      <c r="BL36" s="771"/>
      <c r="BM36" s="771"/>
      <c r="BN36" s="771"/>
      <c r="BO36" s="771"/>
      <c r="BP36" s="771"/>
      <c r="BQ36" s="771"/>
      <c r="BR36" s="771"/>
      <c r="BS36" s="771"/>
      <c r="BT36" s="771"/>
      <c r="BU36" s="771"/>
      <c r="BV36" s="771"/>
      <c r="BW36" s="771"/>
      <c r="BX36" s="771"/>
      <c r="BY36" s="771"/>
      <c r="BZ36" s="771"/>
      <c r="CA36" s="771"/>
      <c r="CB36" s="771"/>
      <c r="CC36" s="771"/>
      <c r="CD36" s="771"/>
      <c r="CE36" s="771"/>
      <c r="CF36" s="771"/>
      <c r="CG36" s="771"/>
      <c r="CH36" s="771"/>
      <c r="CI36" s="771"/>
      <c r="CJ36" s="771"/>
      <c r="CK36" s="771"/>
      <c r="CL36" s="935" t="s">
        <v>1037</v>
      </c>
      <c r="CM36" s="936"/>
      <c r="CN36" s="936"/>
      <c r="CO36" s="936"/>
      <c r="CP36" s="936"/>
      <c r="CQ36" s="936"/>
      <c r="CR36" s="994"/>
      <c r="CS36" s="995" t="s">
        <v>74</v>
      </c>
      <c r="CT36" s="936"/>
      <c r="CU36" s="936"/>
      <c r="CV36" s="936"/>
      <c r="CW36" s="936"/>
      <c r="CX36" s="936"/>
      <c r="CY36" s="994"/>
      <c r="CZ36" s="995"/>
      <c r="DA36" s="936"/>
      <c r="DB36" s="936"/>
      <c r="DC36" s="936"/>
      <c r="DD36" s="936"/>
      <c r="DE36" s="936"/>
      <c r="DF36" s="936"/>
      <c r="DG36" s="936"/>
      <c r="DH36" s="936"/>
      <c r="DI36" s="936"/>
      <c r="DJ36" s="936"/>
      <c r="DK36" s="994"/>
      <c r="DL36" s="995"/>
      <c r="DM36" s="936"/>
      <c r="DN36" s="936"/>
      <c r="DO36" s="936"/>
      <c r="DP36" s="936"/>
      <c r="DQ36" s="936"/>
      <c r="DR36" s="936"/>
      <c r="DS36" s="936"/>
      <c r="DT36" s="936"/>
      <c r="DU36" s="936"/>
      <c r="DV36" s="994"/>
      <c r="DW36" s="996"/>
      <c r="DX36" s="997"/>
      <c r="DY36" s="997"/>
      <c r="DZ36" s="997"/>
      <c r="EA36" s="997"/>
      <c r="EB36" s="997"/>
      <c r="EC36" s="997"/>
      <c r="ED36" s="997"/>
      <c r="EE36" s="997"/>
      <c r="EF36" s="998"/>
      <c r="EG36" s="996"/>
      <c r="EH36" s="997"/>
      <c r="EI36" s="997"/>
      <c r="EJ36" s="997"/>
      <c r="EK36" s="997"/>
      <c r="EL36" s="997"/>
      <c r="EM36" s="997"/>
      <c r="EN36" s="997"/>
      <c r="EO36" s="997"/>
      <c r="EP36" s="998"/>
      <c r="EQ36" s="996"/>
      <c r="ER36" s="997"/>
      <c r="ES36" s="997"/>
      <c r="ET36" s="997"/>
      <c r="EU36" s="997"/>
      <c r="EV36" s="997"/>
      <c r="EW36" s="997"/>
      <c r="EX36" s="997"/>
      <c r="EY36" s="997"/>
      <c r="EZ36" s="998"/>
      <c r="FA36" s="999"/>
      <c r="FB36" s="1000"/>
      <c r="FC36" s="1000"/>
      <c r="FD36" s="1000"/>
      <c r="FE36" s="1000"/>
      <c r="FF36" s="1000"/>
      <c r="FG36" s="1000"/>
      <c r="FH36" s="1000"/>
      <c r="FI36" s="1000"/>
      <c r="FJ36" s="1000"/>
      <c r="FK36" s="1001"/>
    </row>
    <row r="37" spans="1:168" ht="33" customHeight="1" x14ac:dyDescent="0.2">
      <c r="A37" s="975" t="s">
        <v>1038</v>
      </c>
      <c r="B37" s="975"/>
      <c r="C37" s="975"/>
      <c r="D37" s="975"/>
      <c r="E37" s="975"/>
      <c r="F37" s="975"/>
      <c r="G37" s="975"/>
      <c r="H37" s="988" t="s">
        <v>1009</v>
      </c>
      <c r="I37" s="806"/>
      <c r="J37" s="806"/>
      <c r="K37" s="806"/>
      <c r="L37" s="806"/>
      <c r="M37" s="806"/>
      <c r="N37" s="806"/>
      <c r="O37" s="806"/>
      <c r="P37" s="806"/>
      <c r="Q37" s="806"/>
      <c r="R37" s="806"/>
      <c r="S37" s="806"/>
      <c r="T37" s="806"/>
      <c r="U37" s="806"/>
      <c r="V37" s="806"/>
      <c r="W37" s="806"/>
      <c r="X37" s="806"/>
      <c r="Y37" s="806"/>
      <c r="Z37" s="806"/>
      <c r="AA37" s="806"/>
      <c r="AB37" s="806"/>
      <c r="AC37" s="806"/>
      <c r="AD37" s="806"/>
      <c r="AE37" s="806"/>
      <c r="AF37" s="806"/>
      <c r="AG37" s="806"/>
      <c r="AH37" s="806"/>
      <c r="AI37" s="806"/>
      <c r="AJ37" s="806"/>
      <c r="AK37" s="806"/>
      <c r="AL37" s="806"/>
      <c r="AM37" s="806"/>
      <c r="AN37" s="806"/>
      <c r="AO37" s="806"/>
      <c r="AP37" s="806"/>
      <c r="AQ37" s="806"/>
      <c r="AR37" s="806"/>
      <c r="AS37" s="806"/>
      <c r="AT37" s="806"/>
      <c r="AU37" s="806"/>
      <c r="AV37" s="806"/>
      <c r="AW37" s="806"/>
      <c r="AX37" s="806"/>
      <c r="AY37" s="806"/>
      <c r="AZ37" s="806"/>
      <c r="BA37" s="806"/>
      <c r="BB37" s="806"/>
      <c r="BC37" s="806"/>
      <c r="BD37" s="806"/>
      <c r="BE37" s="806"/>
      <c r="BF37" s="806"/>
      <c r="BG37" s="806"/>
      <c r="BH37" s="806"/>
      <c r="BI37" s="806"/>
      <c r="BJ37" s="806"/>
      <c r="BK37" s="806"/>
      <c r="BL37" s="806"/>
      <c r="BM37" s="806"/>
      <c r="BN37" s="806"/>
      <c r="BO37" s="806"/>
      <c r="BP37" s="806"/>
      <c r="BQ37" s="806"/>
      <c r="BR37" s="806"/>
      <c r="BS37" s="806"/>
      <c r="BT37" s="806"/>
      <c r="BU37" s="806"/>
      <c r="BV37" s="806"/>
      <c r="BW37" s="806"/>
      <c r="BX37" s="806"/>
      <c r="BY37" s="806"/>
      <c r="BZ37" s="806"/>
      <c r="CA37" s="806"/>
      <c r="CB37" s="806"/>
      <c r="CC37" s="806"/>
      <c r="CD37" s="806"/>
      <c r="CE37" s="806"/>
      <c r="CF37" s="806"/>
      <c r="CG37" s="806"/>
      <c r="CH37" s="806"/>
      <c r="CI37" s="806"/>
      <c r="CJ37" s="806"/>
      <c r="CK37" s="806"/>
      <c r="CL37" s="782" t="s">
        <v>1039</v>
      </c>
      <c r="CM37" s="783"/>
      <c r="CN37" s="783"/>
      <c r="CO37" s="783"/>
      <c r="CP37" s="783"/>
      <c r="CQ37" s="783"/>
      <c r="CR37" s="784"/>
      <c r="CS37" s="785" t="s">
        <v>74</v>
      </c>
      <c r="CT37" s="783"/>
      <c r="CU37" s="783"/>
      <c r="CV37" s="783"/>
      <c r="CW37" s="783"/>
      <c r="CX37" s="783"/>
      <c r="CY37" s="784"/>
      <c r="CZ37" s="785"/>
      <c r="DA37" s="783"/>
      <c r="DB37" s="783"/>
      <c r="DC37" s="783"/>
      <c r="DD37" s="783"/>
      <c r="DE37" s="783"/>
      <c r="DF37" s="783"/>
      <c r="DG37" s="783"/>
      <c r="DH37" s="783"/>
      <c r="DI37" s="783"/>
      <c r="DJ37" s="783"/>
      <c r="DK37" s="784"/>
      <c r="DL37" s="785"/>
      <c r="DM37" s="783"/>
      <c r="DN37" s="783"/>
      <c r="DO37" s="783"/>
      <c r="DP37" s="783"/>
      <c r="DQ37" s="783"/>
      <c r="DR37" s="783"/>
      <c r="DS37" s="783"/>
      <c r="DT37" s="783"/>
      <c r="DU37" s="783"/>
      <c r="DV37" s="784"/>
      <c r="DW37" s="776"/>
      <c r="DX37" s="777"/>
      <c r="DY37" s="777"/>
      <c r="DZ37" s="777"/>
      <c r="EA37" s="777"/>
      <c r="EB37" s="777"/>
      <c r="EC37" s="777"/>
      <c r="ED37" s="777"/>
      <c r="EE37" s="777"/>
      <c r="EF37" s="778"/>
      <c r="EG37" s="776"/>
      <c r="EH37" s="777"/>
      <c r="EI37" s="777"/>
      <c r="EJ37" s="777"/>
      <c r="EK37" s="777"/>
      <c r="EL37" s="777"/>
      <c r="EM37" s="777"/>
      <c r="EN37" s="777"/>
      <c r="EO37" s="777"/>
      <c r="EP37" s="778"/>
      <c r="EQ37" s="776"/>
      <c r="ER37" s="777"/>
      <c r="ES37" s="777"/>
      <c r="ET37" s="777"/>
      <c r="EU37" s="777"/>
      <c r="EV37" s="777"/>
      <c r="EW37" s="777"/>
      <c r="EX37" s="777"/>
      <c r="EY37" s="777"/>
      <c r="EZ37" s="778"/>
      <c r="FA37" s="779"/>
      <c r="FB37" s="780"/>
      <c r="FC37" s="780"/>
      <c r="FD37" s="780"/>
      <c r="FE37" s="780"/>
      <c r="FF37" s="780"/>
      <c r="FG37" s="780"/>
      <c r="FH37" s="780"/>
      <c r="FI37" s="780"/>
      <c r="FJ37" s="780"/>
      <c r="FK37" s="781"/>
    </row>
    <row r="38" spans="1:168" ht="27" customHeight="1" x14ac:dyDescent="0.2">
      <c r="A38" s="975" t="s">
        <v>1040</v>
      </c>
      <c r="B38" s="975"/>
      <c r="C38" s="975"/>
      <c r="D38" s="975"/>
      <c r="E38" s="975"/>
      <c r="F38" s="975"/>
      <c r="G38" s="975"/>
      <c r="H38" s="988" t="s">
        <v>1025</v>
      </c>
      <c r="I38" s="806"/>
      <c r="J38" s="806"/>
      <c r="K38" s="806"/>
      <c r="L38" s="806"/>
      <c r="M38" s="806"/>
      <c r="N38" s="806"/>
      <c r="O38" s="806"/>
      <c r="P38" s="806"/>
      <c r="Q38" s="806"/>
      <c r="R38" s="806"/>
      <c r="S38" s="806"/>
      <c r="T38" s="806"/>
      <c r="U38" s="806"/>
      <c r="V38" s="806"/>
      <c r="W38" s="806"/>
      <c r="X38" s="806"/>
      <c r="Y38" s="806"/>
      <c r="Z38" s="806"/>
      <c r="AA38" s="806"/>
      <c r="AB38" s="806"/>
      <c r="AC38" s="806"/>
      <c r="AD38" s="806"/>
      <c r="AE38" s="806"/>
      <c r="AF38" s="806"/>
      <c r="AG38" s="806"/>
      <c r="AH38" s="806"/>
      <c r="AI38" s="806"/>
      <c r="AJ38" s="806"/>
      <c r="AK38" s="806"/>
      <c r="AL38" s="806"/>
      <c r="AM38" s="806"/>
      <c r="AN38" s="806"/>
      <c r="AO38" s="806"/>
      <c r="AP38" s="806"/>
      <c r="AQ38" s="806"/>
      <c r="AR38" s="806"/>
      <c r="AS38" s="806"/>
      <c r="AT38" s="806"/>
      <c r="AU38" s="806"/>
      <c r="AV38" s="806"/>
      <c r="AW38" s="806"/>
      <c r="AX38" s="806"/>
      <c r="AY38" s="806"/>
      <c r="AZ38" s="806"/>
      <c r="BA38" s="806"/>
      <c r="BB38" s="806"/>
      <c r="BC38" s="806"/>
      <c r="BD38" s="806"/>
      <c r="BE38" s="806"/>
      <c r="BF38" s="806"/>
      <c r="BG38" s="806"/>
      <c r="BH38" s="806"/>
      <c r="BI38" s="806"/>
      <c r="BJ38" s="806"/>
      <c r="BK38" s="806"/>
      <c r="BL38" s="806"/>
      <c r="BM38" s="806"/>
      <c r="BN38" s="806"/>
      <c r="BO38" s="806"/>
      <c r="BP38" s="806"/>
      <c r="BQ38" s="806"/>
      <c r="BR38" s="806"/>
      <c r="BS38" s="806"/>
      <c r="BT38" s="806"/>
      <c r="BU38" s="806"/>
      <c r="BV38" s="806"/>
      <c r="BW38" s="806"/>
      <c r="BX38" s="806"/>
      <c r="BY38" s="806"/>
      <c r="BZ38" s="806"/>
      <c r="CA38" s="806"/>
      <c r="CB38" s="806"/>
      <c r="CC38" s="806"/>
      <c r="CD38" s="806"/>
      <c r="CE38" s="806"/>
      <c r="CF38" s="806"/>
      <c r="CG38" s="806"/>
      <c r="CH38" s="806"/>
      <c r="CI38" s="806"/>
      <c r="CJ38" s="806"/>
      <c r="CK38" s="806"/>
      <c r="CL38" s="782" t="s">
        <v>1041</v>
      </c>
      <c r="CM38" s="783"/>
      <c r="CN38" s="783"/>
      <c r="CO38" s="783"/>
      <c r="CP38" s="783"/>
      <c r="CQ38" s="783"/>
      <c r="CR38" s="784"/>
      <c r="CS38" s="785" t="s">
        <v>74</v>
      </c>
      <c r="CT38" s="783"/>
      <c r="CU38" s="783"/>
      <c r="CV38" s="783"/>
      <c r="CW38" s="783"/>
      <c r="CX38" s="783"/>
      <c r="CY38" s="784"/>
      <c r="CZ38" s="785"/>
      <c r="DA38" s="783"/>
      <c r="DB38" s="783"/>
      <c r="DC38" s="783"/>
      <c r="DD38" s="783"/>
      <c r="DE38" s="783"/>
      <c r="DF38" s="783"/>
      <c r="DG38" s="783"/>
      <c r="DH38" s="783"/>
      <c r="DI38" s="783"/>
      <c r="DJ38" s="783"/>
      <c r="DK38" s="784"/>
      <c r="DL38" s="785"/>
      <c r="DM38" s="783"/>
      <c r="DN38" s="783"/>
      <c r="DO38" s="783"/>
      <c r="DP38" s="783"/>
      <c r="DQ38" s="783"/>
      <c r="DR38" s="783"/>
      <c r="DS38" s="783"/>
      <c r="DT38" s="783"/>
      <c r="DU38" s="783"/>
      <c r="DV38" s="784"/>
      <c r="DW38" s="776"/>
      <c r="DX38" s="777"/>
      <c r="DY38" s="777"/>
      <c r="DZ38" s="777"/>
      <c r="EA38" s="777"/>
      <c r="EB38" s="777"/>
      <c r="EC38" s="777"/>
      <c r="ED38" s="777"/>
      <c r="EE38" s="777"/>
      <c r="EF38" s="778"/>
      <c r="EG38" s="776"/>
      <c r="EH38" s="777"/>
      <c r="EI38" s="777"/>
      <c r="EJ38" s="777"/>
      <c r="EK38" s="777"/>
      <c r="EL38" s="777"/>
      <c r="EM38" s="777"/>
      <c r="EN38" s="777"/>
      <c r="EO38" s="777"/>
      <c r="EP38" s="778"/>
      <c r="EQ38" s="776"/>
      <c r="ER38" s="777"/>
      <c r="ES38" s="777"/>
      <c r="ET38" s="777"/>
      <c r="EU38" s="777"/>
      <c r="EV38" s="777"/>
      <c r="EW38" s="777"/>
      <c r="EX38" s="777"/>
      <c r="EY38" s="777"/>
      <c r="EZ38" s="778"/>
      <c r="FA38" s="779"/>
      <c r="FB38" s="780"/>
      <c r="FC38" s="780"/>
      <c r="FD38" s="780"/>
      <c r="FE38" s="780"/>
      <c r="FF38" s="780"/>
      <c r="FG38" s="780"/>
      <c r="FH38" s="780"/>
      <c r="FI38" s="780"/>
      <c r="FJ38" s="780"/>
      <c r="FK38" s="781"/>
    </row>
    <row r="39" spans="1:168" ht="27.75" customHeight="1" x14ac:dyDescent="0.2">
      <c r="A39" s="975" t="s">
        <v>1042</v>
      </c>
      <c r="B39" s="975"/>
      <c r="C39" s="975"/>
      <c r="D39" s="975"/>
      <c r="E39" s="975"/>
      <c r="F39" s="975"/>
      <c r="G39" s="975"/>
      <c r="H39" s="993" t="s">
        <v>411</v>
      </c>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1"/>
      <c r="AY39" s="771"/>
      <c r="AZ39" s="771"/>
      <c r="BA39" s="771"/>
      <c r="BB39" s="771"/>
      <c r="BC39" s="771"/>
      <c r="BD39" s="771"/>
      <c r="BE39" s="771"/>
      <c r="BF39" s="771"/>
      <c r="BG39" s="771"/>
      <c r="BH39" s="771"/>
      <c r="BI39" s="771"/>
      <c r="BJ39" s="771"/>
      <c r="BK39" s="771"/>
      <c r="BL39" s="771"/>
      <c r="BM39" s="771"/>
      <c r="BN39" s="771"/>
      <c r="BO39" s="771"/>
      <c r="BP39" s="771"/>
      <c r="BQ39" s="771"/>
      <c r="BR39" s="771"/>
      <c r="BS39" s="771"/>
      <c r="BT39" s="771"/>
      <c r="BU39" s="771"/>
      <c r="BV39" s="771"/>
      <c r="BW39" s="771"/>
      <c r="BX39" s="771"/>
      <c r="BY39" s="771"/>
      <c r="BZ39" s="771"/>
      <c r="CA39" s="771"/>
      <c r="CB39" s="771"/>
      <c r="CC39" s="771"/>
      <c r="CD39" s="771"/>
      <c r="CE39" s="771"/>
      <c r="CF39" s="771"/>
      <c r="CG39" s="771"/>
      <c r="CH39" s="771"/>
      <c r="CI39" s="771"/>
      <c r="CJ39" s="771"/>
      <c r="CK39" s="771"/>
      <c r="CL39" s="782" t="s">
        <v>1043</v>
      </c>
      <c r="CM39" s="783"/>
      <c r="CN39" s="783"/>
      <c r="CO39" s="783"/>
      <c r="CP39" s="783"/>
      <c r="CQ39" s="783"/>
      <c r="CR39" s="784"/>
      <c r="CS39" s="785" t="s">
        <v>74</v>
      </c>
      <c r="CT39" s="783"/>
      <c r="CU39" s="783"/>
      <c r="CV39" s="783"/>
      <c r="CW39" s="783"/>
      <c r="CX39" s="783"/>
      <c r="CY39" s="784"/>
      <c r="CZ39" s="785"/>
      <c r="DA39" s="783"/>
      <c r="DB39" s="783"/>
      <c r="DC39" s="783"/>
      <c r="DD39" s="783"/>
      <c r="DE39" s="783"/>
      <c r="DF39" s="783"/>
      <c r="DG39" s="783"/>
      <c r="DH39" s="783"/>
      <c r="DI39" s="783"/>
      <c r="DJ39" s="783"/>
      <c r="DK39" s="784"/>
      <c r="DL39" s="785"/>
      <c r="DM39" s="783"/>
      <c r="DN39" s="783"/>
      <c r="DO39" s="783"/>
      <c r="DP39" s="783"/>
      <c r="DQ39" s="783"/>
      <c r="DR39" s="783"/>
      <c r="DS39" s="783"/>
      <c r="DT39" s="783"/>
      <c r="DU39" s="783"/>
      <c r="DV39" s="784"/>
      <c r="DW39" s="776">
        <f>DW40</f>
        <v>113000</v>
      </c>
      <c r="DX39" s="777"/>
      <c r="DY39" s="777"/>
      <c r="DZ39" s="777"/>
      <c r="EA39" s="777"/>
      <c r="EB39" s="777"/>
      <c r="EC39" s="777"/>
      <c r="ED39" s="777"/>
      <c r="EE39" s="777"/>
      <c r="EF39" s="778"/>
      <c r="EG39" s="776">
        <f t="shared" ref="EG39" si="8">EG40</f>
        <v>113000</v>
      </c>
      <c r="EH39" s="777"/>
      <c r="EI39" s="777"/>
      <c r="EJ39" s="777"/>
      <c r="EK39" s="777"/>
      <c r="EL39" s="777"/>
      <c r="EM39" s="777"/>
      <c r="EN39" s="777"/>
      <c r="EO39" s="777"/>
      <c r="EP39" s="778"/>
      <c r="EQ39" s="776">
        <f t="shared" ref="EQ39" si="9">EQ40</f>
        <v>113000</v>
      </c>
      <c r="ER39" s="777"/>
      <c r="ES39" s="777"/>
      <c r="ET39" s="777"/>
      <c r="EU39" s="777"/>
      <c r="EV39" s="777"/>
      <c r="EW39" s="777"/>
      <c r="EX39" s="777"/>
      <c r="EY39" s="777"/>
      <c r="EZ39" s="778"/>
      <c r="FA39" s="779"/>
      <c r="FB39" s="780"/>
      <c r="FC39" s="780"/>
      <c r="FD39" s="780"/>
      <c r="FE39" s="780"/>
      <c r="FF39" s="780"/>
      <c r="FG39" s="780"/>
      <c r="FH39" s="780"/>
      <c r="FI39" s="780"/>
      <c r="FJ39" s="780"/>
      <c r="FK39" s="781"/>
    </row>
    <row r="40" spans="1:168" ht="27.75" customHeight="1" x14ac:dyDescent="0.25">
      <c r="A40" s="975" t="s">
        <v>1044</v>
      </c>
      <c r="B40" s="975"/>
      <c r="C40" s="975"/>
      <c r="D40" s="975"/>
      <c r="E40" s="975"/>
      <c r="F40" s="975"/>
      <c r="G40" s="975"/>
      <c r="H40" s="988" t="s">
        <v>1009</v>
      </c>
      <c r="I40" s="806"/>
      <c r="J40" s="806"/>
      <c r="K40" s="806"/>
      <c r="L40" s="806"/>
      <c r="M40" s="806"/>
      <c r="N40" s="806"/>
      <c r="O40" s="806"/>
      <c r="P40" s="806"/>
      <c r="Q40" s="806"/>
      <c r="R40" s="806"/>
      <c r="S40" s="806"/>
      <c r="T40" s="806"/>
      <c r="U40" s="806"/>
      <c r="V40" s="806"/>
      <c r="W40" s="806"/>
      <c r="X40" s="806"/>
      <c r="Y40" s="806"/>
      <c r="Z40" s="806"/>
      <c r="AA40" s="806"/>
      <c r="AB40" s="806"/>
      <c r="AC40" s="806"/>
      <c r="AD40" s="806"/>
      <c r="AE40" s="806"/>
      <c r="AF40" s="806"/>
      <c r="AG40" s="806"/>
      <c r="AH40" s="806"/>
      <c r="AI40" s="806"/>
      <c r="AJ40" s="806"/>
      <c r="AK40" s="806"/>
      <c r="AL40" s="806"/>
      <c r="AM40" s="806"/>
      <c r="AN40" s="806"/>
      <c r="AO40" s="806"/>
      <c r="AP40" s="806"/>
      <c r="AQ40" s="806"/>
      <c r="AR40" s="806"/>
      <c r="AS40" s="806"/>
      <c r="AT40" s="806"/>
      <c r="AU40" s="806"/>
      <c r="AV40" s="806"/>
      <c r="AW40" s="806"/>
      <c r="AX40" s="806"/>
      <c r="AY40" s="806"/>
      <c r="AZ40" s="806"/>
      <c r="BA40" s="806"/>
      <c r="BB40" s="806"/>
      <c r="BC40" s="806"/>
      <c r="BD40" s="806"/>
      <c r="BE40" s="806"/>
      <c r="BF40" s="806"/>
      <c r="BG40" s="806"/>
      <c r="BH40" s="806"/>
      <c r="BI40" s="806"/>
      <c r="BJ40" s="806"/>
      <c r="BK40" s="806"/>
      <c r="BL40" s="806"/>
      <c r="BM40" s="806"/>
      <c r="BN40" s="806"/>
      <c r="BO40" s="806"/>
      <c r="BP40" s="806"/>
      <c r="BQ40" s="806"/>
      <c r="BR40" s="806"/>
      <c r="BS40" s="806"/>
      <c r="BT40" s="806"/>
      <c r="BU40" s="806"/>
      <c r="BV40" s="806"/>
      <c r="BW40" s="806"/>
      <c r="BX40" s="806"/>
      <c r="BY40" s="806"/>
      <c r="BZ40" s="806"/>
      <c r="CA40" s="806"/>
      <c r="CB40" s="806"/>
      <c r="CC40" s="806"/>
      <c r="CD40" s="806"/>
      <c r="CE40" s="806"/>
      <c r="CF40" s="806"/>
      <c r="CG40" s="806"/>
      <c r="CH40" s="806"/>
      <c r="CI40" s="806"/>
      <c r="CJ40" s="806"/>
      <c r="CK40" s="806"/>
      <c r="CL40" s="782" t="s">
        <v>1045</v>
      </c>
      <c r="CM40" s="783"/>
      <c r="CN40" s="783"/>
      <c r="CO40" s="783"/>
      <c r="CP40" s="783"/>
      <c r="CQ40" s="783"/>
      <c r="CR40" s="784"/>
      <c r="CS40" s="785" t="s">
        <v>74</v>
      </c>
      <c r="CT40" s="783"/>
      <c r="CU40" s="783"/>
      <c r="CV40" s="783"/>
      <c r="CW40" s="783"/>
      <c r="CX40" s="783"/>
      <c r="CY40" s="784"/>
      <c r="CZ40" s="785"/>
      <c r="DA40" s="783"/>
      <c r="DB40" s="783"/>
      <c r="DC40" s="783"/>
      <c r="DD40" s="783"/>
      <c r="DE40" s="783"/>
      <c r="DF40" s="783"/>
      <c r="DG40" s="783"/>
      <c r="DH40" s="783"/>
      <c r="DI40" s="783"/>
      <c r="DJ40" s="783"/>
      <c r="DK40" s="784"/>
      <c r="DL40" s="785"/>
      <c r="DM40" s="783"/>
      <c r="DN40" s="783"/>
      <c r="DO40" s="783"/>
      <c r="DP40" s="783"/>
      <c r="DQ40" s="783"/>
      <c r="DR40" s="783"/>
      <c r="DS40" s="783"/>
      <c r="DT40" s="783"/>
      <c r="DU40" s="783"/>
      <c r="DV40" s="784"/>
      <c r="DW40" s="776">
        <v>113000</v>
      </c>
      <c r="DX40" s="777"/>
      <c r="DY40" s="777"/>
      <c r="DZ40" s="777"/>
      <c r="EA40" s="777"/>
      <c r="EB40" s="777"/>
      <c r="EC40" s="777"/>
      <c r="ED40" s="777"/>
      <c r="EE40" s="777"/>
      <c r="EF40" s="778"/>
      <c r="EG40" s="776">
        <v>113000</v>
      </c>
      <c r="EH40" s="777"/>
      <c r="EI40" s="777"/>
      <c r="EJ40" s="777"/>
      <c r="EK40" s="777"/>
      <c r="EL40" s="777"/>
      <c r="EM40" s="777"/>
      <c r="EN40" s="777"/>
      <c r="EO40" s="777"/>
      <c r="EP40" s="778"/>
      <c r="EQ40" s="776">
        <v>113000</v>
      </c>
      <c r="ER40" s="777"/>
      <c r="ES40" s="777"/>
      <c r="ET40" s="777"/>
      <c r="EU40" s="777"/>
      <c r="EV40" s="777"/>
      <c r="EW40" s="777"/>
      <c r="EX40" s="777"/>
      <c r="EY40" s="777"/>
      <c r="EZ40" s="778"/>
      <c r="FA40" s="779"/>
      <c r="FB40" s="780"/>
      <c r="FC40" s="780"/>
      <c r="FD40" s="780"/>
      <c r="FE40" s="780"/>
      <c r="FF40" s="780"/>
      <c r="FG40" s="780"/>
      <c r="FH40" s="780"/>
      <c r="FI40" s="780"/>
      <c r="FJ40" s="780"/>
      <c r="FK40" s="781"/>
      <c r="FL40" s="522" t="s">
        <v>1064</v>
      </c>
    </row>
    <row r="41" spans="1:168" ht="15" customHeight="1" x14ac:dyDescent="0.2">
      <c r="A41" s="975"/>
      <c r="B41" s="975"/>
      <c r="C41" s="975"/>
      <c r="D41" s="975"/>
      <c r="E41" s="975"/>
      <c r="F41" s="975"/>
      <c r="G41" s="975"/>
      <c r="H41" s="990" t="s">
        <v>1011</v>
      </c>
      <c r="I41" s="991"/>
      <c r="J41" s="991"/>
      <c r="K41" s="991"/>
      <c r="L41" s="991"/>
      <c r="M41" s="991"/>
      <c r="N41" s="991"/>
      <c r="O41" s="991"/>
      <c r="P41" s="991"/>
      <c r="Q41" s="991"/>
      <c r="R41" s="991"/>
      <c r="S41" s="991"/>
      <c r="T41" s="991"/>
      <c r="U41" s="991"/>
      <c r="V41" s="991"/>
      <c r="W41" s="991"/>
      <c r="X41" s="991"/>
      <c r="Y41" s="991"/>
      <c r="Z41" s="991"/>
      <c r="AA41" s="991"/>
      <c r="AB41" s="991"/>
      <c r="AC41" s="991"/>
      <c r="AD41" s="991"/>
      <c r="AE41" s="991"/>
      <c r="AF41" s="991"/>
      <c r="AG41" s="991"/>
      <c r="AH41" s="991"/>
      <c r="AI41" s="991"/>
      <c r="AJ41" s="991"/>
      <c r="AK41" s="991"/>
      <c r="AL41" s="991"/>
      <c r="AM41" s="991"/>
      <c r="AN41" s="991"/>
      <c r="AO41" s="991"/>
      <c r="AP41" s="991"/>
      <c r="AQ41" s="991"/>
      <c r="AR41" s="991"/>
      <c r="AS41" s="991"/>
      <c r="AT41" s="991"/>
      <c r="AU41" s="991"/>
      <c r="AV41" s="991"/>
      <c r="AW41" s="991"/>
      <c r="AX41" s="991"/>
      <c r="AY41" s="991"/>
      <c r="AZ41" s="991"/>
      <c r="BA41" s="991"/>
      <c r="BB41" s="991"/>
      <c r="BC41" s="991"/>
      <c r="BD41" s="991"/>
      <c r="BE41" s="991"/>
      <c r="BF41" s="991"/>
      <c r="BG41" s="991"/>
      <c r="BH41" s="991"/>
      <c r="BI41" s="991"/>
      <c r="BJ41" s="991"/>
      <c r="BK41" s="991"/>
      <c r="BL41" s="991"/>
      <c r="BM41" s="991"/>
      <c r="BN41" s="991"/>
      <c r="BO41" s="991"/>
      <c r="BP41" s="991"/>
      <c r="BQ41" s="991"/>
      <c r="BR41" s="991"/>
      <c r="BS41" s="991"/>
      <c r="BT41" s="991"/>
      <c r="BU41" s="991"/>
      <c r="BV41" s="991"/>
      <c r="BW41" s="991"/>
      <c r="BX41" s="991"/>
      <c r="BY41" s="991"/>
      <c r="BZ41" s="991"/>
      <c r="CA41" s="991"/>
      <c r="CB41" s="991"/>
      <c r="CC41" s="991"/>
      <c r="CD41" s="991"/>
      <c r="CE41" s="991"/>
      <c r="CF41" s="991"/>
      <c r="CG41" s="991"/>
      <c r="CH41" s="991"/>
      <c r="CI41" s="991"/>
      <c r="CJ41" s="991"/>
      <c r="CK41" s="992"/>
      <c r="CL41" s="867" t="s">
        <v>600</v>
      </c>
      <c r="CM41" s="868"/>
      <c r="CN41" s="868"/>
      <c r="CO41" s="868"/>
      <c r="CP41" s="868"/>
      <c r="CQ41" s="868"/>
      <c r="CR41" s="869"/>
      <c r="CS41" s="870"/>
      <c r="CT41" s="868"/>
      <c r="CU41" s="868"/>
      <c r="CV41" s="868"/>
      <c r="CW41" s="868"/>
      <c r="CX41" s="868"/>
      <c r="CY41" s="869"/>
      <c r="CZ41" s="870"/>
      <c r="DA41" s="868"/>
      <c r="DB41" s="868"/>
      <c r="DC41" s="868"/>
      <c r="DD41" s="868"/>
      <c r="DE41" s="868"/>
      <c r="DF41" s="868"/>
      <c r="DG41" s="868"/>
      <c r="DH41" s="868"/>
      <c r="DI41" s="868"/>
      <c r="DJ41" s="868"/>
      <c r="DK41" s="869"/>
      <c r="DL41" s="870"/>
      <c r="DM41" s="868"/>
      <c r="DN41" s="868"/>
      <c r="DO41" s="868"/>
      <c r="DP41" s="868"/>
      <c r="DQ41" s="868"/>
      <c r="DR41" s="868"/>
      <c r="DS41" s="868"/>
      <c r="DT41" s="868"/>
      <c r="DU41" s="868"/>
      <c r="DV41" s="869"/>
      <c r="DW41" s="871"/>
      <c r="DX41" s="872"/>
      <c r="DY41" s="872"/>
      <c r="DZ41" s="872"/>
      <c r="EA41" s="872"/>
      <c r="EB41" s="872"/>
      <c r="EC41" s="872"/>
      <c r="ED41" s="872"/>
      <c r="EE41" s="872"/>
      <c r="EF41" s="873"/>
      <c r="EG41" s="871"/>
      <c r="EH41" s="872"/>
      <c r="EI41" s="872"/>
      <c r="EJ41" s="872"/>
      <c r="EK41" s="872"/>
      <c r="EL41" s="872"/>
      <c r="EM41" s="872"/>
      <c r="EN41" s="872"/>
      <c r="EO41" s="872"/>
      <c r="EP41" s="873"/>
      <c r="EQ41" s="871"/>
      <c r="ER41" s="872"/>
      <c r="ES41" s="872"/>
      <c r="ET41" s="872"/>
      <c r="EU41" s="872"/>
      <c r="EV41" s="872"/>
      <c r="EW41" s="872"/>
      <c r="EX41" s="872"/>
      <c r="EY41" s="872"/>
      <c r="EZ41" s="873"/>
      <c r="FA41" s="874"/>
      <c r="FB41" s="875"/>
      <c r="FC41" s="875"/>
      <c r="FD41" s="875"/>
      <c r="FE41" s="875"/>
      <c r="FF41" s="875"/>
      <c r="FG41" s="875"/>
      <c r="FH41" s="875"/>
      <c r="FI41" s="875"/>
      <c r="FJ41" s="875"/>
      <c r="FK41" s="876"/>
    </row>
    <row r="42" spans="1:168" ht="15" customHeight="1" x14ac:dyDescent="0.2">
      <c r="A42" s="975"/>
      <c r="B42" s="975"/>
      <c r="C42" s="975"/>
      <c r="D42" s="975"/>
      <c r="E42" s="975"/>
      <c r="F42" s="975"/>
      <c r="G42" s="975"/>
      <c r="H42" s="989"/>
      <c r="I42" s="813"/>
      <c r="J42" s="813"/>
      <c r="K42" s="813"/>
      <c r="L42" s="813"/>
      <c r="M42" s="813"/>
      <c r="N42" s="813"/>
      <c r="O42" s="813"/>
      <c r="P42" s="813"/>
      <c r="Q42" s="813"/>
      <c r="R42" s="813"/>
      <c r="S42" s="813"/>
      <c r="T42" s="813"/>
      <c r="U42" s="813"/>
      <c r="V42" s="813"/>
      <c r="W42" s="813"/>
      <c r="X42" s="813"/>
      <c r="Y42" s="813"/>
      <c r="Z42" s="813"/>
      <c r="AA42" s="813"/>
      <c r="AB42" s="813"/>
      <c r="AC42" s="813"/>
      <c r="AD42" s="813"/>
      <c r="AE42" s="813"/>
      <c r="AF42" s="813"/>
      <c r="AG42" s="813"/>
      <c r="AH42" s="813"/>
      <c r="AI42" s="813"/>
      <c r="AJ42" s="813"/>
      <c r="AK42" s="813"/>
      <c r="AL42" s="813"/>
      <c r="AM42" s="813"/>
      <c r="AN42" s="813"/>
      <c r="AO42" s="813"/>
      <c r="AP42" s="813"/>
      <c r="AQ42" s="813"/>
      <c r="AR42" s="813"/>
      <c r="AS42" s="813"/>
      <c r="AT42" s="813"/>
      <c r="AU42" s="813"/>
      <c r="AV42" s="813"/>
      <c r="AW42" s="813"/>
      <c r="AX42" s="813"/>
      <c r="AY42" s="813"/>
      <c r="AZ42" s="813"/>
      <c r="BA42" s="813"/>
      <c r="BB42" s="813"/>
      <c r="BC42" s="813"/>
      <c r="BD42" s="813"/>
      <c r="BE42" s="813"/>
      <c r="BF42" s="813"/>
      <c r="BG42" s="813"/>
      <c r="BH42" s="813"/>
      <c r="BI42" s="813"/>
      <c r="BJ42" s="813"/>
      <c r="BK42" s="813"/>
      <c r="BL42" s="813"/>
      <c r="BM42" s="813"/>
      <c r="BN42" s="813"/>
      <c r="BO42" s="813"/>
      <c r="BP42" s="813"/>
      <c r="BQ42" s="813"/>
      <c r="BR42" s="813"/>
      <c r="BS42" s="813"/>
      <c r="BT42" s="813"/>
      <c r="BU42" s="813"/>
      <c r="BV42" s="813"/>
      <c r="BW42" s="813"/>
      <c r="BX42" s="813"/>
      <c r="BY42" s="813"/>
      <c r="BZ42" s="813"/>
      <c r="CA42" s="813"/>
      <c r="CB42" s="813"/>
      <c r="CC42" s="813"/>
      <c r="CD42" s="813"/>
      <c r="CE42" s="813"/>
      <c r="CF42" s="813"/>
      <c r="CG42" s="813"/>
      <c r="CH42" s="813"/>
      <c r="CI42" s="813"/>
      <c r="CJ42" s="813"/>
      <c r="CK42" s="813"/>
      <c r="CL42" s="816"/>
      <c r="CM42" s="817"/>
      <c r="CN42" s="817"/>
      <c r="CO42" s="817"/>
      <c r="CP42" s="817"/>
      <c r="CQ42" s="817"/>
      <c r="CR42" s="818"/>
      <c r="CS42" s="819"/>
      <c r="CT42" s="817"/>
      <c r="CU42" s="817"/>
      <c r="CV42" s="817"/>
      <c r="CW42" s="817"/>
      <c r="CX42" s="817"/>
      <c r="CY42" s="818"/>
      <c r="CZ42" s="819"/>
      <c r="DA42" s="817"/>
      <c r="DB42" s="817"/>
      <c r="DC42" s="817"/>
      <c r="DD42" s="817"/>
      <c r="DE42" s="817"/>
      <c r="DF42" s="817"/>
      <c r="DG42" s="817"/>
      <c r="DH42" s="817"/>
      <c r="DI42" s="817"/>
      <c r="DJ42" s="817"/>
      <c r="DK42" s="818"/>
      <c r="DL42" s="819"/>
      <c r="DM42" s="817"/>
      <c r="DN42" s="817"/>
      <c r="DO42" s="817"/>
      <c r="DP42" s="817"/>
      <c r="DQ42" s="817"/>
      <c r="DR42" s="817"/>
      <c r="DS42" s="817"/>
      <c r="DT42" s="817"/>
      <c r="DU42" s="817"/>
      <c r="DV42" s="818"/>
      <c r="DW42" s="807"/>
      <c r="DX42" s="808"/>
      <c r="DY42" s="808"/>
      <c r="DZ42" s="808"/>
      <c r="EA42" s="808"/>
      <c r="EB42" s="808"/>
      <c r="EC42" s="808"/>
      <c r="ED42" s="808"/>
      <c r="EE42" s="808"/>
      <c r="EF42" s="809"/>
      <c r="EG42" s="807"/>
      <c r="EH42" s="808"/>
      <c r="EI42" s="808"/>
      <c r="EJ42" s="808"/>
      <c r="EK42" s="808"/>
      <c r="EL42" s="808"/>
      <c r="EM42" s="808"/>
      <c r="EN42" s="808"/>
      <c r="EO42" s="808"/>
      <c r="EP42" s="809"/>
      <c r="EQ42" s="807"/>
      <c r="ER42" s="808"/>
      <c r="ES42" s="808"/>
      <c r="ET42" s="808"/>
      <c r="EU42" s="808"/>
      <c r="EV42" s="808"/>
      <c r="EW42" s="808"/>
      <c r="EX42" s="808"/>
      <c r="EY42" s="808"/>
      <c r="EZ42" s="809"/>
      <c r="FA42" s="810"/>
      <c r="FB42" s="811"/>
      <c r="FC42" s="811"/>
      <c r="FD42" s="811"/>
      <c r="FE42" s="811"/>
      <c r="FF42" s="811"/>
      <c r="FG42" s="811"/>
      <c r="FH42" s="811"/>
      <c r="FI42" s="811"/>
      <c r="FJ42" s="811"/>
      <c r="FK42" s="812"/>
    </row>
    <row r="43" spans="1:168" ht="15" customHeight="1" x14ac:dyDescent="0.2">
      <c r="A43" s="975"/>
      <c r="B43" s="975"/>
      <c r="C43" s="975"/>
      <c r="D43" s="975"/>
      <c r="E43" s="975"/>
      <c r="F43" s="975"/>
      <c r="G43" s="975"/>
      <c r="H43" s="990" t="s">
        <v>1012</v>
      </c>
      <c r="I43" s="991"/>
      <c r="J43" s="991"/>
      <c r="K43" s="991"/>
      <c r="L43" s="991"/>
      <c r="M43" s="991"/>
      <c r="N43" s="991"/>
      <c r="O43" s="991"/>
      <c r="P43" s="991"/>
      <c r="Q43" s="991"/>
      <c r="R43" s="991"/>
      <c r="S43" s="991"/>
      <c r="T43" s="991"/>
      <c r="U43" s="991"/>
      <c r="V43" s="991"/>
      <c r="W43" s="991"/>
      <c r="X43" s="991"/>
      <c r="Y43" s="991"/>
      <c r="Z43" s="991"/>
      <c r="AA43" s="991"/>
      <c r="AB43" s="991"/>
      <c r="AC43" s="991"/>
      <c r="AD43" s="991"/>
      <c r="AE43" s="991"/>
      <c r="AF43" s="991"/>
      <c r="AG43" s="991"/>
      <c r="AH43" s="991"/>
      <c r="AI43" s="991"/>
      <c r="AJ43" s="991"/>
      <c r="AK43" s="991"/>
      <c r="AL43" s="991"/>
      <c r="AM43" s="991"/>
      <c r="AN43" s="991"/>
      <c r="AO43" s="991"/>
      <c r="AP43" s="991"/>
      <c r="AQ43" s="991"/>
      <c r="AR43" s="991"/>
      <c r="AS43" s="991"/>
      <c r="AT43" s="991"/>
      <c r="AU43" s="991"/>
      <c r="AV43" s="991"/>
      <c r="AW43" s="991"/>
      <c r="AX43" s="991"/>
      <c r="AY43" s="991"/>
      <c r="AZ43" s="991"/>
      <c r="BA43" s="991"/>
      <c r="BB43" s="991"/>
      <c r="BC43" s="991"/>
      <c r="BD43" s="991"/>
      <c r="BE43" s="991"/>
      <c r="BF43" s="991"/>
      <c r="BG43" s="991"/>
      <c r="BH43" s="991"/>
      <c r="BI43" s="991"/>
      <c r="BJ43" s="991"/>
      <c r="BK43" s="991"/>
      <c r="BL43" s="991"/>
      <c r="BM43" s="991"/>
      <c r="BN43" s="991"/>
      <c r="BO43" s="991"/>
      <c r="BP43" s="991"/>
      <c r="BQ43" s="991"/>
      <c r="BR43" s="991"/>
      <c r="BS43" s="991"/>
      <c r="BT43" s="991"/>
      <c r="BU43" s="991"/>
      <c r="BV43" s="991"/>
      <c r="BW43" s="991"/>
      <c r="BX43" s="991"/>
      <c r="BY43" s="991"/>
      <c r="BZ43" s="991"/>
      <c r="CA43" s="991"/>
      <c r="CB43" s="991"/>
      <c r="CC43" s="991"/>
      <c r="CD43" s="991"/>
      <c r="CE43" s="991"/>
      <c r="CF43" s="991"/>
      <c r="CG43" s="991"/>
      <c r="CH43" s="991"/>
      <c r="CI43" s="991"/>
      <c r="CJ43" s="991"/>
      <c r="CK43" s="992"/>
      <c r="CL43" s="867" t="s">
        <v>668</v>
      </c>
      <c r="CM43" s="868"/>
      <c r="CN43" s="868"/>
      <c r="CO43" s="868"/>
      <c r="CP43" s="868"/>
      <c r="CQ43" s="868"/>
      <c r="CR43" s="869"/>
      <c r="CS43" s="870"/>
      <c r="CT43" s="868"/>
      <c r="CU43" s="868"/>
      <c r="CV43" s="868"/>
      <c r="CW43" s="868"/>
      <c r="CX43" s="868"/>
      <c r="CY43" s="869"/>
      <c r="CZ43" s="870"/>
      <c r="DA43" s="868"/>
      <c r="DB43" s="868"/>
      <c r="DC43" s="868"/>
      <c r="DD43" s="868"/>
      <c r="DE43" s="868"/>
      <c r="DF43" s="868"/>
      <c r="DG43" s="868"/>
      <c r="DH43" s="868"/>
      <c r="DI43" s="868"/>
      <c r="DJ43" s="868"/>
      <c r="DK43" s="869"/>
      <c r="DL43" s="870"/>
      <c r="DM43" s="868"/>
      <c r="DN43" s="868"/>
      <c r="DO43" s="868"/>
      <c r="DP43" s="868"/>
      <c r="DQ43" s="868"/>
      <c r="DR43" s="868"/>
      <c r="DS43" s="868"/>
      <c r="DT43" s="868"/>
      <c r="DU43" s="868"/>
      <c r="DV43" s="869"/>
      <c r="DW43" s="871"/>
      <c r="DX43" s="872"/>
      <c r="DY43" s="872"/>
      <c r="DZ43" s="872"/>
      <c r="EA43" s="872"/>
      <c r="EB43" s="872"/>
      <c r="EC43" s="872"/>
      <c r="ED43" s="872"/>
      <c r="EE43" s="872"/>
      <c r="EF43" s="873"/>
      <c r="EG43" s="871"/>
      <c r="EH43" s="872"/>
      <c r="EI43" s="872"/>
      <c r="EJ43" s="872"/>
      <c r="EK43" s="872"/>
      <c r="EL43" s="872"/>
      <c r="EM43" s="872"/>
      <c r="EN43" s="872"/>
      <c r="EO43" s="872"/>
      <c r="EP43" s="873"/>
      <c r="EQ43" s="871"/>
      <c r="ER43" s="872"/>
      <c r="ES43" s="872"/>
      <c r="ET43" s="872"/>
      <c r="EU43" s="872"/>
      <c r="EV43" s="872"/>
      <c r="EW43" s="872"/>
      <c r="EX43" s="872"/>
      <c r="EY43" s="872"/>
      <c r="EZ43" s="873"/>
      <c r="FA43" s="874"/>
      <c r="FB43" s="875"/>
      <c r="FC43" s="875"/>
      <c r="FD43" s="875"/>
      <c r="FE43" s="875"/>
      <c r="FF43" s="875"/>
      <c r="FG43" s="875"/>
      <c r="FH43" s="875"/>
      <c r="FI43" s="875"/>
      <c r="FJ43" s="875"/>
      <c r="FK43" s="876"/>
    </row>
    <row r="44" spans="1:168" ht="14.25" customHeight="1" x14ac:dyDescent="0.2">
      <c r="A44" s="975"/>
      <c r="B44" s="975"/>
      <c r="C44" s="975"/>
      <c r="D44" s="975"/>
      <c r="E44" s="975"/>
      <c r="F44" s="975"/>
      <c r="G44" s="975"/>
      <c r="H44" s="989"/>
      <c r="I44" s="813"/>
      <c r="J44" s="813"/>
      <c r="K44" s="813"/>
      <c r="L44" s="813"/>
      <c r="M44" s="813"/>
      <c r="N44" s="813"/>
      <c r="O44" s="813"/>
      <c r="P44" s="813"/>
      <c r="Q44" s="813"/>
      <c r="R44" s="813"/>
      <c r="S44" s="813"/>
      <c r="T44" s="813"/>
      <c r="U44" s="813"/>
      <c r="V44" s="813"/>
      <c r="W44" s="813"/>
      <c r="X44" s="813"/>
      <c r="Y44" s="813"/>
      <c r="Z44" s="813"/>
      <c r="AA44" s="813"/>
      <c r="AB44" s="813"/>
      <c r="AC44" s="813"/>
      <c r="AD44" s="813"/>
      <c r="AE44" s="813"/>
      <c r="AF44" s="813"/>
      <c r="AG44" s="813"/>
      <c r="AH44" s="813"/>
      <c r="AI44" s="813"/>
      <c r="AJ44" s="813"/>
      <c r="AK44" s="813"/>
      <c r="AL44" s="813"/>
      <c r="AM44" s="813"/>
      <c r="AN44" s="813"/>
      <c r="AO44" s="813"/>
      <c r="AP44" s="813"/>
      <c r="AQ44" s="813"/>
      <c r="AR44" s="813"/>
      <c r="AS44" s="813"/>
      <c r="AT44" s="813"/>
      <c r="AU44" s="813"/>
      <c r="AV44" s="813"/>
      <c r="AW44" s="813"/>
      <c r="AX44" s="813"/>
      <c r="AY44" s="813"/>
      <c r="AZ44" s="813"/>
      <c r="BA44" s="813"/>
      <c r="BB44" s="813"/>
      <c r="BC44" s="813"/>
      <c r="BD44" s="813"/>
      <c r="BE44" s="813"/>
      <c r="BF44" s="813"/>
      <c r="BG44" s="813"/>
      <c r="BH44" s="813"/>
      <c r="BI44" s="813"/>
      <c r="BJ44" s="813"/>
      <c r="BK44" s="813"/>
      <c r="BL44" s="813"/>
      <c r="BM44" s="813"/>
      <c r="BN44" s="813"/>
      <c r="BO44" s="813"/>
      <c r="BP44" s="813"/>
      <c r="BQ44" s="813"/>
      <c r="BR44" s="813"/>
      <c r="BS44" s="813"/>
      <c r="BT44" s="813"/>
      <c r="BU44" s="813"/>
      <c r="BV44" s="813"/>
      <c r="BW44" s="813"/>
      <c r="BX44" s="813"/>
      <c r="BY44" s="813"/>
      <c r="BZ44" s="813"/>
      <c r="CA44" s="813"/>
      <c r="CB44" s="813"/>
      <c r="CC44" s="813"/>
      <c r="CD44" s="813"/>
      <c r="CE44" s="813"/>
      <c r="CF44" s="813"/>
      <c r="CG44" s="813"/>
      <c r="CH44" s="813"/>
      <c r="CI44" s="813"/>
      <c r="CJ44" s="813"/>
      <c r="CK44" s="813"/>
      <c r="CL44" s="816"/>
      <c r="CM44" s="817"/>
      <c r="CN44" s="817"/>
      <c r="CO44" s="817"/>
      <c r="CP44" s="817"/>
      <c r="CQ44" s="817"/>
      <c r="CR44" s="818"/>
      <c r="CS44" s="819"/>
      <c r="CT44" s="817"/>
      <c r="CU44" s="817"/>
      <c r="CV44" s="817"/>
      <c r="CW44" s="817"/>
      <c r="CX44" s="817"/>
      <c r="CY44" s="818"/>
      <c r="CZ44" s="819"/>
      <c r="DA44" s="817"/>
      <c r="DB44" s="817"/>
      <c r="DC44" s="817"/>
      <c r="DD44" s="817"/>
      <c r="DE44" s="817"/>
      <c r="DF44" s="817"/>
      <c r="DG44" s="817"/>
      <c r="DH44" s="817"/>
      <c r="DI44" s="817"/>
      <c r="DJ44" s="817"/>
      <c r="DK44" s="818"/>
      <c r="DL44" s="819"/>
      <c r="DM44" s="817"/>
      <c r="DN44" s="817"/>
      <c r="DO44" s="817"/>
      <c r="DP44" s="817"/>
      <c r="DQ44" s="817"/>
      <c r="DR44" s="817"/>
      <c r="DS44" s="817"/>
      <c r="DT44" s="817"/>
      <c r="DU44" s="817"/>
      <c r="DV44" s="818"/>
      <c r="DW44" s="807"/>
      <c r="DX44" s="808"/>
      <c r="DY44" s="808"/>
      <c r="DZ44" s="808"/>
      <c r="EA44" s="808"/>
      <c r="EB44" s="808"/>
      <c r="EC44" s="808"/>
      <c r="ED44" s="808"/>
      <c r="EE44" s="808"/>
      <c r="EF44" s="809"/>
      <c r="EG44" s="807"/>
      <c r="EH44" s="808"/>
      <c r="EI44" s="808"/>
      <c r="EJ44" s="808"/>
      <c r="EK44" s="808"/>
      <c r="EL44" s="808"/>
      <c r="EM44" s="808"/>
      <c r="EN44" s="808"/>
      <c r="EO44" s="808"/>
      <c r="EP44" s="809"/>
      <c r="EQ44" s="807"/>
      <c r="ER44" s="808"/>
      <c r="ES44" s="808"/>
      <c r="ET44" s="808"/>
      <c r="EU44" s="808"/>
      <c r="EV44" s="808"/>
      <c r="EW44" s="808"/>
      <c r="EX44" s="808"/>
      <c r="EY44" s="808"/>
      <c r="EZ44" s="809"/>
      <c r="FA44" s="810"/>
      <c r="FB44" s="811"/>
      <c r="FC44" s="811"/>
      <c r="FD44" s="811"/>
      <c r="FE44" s="811"/>
      <c r="FF44" s="811"/>
      <c r="FG44" s="811"/>
      <c r="FH44" s="811"/>
      <c r="FI44" s="811"/>
      <c r="FJ44" s="811"/>
      <c r="FK44" s="812"/>
    </row>
    <row r="45" spans="1:168" ht="15" customHeight="1" x14ac:dyDescent="0.2">
      <c r="A45" s="975" t="s">
        <v>1046</v>
      </c>
      <c r="B45" s="975"/>
      <c r="C45" s="975"/>
      <c r="D45" s="975"/>
      <c r="E45" s="975"/>
      <c r="F45" s="975"/>
      <c r="G45" s="975"/>
      <c r="H45" s="988" t="s">
        <v>1014</v>
      </c>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06"/>
      <c r="AI45" s="806"/>
      <c r="AJ45" s="806"/>
      <c r="AK45" s="806"/>
      <c r="AL45" s="806"/>
      <c r="AM45" s="806"/>
      <c r="AN45" s="806"/>
      <c r="AO45" s="806"/>
      <c r="AP45" s="806"/>
      <c r="AQ45" s="806"/>
      <c r="AR45" s="806"/>
      <c r="AS45" s="806"/>
      <c r="AT45" s="806"/>
      <c r="AU45" s="806"/>
      <c r="AV45" s="806"/>
      <c r="AW45" s="806"/>
      <c r="AX45" s="806"/>
      <c r="AY45" s="806"/>
      <c r="AZ45" s="806"/>
      <c r="BA45" s="806"/>
      <c r="BB45" s="806"/>
      <c r="BC45" s="806"/>
      <c r="BD45" s="806"/>
      <c r="BE45" s="806"/>
      <c r="BF45" s="806"/>
      <c r="BG45" s="806"/>
      <c r="BH45" s="806"/>
      <c r="BI45" s="806"/>
      <c r="BJ45" s="806"/>
      <c r="BK45" s="806"/>
      <c r="BL45" s="806"/>
      <c r="BM45" s="806"/>
      <c r="BN45" s="806"/>
      <c r="BO45" s="806"/>
      <c r="BP45" s="806"/>
      <c r="BQ45" s="806"/>
      <c r="BR45" s="806"/>
      <c r="BS45" s="806"/>
      <c r="BT45" s="806"/>
      <c r="BU45" s="806"/>
      <c r="BV45" s="806"/>
      <c r="BW45" s="806"/>
      <c r="BX45" s="806"/>
      <c r="BY45" s="806"/>
      <c r="BZ45" s="806"/>
      <c r="CA45" s="806"/>
      <c r="CB45" s="806"/>
      <c r="CC45" s="806"/>
      <c r="CD45" s="806"/>
      <c r="CE45" s="806"/>
      <c r="CF45" s="806"/>
      <c r="CG45" s="806"/>
      <c r="CH45" s="806"/>
      <c r="CI45" s="806"/>
      <c r="CJ45" s="806"/>
      <c r="CK45" s="806"/>
      <c r="CL45" s="782" t="s">
        <v>1047</v>
      </c>
      <c r="CM45" s="783"/>
      <c r="CN45" s="783"/>
      <c r="CO45" s="783"/>
      <c r="CP45" s="783"/>
      <c r="CQ45" s="783"/>
      <c r="CR45" s="784"/>
      <c r="CS45" s="785" t="s">
        <v>74</v>
      </c>
      <c r="CT45" s="783"/>
      <c r="CU45" s="783"/>
      <c r="CV45" s="783"/>
      <c r="CW45" s="783"/>
      <c r="CX45" s="783"/>
      <c r="CY45" s="784"/>
      <c r="CZ45" s="785"/>
      <c r="DA45" s="783"/>
      <c r="DB45" s="783"/>
      <c r="DC45" s="783"/>
      <c r="DD45" s="783"/>
      <c r="DE45" s="783"/>
      <c r="DF45" s="783"/>
      <c r="DG45" s="783"/>
      <c r="DH45" s="783"/>
      <c r="DI45" s="783"/>
      <c r="DJ45" s="783"/>
      <c r="DK45" s="784"/>
      <c r="DL45" s="785"/>
      <c r="DM45" s="783"/>
      <c r="DN45" s="783"/>
      <c r="DO45" s="783"/>
      <c r="DP45" s="783"/>
      <c r="DQ45" s="783"/>
      <c r="DR45" s="783"/>
      <c r="DS45" s="783"/>
      <c r="DT45" s="783"/>
      <c r="DU45" s="783"/>
      <c r="DV45" s="784"/>
      <c r="DW45" s="776"/>
      <c r="DX45" s="777"/>
      <c r="DY45" s="777"/>
      <c r="DZ45" s="777"/>
      <c r="EA45" s="777"/>
      <c r="EB45" s="777"/>
      <c r="EC45" s="777"/>
      <c r="ED45" s="777"/>
      <c r="EE45" s="777"/>
      <c r="EF45" s="778"/>
      <c r="EG45" s="776"/>
      <c r="EH45" s="777"/>
      <c r="EI45" s="777"/>
      <c r="EJ45" s="777"/>
      <c r="EK45" s="777"/>
      <c r="EL45" s="777"/>
      <c r="EM45" s="777"/>
      <c r="EN45" s="777"/>
      <c r="EO45" s="777"/>
      <c r="EP45" s="778"/>
      <c r="EQ45" s="776"/>
      <c r="ER45" s="777"/>
      <c r="ES45" s="777"/>
      <c r="ET45" s="777"/>
      <c r="EU45" s="777"/>
      <c r="EV45" s="777"/>
      <c r="EW45" s="777"/>
      <c r="EX45" s="777"/>
      <c r="EY45" s="777"/>
      <c r="EZ45" s="778"/>
      <c r="FA45" s="779"/>
      <c r="FB45" s="780"/>
      <c r="FC45" s="780"/>
      <c r="FD45" s="780"/>
      <c r="FE45" s="780"/>
      <c r="FF45" s="780"/>
      <c r="FG45" s="780"/>
      <c r="FH45" s="780"/>
      <c r="FI45" s="780"/>
      <c r="FJ45" s="780"/>
      <c r="FK45" s="781"/>
    </row>
    <row r="46" spans="1:168" ht="26.25" customHeight="1" x14ac:dyDescent="0.2">
      <c r="A46" s="975" t="s">
        <v>823</v>
      </c>
      <c r="B46" s="975"/>
      <c r="C46" s="975"/>
      <c r="D46" s="975"/>
      <c r="E46" s="975"/>
      <c r="F46" s="975"/>
      <c r="G46" s="975"/>
      <c r="H46" s="976" t="s">
        <v>1048</v>
      </c>
      <c r="I46" s="977"/>
      <c r="J46" s="977"/>
      <c r="K46" s="977"/>
      <c r="L46" s="977"/>
      <c r="M46" s="977"/>
      <c r="N46" s="977"/>
      <c r="O46" s="977"/>
      <c r="P46" s="977"/>
      <c r="Q46" s="977"/>
      <c r="R46" s="977"/>
      <c r="S46" s="977"/>
      <c r="T46" s="977"/>
      <c r="U46" s="977"/>
      <c r="V46" s="977"/>
      <c r="W46" s="977"/>
      <c r="X46" s="977"/>
      <c r="Y46" s="977"/>
      <c r="Z46" s="977"/>
      <c r="AA46" s="977"/>
      <c r="AB46" s="977"/>
      <c r="AC46" s="977"/>
      <c r="AD46" s="977"/>
      <c r="AE46" s="977"/>
      <c r="AF46" s="977"/>
      <c r="AG46" s="977"/>
      <c r="AH46" s="977"/>
      <c r="AI46" s="977"/>
      <c r="AJ46" s="977"/>
      <c r="AK46" s="977"/>
      <c r="AL46" s="977"/>
      <c r="AM46" s="977"/>
      <c r="AN46" s="977"/>
      <c r="AO46" s="977"/>
      <c r="AP46" s="977"/>
      <c r="AQ46" s="977"/>
      <c r="AR46" s="977"/>
      <c r="AS46" s="977"/>
      <c r="AT46" s="977"/>
      <c r="AU46" s="977"/>
      <c r="AV46" s="977"/>
      <c r="AW46" s="977"/>
      <c r="AX46" s="977"/>
      <c r="AY46" s="977"/>
      <c r="AZ46" s="977"/>
      <c r="BA46" s="977"/>
      <c r="BB46" s="977"/>
      <c r="BC46" s="977"/>
      <c r="BD46" s="977"/>
      <c r="BE46" s="977"/>
      <c r="BF46" s="977"/>
      <c r="BG46" s="977"/>
      <c r="BH46" s="977"/>
      <c r="BI46" s="977"/>
      <c r="BJ46" s="977"/>
      <c r="BK46" s="977"/>
      <c r="BL46" s="977"/>
      <c r="BM46" s="977"/>
      <c r="BN46" s="977"/>
      <c r="BO46" s="977"/>
      <c r="BP46" s="977"/>
      <c r="BQ46" s="977"/>
      <c r="BR46" s="977"/>
      <c r="BS46" s="977"/>
      <c r="BT46" s="977"/>
      <c r="BU46" s="977"/>
      <c r="BV46" s="977"/>
      <c r="BW46" s="977"/>
      <c r="BX46" s="977"/>
      <c r="BY46" s="977"/>
      <c r="BZ46" s="977"/>
      <c r="CA46" s="977"/>
      <c r="CB46" s="977"/>
      <c r="CC46" s="977"/>
      <c r="CD46" s="977"/>
      <c r="CE46" s="977"/>
      <c r="CF46" s="977"/>
      <c r="CG46" s="977"/>
      <c r="CH46" s="977"/>
      <c r="CI46" s="977"/>
      <c r="CJ46" s="977"/>
      <c r="CK46" s="977"/>
      <c r="CL46" s="782" t="s">
        <v>1049</v>
      </c>
      <c r="CM46" s="783"/>
      <c r="CN46" s="783"/>
      <c r="CO46" s="783"/>
      <c r="CP46" s="783"/>
      <c r="CQ46" s="783"/>
      <c r="CR46" s="784"/>
      <c r="CS46" s="785" t="s">
        <v>74</v>
      </c>
      <c r="CT46" s="783"/>
      <c r="CU46" s="783"/>
      <c r="CV46" s="783"/>
      <c r="CW46" s="783"/>
      <c r="CX46" s="783"/>
      <c r="CY46" s="784"/>
      <c r="CZ46" s="785"/>
      <c r="DA46" s="783"/>
      <c r="DB46" s="783"/>
      <c r="DC46" s="783"/>
      <c r="DD46" s="783"/>
      <c r="DE46" s="783"/>
      <c r="DF46" s="783"/>
      <c r="DG46" s="783"/>
      <c r="DH46" s="783"/>
      <c r="DI46" s="783"/>
      <c r="DJ46" s="783"/>
      <c r="DK46" s="784"/>
      <c r="DL46" s="785"/>
      <c r="DM46" s="783"/>
      <c r="DN46" s="783"/>
      <c r="DO46" s="783"/>
      <c r="DP46" s="783"/>
      <c r="DQ46" s="783"/>
      <c r="DR46" s="783"/>
      <c r="DS46" s="783"/>
      <c r="DT46" s="783"/>
      <c r="DU46" s="783"/>
      <c r="DV46" s="784"/>
      <c r="DW46" s="776">
        <f>DW17</f>
        <v>25449999.25</v>
      </c>
      <c r="DX46" s="777"/>
      <c r="DY46" s="777"/>
      <c r="DZ46" s="777"/>
      <c r="EA46" s="777"/>
      <c r="EB46" s="777"/>
      <c r="EC46" s="777"/>
      <c r="ED46" s="777"/>
      <c r="EE46" s="777"/>
      <c r="EF46" s="778"/>
      <c r="EG46" s="776">
        <f t="shared" ref="EG46" si="10">EG17</f>
        <v>25914559.25</v>
      </c>
      <c r="EH46" s="777"/>
      <c r="EI46" s="777"/>
      <c r="EJ46" s="777"/>
      <c r="EK46" s="777"/>
      <c r="EL46" s="777"/>
      <c r="EM46" s="777"/>
      <c r="EN46" s="777"/>
      <c r="EO46" s="777"/>
      <c r="EP46" s="778"/>
      <c r="EQ46" s="776">
        <f t="shared" ref="EQ46" si="11">EQ17</f>
        <v>26100659.25</v>
      </c>
      <c r="ER46" s="777"/>
      <c r="ES46" s="777"/>
      <c r="ET46" s="777"/>
      <c r="EU46" s="777"/>
      <c r="EV46" s="777"/>
      <c r="EW46" s="777"/>
      <c r="EX46" s="777"/>
      <c r="EY46" s="777"/>
      <c r="EZ46" s="778"/>
      <c r="FA46" s="779"/>
      <c r="FB46" s="780"/>
      <c r="FC46" s="780"/>
      <c r="FD46" s="780"/>
      <c r="FE46" s="780"/>
      <c r="FF46" s="780"/>
      <c r="FG46" s="780"/>
      <c r="FH46" s="780"/>
      <c r="FI46" s="780"/>
      <c r="FJ46" s="780"/>
      <c r="FK46" s="781"/>
    </row>
    <row r="47" spans="1:168" ht="15" customHeight="1" x14ac:dyDescent="0.2">
      <c r="A47" s="975"/>
      <c r="B47" s="975"/>
      <c r="C47" s="975"/>
      <c r="D47" s="975"/>
      <c r="E47" s="975"/>
      <c r="F47" s="975"/>
      <c r="G47" s="975"/>
      <c r="H47" s="978" t="s">
        <v>412</v>
      </c>
      <c r="I47" s="979"/>
      <c r="J47" s="979"/>
      <c r="K47" s="979"/>
      <c r="L47" s="979"/>
      <c r="M47" s="979"/>
      <c r="N47" s="979"/>
      <c r="O47" s="979"/>
      <c r="P47" s="979"/>
      <c r="Q47" s="979"/>
      <c r="R47" s="979"/>
      <c r="S47" s="979"/>
      <c r="T47" s="979"/>
      <c r="U47" s="979"/>
      <c r="V47" s="979"/>
      <c r="W47" s="979"/>
      <c r="X47" s="979"/>
      <c r="Y47" s="979"/>
      <c r="Z47" s="979"/>
      <c r="AA47" s="979"/>
      <c r="AB47" s="979"/>
      <c r="AC47" s="979"/>
      <c r="AD47" s="979"/>
      <c r="AE47" s="979"/>
      <c r="AF47" s="979"/>
      <c r="AG47" s="979"/>
      <c r="AH47" s="979"/>
      <c r="AI47" s="979"/>
      <c r="AJ47" s="979"/>
      <c r="AK47" s="979"/>
      <c r="AL47" s="979"/>
      <c r="AM47" s="979"/>
      <c r="AN47" s="979"/>
      <c r="AO47" s="979"/>
      <c r="AP47" s="979"/>
      <c r="AQ47" s="979"/>
      <c r="AR47" s="979"/>
      <c r="AS47" s="979"/>
      <c r="AT47" s="979"/>
      <c r="AU47" s="979"/>
      <c r="AV47" s="979"/>
      <c r="AW47" s="979"/>
      <c r="AX47" s="979"/>
      <c r="AY47" s="979"/>
      <c r="AZ47" s="979"/>
      <c r="BA47" s="979"/>
      <c r="BB47" s="979"/>
      <c r="BC47" s="979"/>
      <c r="BD47" s="979"/>
      <c r="BE47" s="979"/>
      <c r="BF47" s="979"/>
      <c r="BG47" s="979"/>
      <c r="BH47" s="979"/>
      <c r="BI47" s="979"/>
      <c r="BJ47" s="979"/>
      <c r="BK47" s="979"/>
      <c r="BL47" s="979"/>
      <c r="BM47" s="979"/>
      <c r="BN47" s="979"/>
      <c r="BO47" s="979"/>
      <c r="BP47" s="979"/>
      <c r="BQ47" s="979"/>
      <c r="BR47" s="979"/>
      <c r="BS47" s="979"/>
      <c r="BT47" s="979"/>
      <c r="BU47" s="979"/>
      <c r="BV47" s="979"/>
      <c r="BW47" s="979"/>
      <c r="BX47" s="979"/>
      <c r="BY47" s="979"/>
      <c r="BZ47" s="979"/>
      <c r="CA47" s="979"/>
      <c r="CB47" s="979"/>
      <c r="CC47" s="979"/>
      <c r="CD47" s="979"/>
      <c r="CE47" s="979"/>
      <c r="CF47" s="979"/>
      <c r="CG47" s="979"/>
      <c r="CH47" s="979"/>
      <c r="CI47" s="979"/>
      <c r="CJ47" s="979"/>
      <c r="CK47" s="980"/>
      <c r="CL47" s="867" t="s">
        <v>1050</v>
      </c>
      <c r="CM47" s="868"/>
      <c r="CN47" s="868"/>
      <c r="CO47" s="868"/>
      <c r="CP47" s="868"/>
      <c r="CQ47" s="868"/>
      <c r="CR47" s="869"/>
      <c r="CS47" s="870" t="s">
        <v>1063</v>
      </c>
      <c r="CT47" s="868"/>
      <c r="CU47" s="868"/>
      <c r="CV47" s="868"/>
      <c r="CW47" s="868"/>
      <c r="CX47" s="868"/>
      <c r="CY47" s="869"/>
      <c r="CZ47" s="870"/>
      <c r="DA47" s="868"/>
      <c r="DB47" s="868"/>
      <c r="DC47" s="868"/>
      <c r="DD47" s="868"/>
      <c r="DE47" s="868"/>
      <c r="DF47" s="868"/>
      <c r="DG47" s="868"/>
      <c r="DH47" s="868"/>
      <c r="DI47" s="868"/>
      <c r="DJ47" s="868"/>
      <c r="DK47" s="869"/>
      <c r="DL47" s="870"/>
      <c r="DM47" s="868"/>
      <c r="DN47" s="868"/>
      <c r="DO47" s="868"/>
      <c r="DP47" s="868"/>
      <c r="DQ47" s="868"/>
      <c r="DR47" s="868"/>
      <c r="DS47" s="868"/>
      <c r="DT47" s="868"/>
      <c r="DU47" s="868"/>
      <c r="DV47" s="869"/>
      <c r="DW47" s="871">
        <f>DW46</f>
        <v>25449999.25</v>
      </c>
      <c r="DX47" s="872"/>
      <c r="DY47" s="872"/>
      <c r="DZ47" s="872"/>
      <c r="EA47" s="872"/>
      <c r="EB47" s="872"/>
      <c r="EC47" s="872"/>
      <c r="ED47" s="872"/>
      <c r="EE47" s="872"/>
      <c r="EF47" s="873"/>
      <c r="EG47" s="871">
        <f t="shared" ref="EG47" si="12">EG46</f>
        <v>25914559.25</v>
      </c>
      <c r="EH47" s="872"/>
      <c r="EI47" s="872"/>
      <c r="EJ47" s="872"/>
      <c r="EK47" s="872"/>
      <c r="EL47" s="872"/>
      <c r="EM47" s="872"/>
      <c r="EN47" s="872"/>
      <c r="EO47" s="872"/>
      <c r="EP47" s="873"/>
      <c r="EQ47" s="871">
        <f t="shared" ref="EQ47" si="13">EQ46</f>
        <v>26100659.25</v>
      </c>
      <c r="ER47" s="872"/>
      <c r="ES47" s="872"/>
      <c r="ET47" s="872"/>
      <c r="EU47" s="872"/>
      <c r="EV47" s="872"/>
      <c r="EW47" s="872"/>
      <c r="EX47" s="872"/>
      <c r="EY47" s="872"/>
      <c r="EZ47" s="873"/>
      <c r="FA47" s="874"/>
      <c r="FB47" s="875"/>
      <c r="FC47" s="875"/>
      <c r="FD47" s="875"/>
      <c r="FE47" s="875"/>
      <c r="FF47" s="875"/>
      <c r="FG47" s="875"/>
      <c r="FH47" s="875"/>
      <c r="FI47" s="875"/>
      <c r="FJ47" s="875"/>
      <c r="FK47" s="876"/>
    </row>
    <row r="48" spans="1:168" ht="15" customHeight="1" x14ac:dyDescent="0.2">
      <c r="A48" s="975"/>
      <c r="B48" s="975"/>
      <c r="C48" s="975"/>
      <c r="D48" s="975"/>
      <c r="E48" s="975"/>
      <c r="F48" s="975"/>
      <c r="G48" s="975"/>
      <c r="H48" s="973"/>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c r="AL48" s="974"/>
      <c r="AM48" s="974"/>
      <c r="AN48" s="974"/>
      <c r="AO48" s="974"/>
      <c r="AP48" s="974"/>
      <c r="AQ48" s="974"/>
      <c r="AR48" s="974"/>
      <c r="AS48" s="974"/>
      <c r="AT48" s="974"/>
      <c r="AU48" s="974"/>
      <c r="AV48" s="974"/>
      <c r="AW48" s="974"/>
      <c r="AX48" s="974"/>
      <c r="AY48" s="974"/>
      <c r="AZ48" s="974"/>
      <c r="BA48" s="974"/>
      <c r="BB48" s="974"/>
      <c r="BC48" s="974"/>
      <c r="BD48" s="974"/>
      <c r="BE48" s="974"/>
      <c r="BF48" s="974"/>
      <c r="BG48" s="974"/>
      <c r="BH48" s="974"/>
      <c r="BI48" s="974"/>
      <c r="BJ48" s="974"/>
      <c r="BK48" s="974"/>
      <c r="BL48" s="974"/>
      <c r="BM48" s="974"/>
      <c r="BN48" s="974"/>
      <c r="BO48" s="974"/>
      <c r="BP48" s="974"/>
      <c r="BQ48" s="974"/>
      <c r="BR48" s="974"/>
      <c r="BS48" s="974"/>
      <c r="BT48" s="974"/>
      <c r="BU48" s="974"/>
      <c r="BV48" s="974"/>
      <c r="BW48" s="974"/>
      <c r="BX48" s="974"/>
      <c r="BY48" s="974"/>
      <c r="BZ48" s="974"/>
      <c r="CA48" s="974"/>
      <c r="CB48" s="974"/>
      <c r="CC48" s="974"/>
      <c r="CD48" s="974"/>
      <c r="CE48" s="974"/>
      <c r="CF48" s="974"/>
      <c r="CG48" s="974"/>
      <c r="CH48" s="974"/>
      <c r="CI48" s="974"/>
      <c r="CJ48" s="974"/>
      <c r="CK48" s="974"/>
      <c r="CL48" s="816"/>
      <c r="CM48" s="817"/>
      <c r="CN48" s="817"/>
      <c r="CO48" s="817"/>
      <c r="CP48" s="817"/>
      <c r="CQ48" s="817"/>
      <c r="CR48" s="818"/>
      <c r="CS48" s="819"/>
      <c r="CT48" s="817"/>
      <c r="CU48" s="817"/>
      <c r="CV48" s="817"/>
      <c r="CW48" s="817"/>
      <c r="CX48" s="817"/>
      <c r="CY48" s="818"/>
      <c r="CZ48" s="819"/>
      <c r="DA48" s="817"/>
      <c r="DB48" s="817"/>
      <c r="DC48" s="817"/>
      <c r="DD48" s="817"/>
      <c r="DE48" s="817"/>
      <c r="DF48" s="817"/>
      <c r="DG48" s="817"/>
      <c r="DH48" s="817"/>
      <c r="DI48" s="817"/>
      <c r="DJ48" s="817"/>
      <c r="DK48" s="818"/>
      <c r="DL48" s="819"/>
      <c r="DM48" s="817"/>
      <c r="DN48" s="817"/>
      <c r="DO48" s="817"/>
      <c r="DP48" s="817"/>
      <c r="DQ48" s="817"/>
      <c r="DR48" s="817"/>
      <c r="DS48" s="817"/>
      <c r="DT48" s="817"/>
      <c r="DU48" s="817"/>
      <c r="DV48" s="818"/>
      <c r="DW48" s="807"/>
      <c r="DX48" s="808"/>
      <c r="DY48" s="808"/>
      <c r="DZ48" s="808"/>
      <c r="EA48" s="808"/>
      <c r="EB48" s="808"/>
      <c r="EC48" s="808"/>
      <c r="ED48" s="808"/>
      <c r="EE48" s="808"/>
      <c r="EF48" s="809"/>
      <c r="EG48" s="807"/>
      <c r="EH48" s="808"/>
      <c r="EI48" s="808"/>
      <c r="EJ48" s="808"/>
      <c r="EK48" s="808"/>
      <c r="EL48" s="808"/>
      <c r="EM48" s="808"/>
      <c r="EN48" s="808"/>
      <c r="EO48" s="808"/>
      <c r="EP48" s="809"/>
      <c r="EQ48" s="807"/>
      <c r="ER48" s="808"/>
      <c r="ES48" s="808"/>
      <c r="ET48" s="808"/>
      <c r="EU48" s="808"/>
      <c r="EV48" s="808"/>
      <c r="EW48" s="808"/>
      <c r="EX48" s="808"/>
      <c r="EY48" s="808"/>
      <c r="EZ48" s="809"/>
      <c r="FA48" s="810"/>
      <c r="FB48" s="811"/>
      <c r="FC48" s="811"/>
      <c r="FD48" s="811"/>
      <c r="FE48" s="811"/>
      <c r="FF48" s="811"/>
      <c r="FG48" s="811"/>
      <c r="FH48" s="811"/>
      <c r="FI48" s="811"/>
      <c r="FJ48" s="811"/>
      <c r="FK48" s="812"/>
    </row>
    <row r="49" spans="1:167" ht="30" customHeight="1" x14ac:dyDescent="0.2">
      <c r="A49" s="975" t="s">
        <v>824</v>
      </c>
      <c r="B49" s="975"/>
      <c r="C49" s="975"/>
      <c r="D49" s="975"/>
      <c r="E49" s="975"/>
      <c r="F49" s="975"/>
      <c r="G49" s="975"/>
      <c r="H49" s="976" t="s">
        <v>1051</v>
      </c>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c r="AL49" s="977"/>
      <c r="AM49" s="977"/>
      <c r="AN49" s="977"/>
      <c r="AO49" s="977"/>
      <c r="AP49" s="977"/>
      <c r="AQ49" s="977"/>
      <c r="AR49" s="977"/>
      <c r="AS49" s="977"/>
      <c r="AT49" s="977"/>
      <c r="AU49" s="977"/>
      <c r="AV49" s="977"/>
      <c r="AW49" s="977"/>
      <c r="AX49" s="977"/>
      <c r="AY49" s="977"/>
      <c r="AZ49" s="977"/>
      <c r="BA49" s="977"/>
      <c r="BB49" s="977"/>
      <c r="BC49" s="977"/>
      <c r="BD49" s="977"/>
      <c r="BE49" s="977"/>
      <c r="BF49" s="977"/>
      <c r="BG49" s="977"/>
      <c r="BH49" s="977"/>
      <c r="BI49" s="977"/>
      <c r="BJ49" s="977"/>
      <c r="BK49" s="977"/>
      <c r="BL49" s="977"/>
      <c r="BM49" s="977"/>
      <c r="BN49" s="977"/>
      <c r="BO49" s="977"/>
      <c r="BP49" s="977"/>
      <c r="BQ49" s="977"/>
      <c r="BR49" s="977"/>
      <c r="BS49" s="977"/>
      <c r="BT49" s="977"/>
      <c r="BU49" s="977"/>
      <c r="BV49" s="977"/>
      <c r="BW49" s="977"/>
      <c r="BX49" s="977"/>
      <c r="BY49" s="977"/>
      <c r="BZ49" s="977"/>
      <c r="CA49" s="977"/>
      <c r="CB49" s="977"/>
      <c r="CC49" s="977"/>
      <c r="CD49" s="977"/>
      <c r="CE49" s="977"/>
      <c r="CF49" s="977"/>
      <c r="CG49" s="977"/>
      <c r="CH49" s="977"/>
      <c r="CI49" s="977"/>
      <c r="CJ49" s="977"/>
      <c r="CK49" s="977"/>
      <c r="CL49" s="782" t="s">
        <v>1052</v>
      </c>
      <c r="CM49" s="783"/>
      <c r="CN49" s="783"/>
      <c r="CO49" s="783"/>
      <c r="CP49" s="783"/>
      <c r="CQ49" s="783"/>
      <c r="CR49" s="784"/>
      <c r="CS49" s="785" t="s">
        <v>74</v>
      </c>
      <c r="CT49" s="783"/>
      <c r="CU49" s="783"/>
      <c r="CV49" s="783"/>
      <c r="CW49" s="783"/>
      <c r="CX49" s="783"/>
      <c r="CY49" s="784"/>
      <c r="CZ49" s="785"/>
      <c r="DA49" s="783"/>
      <c r="DB49" s="783"/>
      <c r="DC49" s="783"/>
      <c r="DD49" s="783"/>
      <c r="DE49" s="783"/>
      <c r="DF49" s="783"/>
      <c r="DG49" s="783"/>
      <c r="DH49" s="783"/>
      <c r="DI49" s="783"/>
      <c r="DJ49" s="783"/>
      <c r="DK49" s="784"/>
      <c r="DL49" s="785"/>
      <c r="DM49" s="783"/>
      <c r="DN49" s="783"/>
      <c r="DO49" s="783"/>
      <c r="DP49" s="783"/>
      <c r="DQ49" s="783"/>
      <c r="DR49" s="783"/>
      <c r="DS49" s="783"/>
      <c r="DT49" s="783"/>
      <c r="DU49" s="783"/>
      <c r="DV49" s="784"/>
      <c r="DW49" s="776"/>
      <c r="DX49" s="777"/>
      <c r="DY49" s="777"/>
      <c r="DZ49" s="777"/>
      <c r="EA49" s="777"/>
      <c r="EB49" s="777"/>
      <c r="EC49" s="777"/>
      <c r="ED49" s="777"/>
      <c r="EE49" s="777"/>
      <c r="EF49" s="778"/>
      <c r="EG49" s="776"/>
      <c r="EH49" s="777"/>
      <c r="EI49" s="777"/>
      <c r="EJ49" s="777"/>
      <c r="EK49" s="777"/>
      <c r="EL49" s="777"/>
      <c r="EM49" s="777"/>
      <c r="EN49" s="777"/>
      <c r="EO49" s="777"/>
      <c r="EP49" s="778"/>
      <c r="EQ49" s="776"/>
      <c r="ER49" s="777"/>
      <c r="ES49" s="777"/>
      <c r="ET49" s="777"/>
      <c r="EU49" s="777"/>
      <c r="EV49" s="777"/>
      <c r="EW49" s="777"/>
      <c r="EX49" s="777"/>
      <c r="EY49" s="777"/>
      <c r="EZ49" s="778"/>
      <c r="FA49" s="779"/>
      <c r="FB49" s="780"/>
      <c r="FC49" s="780"/>
      <c r="FD49" s="780"/>
      <c r="FE49" s="780"/>
      <c r="FF49" s="780"/>
      <c r="FG49" s="780"/>
      <c r="FH49" s="780"/>
      <c r="FI49" s="780"/>
      <c r="FJ49" s="780"/>
      <c r="FK49" s="781"/>
    </row>
    <row r="50" spans="1:167" ht="15" customHeight="1" x14ac:dyDescent="0.2">
      <c r="A50" s="975"/>
      <c r="B50" s="975"/>
      <c r="C50" s="975"/>
      <c r="D50" s="975"/>
      <c r="E50" s="975"/>
      <c r="F50" s="975"/>
      <c r="G50" s="975"/>
      <c r="H50" s="978" t="s">
        <v>412</v>
      </c>
      <c r="I50" s="979"/>
      <c r="J50" s="979"/>
      <c r="K50" s="979"/>
      <c r="L50" s="979"/>
      <c r="M50" s="979"/>
      <c r="N50" s="979"/>
      <c r="O50" s="979"/>
      <c r="P50" s="979"/>
      <c r="Q50" s="979"/>
      <c r="R50" s="979"/>
      <c r="S50" s="979"/>
      <c r="T50" s="979"/>
      <c r="U50" s="979"/>
      <c r="V50" s="979"/>
      <c r="W50" s="979"/>
      <c r="X50" s="979"/>
      <c r="Y50" s="979"/>
      <c r="Z50" s="979"/>
      <c r="AA50" s="979"/>
      <c r="AB50" s="979"/>
      <c r="AC50" s="979"/>
      <c r="AD50" s="979"/>
      <c r="AE50" s="979"/>
      <c r="AF50" s="979"/>
      <c r="AG50" s="979"/>
      <c r="AH50" s="979"/>
      <c r="AI50" s="979"/>
      <c r="AJ50" s="979"/>
      <c r="AK50" s="979"/>
      <c r="AL50" s="979"/>
      <c r="AM50" s="979"/>
      <c r="AN50" s="979"/>
      <c r="AO50" s="979"/>
      <c r="AP50" s="979"/>
      <c r="AQ50" s="979"/>
      <c r="AR50" s="979"/>
      <c r="AS50" s="979"/>
      <c r="AT50" s="979"/>
      <c r="AU50" s="979"/>
      <c r="AV50" s="979"/>
      <c r="AW50" s="979"/>
      <c r="AX50" s="979"/>
      <c r="AY50" s="979"/>
      <c r="AZ50" s="979"/>
      <c r="BA50" s="979"/>
      <c r="BB50" s="979"/>
      <c r="BC50" s="979"/>
      <c r="BD50" s="979"/>
      <c r="BE50" s="979"/>
      <c r="BF50" s="979"/>
      <c r="BG50" s="979"/>
      <c r="BH50" s="979"/>
      <c r="BI50" s="979"/>
      <c r="BJ50" s="979"/>
      <c r="BK50" s="979"/>
      <c r="BL50" s="979"/>
      <c r="BM50" s="979"/>
      <c r="BN50" s="979"/>
      <c r="BO50" s="979"/>
      <c r="BP50" s="979"/>
      <c r="BQ50" s="979"/>
      <c r="BR50" s="979"/>
      <c r="BS50" s="979"/>
      <c r="BT50" s="979"/>
      <c r="BU50" s="979"/>
      <c r="BV50" s="979"/>
      <c r="BW50" s="979"/>
      <c r="BX50" s="979"/>
      <c r="BY50" s="979"/>
      <c r="BZ50" s="979"/>
      <c r="CA50" s="979"/>
      <c r="CB50" s="979"/>
      <c r="CC50" s="979"/>
      <c r="CD50" s="979"/>
      <c r="CE50" s="979"/>
      <c r="CF50" s="979"/>
      <c r="CG50" s="979"/>
      <c r="CH50" s="979"/>
      <c r="CI50" s="979"/>
      <c r="CJ50" s="979"/>
      <c r="CK50" s="980"/>
      <c r="CL50" s="867" t="s">
        <v>1053</v>
      </c>
      <c r="CM50" s="868"/>
      <c r="CN50" s="868"/>
      <c r="CO50" s="868"/>
      <c r="CP50" s="868"/>
      <c r="CQ50" s="868"/>
      <c r="CR50" s="869"/>
      <c r="CS50" s="870"/>
      <c r="CT50" s="868"/>
      <c r="CU50" s="868"/>
      <c r="CV50" s="868"/>
      <c r="CW50" s="868"/>
      <c r="CX50" s="868"/>
      <c r="CY50" s="869"/>
      <c r="CZ50" s="870"/>
      <c r="DA50" s="868"/>
      <c r="DB50" s="868"/>
      <c r="DC50" s="868"/>
      <c r="DD50" s="868"/>
      <c r="DE50" s="868"/>
      <c r="DF50" s="868"/>
      <c r="DG50" s="868"/>
      <c r="DH50" s="868"/>
      <c r="DI50" s="868"/>
      <c r="DJ50" s="868"/>
      <c r="DK50" s="869"/>
      <c r="DL50" s="870"/>
      <c r="DM50" s="868"/>
      <c r="DN50" s="868"/>
      <c r="DO50" s="868"/>
      <c r="DP50" s="868"/>
      <c r="DQ50" s="868"/>
      <c r="DR50" s="868"/>
      <c r="DS50" s="868"/>
      <c r="DT50" s="868"/>
      <c r="DU50" s="868"/>
      <c r="DV50" s="869"/>
      <c r="DW50" s="871"/>
      <c r="DX50" s="872"/>
      <c r="DY50" s="872"/>
      <c r="DZ50" s="872"/>
      <c r="EA50" s="872"/>
      <c r="EB50" s="872"/>
      <c r="EC50" s="872"/>
      <c r="ED50" s="872"/>
      <c r="EE50" s="872"/>
      <c r="EF50" s="873"/>
      <c r="EG50" s="871"/>
      <c r="EH50" s="872"/>
      <c r="EI50" s="872"/>
      <c r="EJ50" s="872"/>
      <c r="EK50" s="872"/>
      <c r="EL50" s="872"/>
      <c r="EM50" s="872"/>
      <c r="EN50" s="872"/>
      <c r="EO50" s="872"/>
      <c r="EP50" s="873"/>
      <c r="EQ50" s="871"/>
      <c r="ER50" s="872"/>
      <c r="ES50" s="872"/>
      <c r="ET50" s="872"/>
      <c r="EU50" s="872"/>
      <c r="EV50" s="872"/>
      <c r="EW50" s="872"/>
      <c r="EX50" s="872"/>
      <c r="EY50" s="872"/>
      <c r="EZ50" s="873"/>
      <c r="FA50" s="874"/>
      <c r="FB50" s="875"/>
      <c r="FC50" s="875"/>
      <c r="FD50" s="875"/>
      <c r="FE50" s="875"/>
      <c r="FF50" s="875"/>
      <c r="FG50" s="875"/>
      <c r="FH50" s="875"/>
      <c r="FI50" s="875"/>
      <c r="FJ50" s="875"/>
      <c r="FK50" s="876"/>
    </row>
    <row r="51" spans="1:167" ht="15" customHeight="1" thickBot="1" x14ac:dyDescent="0.25">
      <c r="A51" s="975"/>
      <c r="B51" s="975"/>
      <c r="C51" s="975"/>
      <c r="D51" s="975"/>
      <c r="E51" s="975"/>
      <c r="F51" s="975"/>
      <c r="G51" s="975"/>
      <c r="H51" s="973"/>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c r="AL51" s="974"/>
      <c r="AM51" s="974"/>
      <c r="AN51" s="974"/>
      <c r="AO51" s="974"/>
      <c r="AP51" s="974"/>
      <c r="AQ51" s="974"/>
      <c r="AR51" s="974"/>
      <c r="AS51" s="974"/>
      <c r="AT51" s="974"/>
      <c r="AU51" s="974"/>
      <c r="AV51" s="974"/>
      <c r="AW51" s="974"/>
      <c r="AX51" s="974"/>
      <c r="AY51" s="974"/>
      <c r="AZ51" s="974"/>
      <c r="BA51" s="974"/>
      <c r="BB51" s="974"/>
      <c r="BC51" s="974"/>
      <c r="BD51" s="974"/>
      <c r="BE51" s="974"/>
      <c r="BF51" s="974"/>
      <c r="BG51" s="974"/>
      <c r="BH51" s="974"/>
      <c r="BI51" s="974"/>
      <c r="BJ51" s="974"/>
      <c r="BK51" s="974"/>
      <c r="BL51" s="974"/>
      <c r="BM51" s="974"/>
      <c r="BN51" s="974"/>
      <c r="BO51" s="974"/>
      <c r="BP51" s="974"/>
      <c r="BQ51" s="974"/>
      <c r="BR51" s="974"/>
      <c r="BS51" s="974"/>
      <c r="BT51" s="974"/>
      <c r="BU51" s="974"/>
      <c r="BV51" s="974"/>
      <c r="BW51" s="974"/>
      <c r="BX51" s="974"/>
      <c r="BY51" s="974"/>
      <c r="BZ51" s="974"/>
      <c r="CA51" s="974"/>
      <c r="CB51" s="974"/>
      <c r="CC51" s="974"/>
      <c r="CD51" s="974"/>
      <c r="CE51" s="974"/>
      <c r="CF51" s="974"/>
      <c r="CG51" s="974"/>
      <c r="CH51" s="974"/>
      <c r="CI51" s="974"/>
      <c r="CJ51" s="974"/>
      <c r="CK51" s="974"/>
      <c r="CL51" s="981"/>
      <c r="CM51" s="982"/>
      <c r="CN51" s="982"/>
      <c r="CO51" s="982"/>
      <c r="CP51" s="982"/>
      <c r="CQ51" s="982"/>
      <c r="CR51" s="983"/>
      <c r="CS51" s="984"/>
      <c r="CT51" s="982"/>
      <c r="CU51" s="982"/>
      <c r="CV51" s="982"/>
      <c r="CW51" s="982"/>
      <c r="CX51" s="982"/>
      <c r="CY51" s="983"/>
      <c r="CZ51" s="984"/>
      <c r="DA51" s="982"/>
      <c r="DB51" s="982"/>
      <c r="DC51" s="982"/>
      <c r="DD51" s="982"/>
      <c r="DE51" s="982"/>
      <c r="DF51" s="982"/>
      <c r="DG51" s="982"/>
      <c r="DH51" s="982"/>
      <c r="DI51" s="982"/>
      <c r="DJ51" s="982"/>
      <c r="DK51" s="983"/>
      <c r="DL51" s="984"/>
      <c r="DM51" s="982"/>
      <c r="DN51" s="982"/>
      <c r="DO51" s="982"/>
      <c r="DP51" s="982"/>
      <c r="DQ51" s="982"/>
      <c r="DR51" s="982"/>
      <c r="DS51" s="982"/>
      <c r="DT51" s="982"/>
      <c r="DU51" s="982"/>
      <c r="DV51" s="983"/>
      <c r="DW51" s="985"/>
      <c r="DX51" s="986"/>
      <c r="DY51" s="986"/>
      <c r="DZ51" s="986"/>
      <c r="EA51" s="986"/>
      <c r="EB51" s="986"/>
      <c r="EC51" s="986"/>
      <c r="ED51" s="986"/>
      <c r="EE51" s="986"/>
      <c r="EF51" s="987"/>
      <c r="EG51" s="985"/>
      <c r="EH51" s="986"/>
      <c r="EI51" s="986"/>
      <c r="EJ51" s="986"/>
      <c r="EK51" s="986"/>
      <c r="EL51" s="986"/>
      <c r="EM51" s="986"/>
      <c r="EN51" s="986"/>
      <c r="EO51" s="986"/>
      <c r="EP51" s="987"/>
      <c r="EQ51" s="985"/>
      <c r="ER51" s="986"/>
      <c r="ES51" s="986"/>
      <c r="ET51" s="986"/>
      <c r="EU51" s="986"/>
      <c r="EV51" s="986"/>
      <c r="EW51" s="986"/>
      <c r="EX51" s="986"/>
      <c r="EY51" s="986"/>
      <c r="EZ51" s="987"/>
      <c r="FA51" s="970"/>
      <c r="FB51" s="971"/>
      <c r="FC51" s="971"/>
      <c r="FD51" s="971"/>
      <c r="FE51" s="971"/>
      <c r="FF51" s="971"/>
      <c r="FG51" s="971"/>
      <c r="FH51" s="971"/>
      <c r="FI51" s="971"/>
      <c r="FJ51" s="971"/>
      <c r="FK51" s="972"/>
    </row>
    <row r="54" spans="1:167" ht="15" customHeight="1" x14ac:dyDescent="0.2">
      <c r="I54" s="482" t="s">
        <v>1054</v>
      </c>
      <c r="AQ54" s="811" t="s">
        <v>211</v>
      </c>
      <c r="AR54" s="811"/>
      <c r="AS54" s="811"/>
      <c r="AT54" s="811"/>
      <c r="AU54" s="811"/>
      <c r="AV54" s="811"/>
      <c r="AW54" s="811"/>
      <c r="AX54" s="811"/>
      <c r="AY54" s="811"/>
      <c r="AZ54" s="811"/>
      <c r="BA54" s="811"/>
      <c r="BB54" s="811"/>
      <c r="BC54" s="811"/>
      <c r="BD54" s="811"/>
      <c r="BE54" s="811"/>
      <c r="BF54" s="811"/>
      <c r="BG54" s="811"/>
      <c r="BH54" s="811"/>
      <c r="BK54" s="811"/>
      <c r="BL54" s="811"/>
      <c r="BM54" s="811"/>
      <c r="BN54" s="811"/>
      <c r="BO54" s="811"/>
      <c r="BP54" s="811"/>
      <c r="BQ54" s="811"/>
      <c r="BR54" s="811"/>
      <c r="BS54" s="811"/>
      <c r="BT54" s="811"/>
      <c r="BU54" s="811"/>
      <c r="BV54" s="811"/>
      <c r="BY54" s="811" t="s">
        <v>416</v>
      </c>
      <c r="BZ54" s="811"/>
      <c r="CA54" s="811"/>
      <c r="CB54" s="811"/>
      <c r="CC54" s="811"/>
      <c r="CD54" s="811"/>
      <c r="CE54" s="811"/>
      <c r="CF54" s="811"/>
      <c r="CG54" s="811"/>
      <c r="CH54" s="811"/>
      <c r="CI54" s="811"/>
      <c r="CJ54" s="811"/>
      <c r="CK54" s="811"/>
      <c r="CL54" s="811"/>
      <c r="CM54" s="811"/>
      <c r="CN54" s="811"/>
      <c r="CO54" s="811"/>
      <c r="CP54" s="811"/>
      <c r="CQ54" s="811"/>
      <c r="CR54" s="811"/>
    </row>
    <row r="55" spans="1:167" s="483" customFormat="1" ht="15" customHeight="1" x14ac:dyDescent="0.15">
      <c r="AQ55" s="969" t="s">
        <v>1055</v>
      </c>
      <c r="AR55" s="969"/>
      <c r="AS55" s="969"/>
      <c r="AT55" s="969"/>
      <c r="AU55" s="969"/>
      <c r="AV55" s="969"/>
      <c r="AW55" s="969"/>
      <c r="AX55" s="969"/>
      <c r="AY55" s="969"/>
      <c r="AZ55" s="969"/>
      <c r="BA55" s="969"/>
      <c r="BB55" s="969"/>
      <c r="BC55" s="969"/>
      <c r="BD55" s="969"/>
      <c r="BE55" s="969"/>
      <c r="BF55" s="969"/>
      <c r="BG55" s="969"/>
      <c r="BH55" s="969"/>
      <c r="BK55" s="969" t="s">
        <v>272</v>
      </c>
      <c r="BL55" s="969"/>
      <c r="BM55" s="969"/>
      <c r="BN55" s="969"/>
      <c r="BO55" s="969"/>
      <c r="BP55" s="969"/>
      <c r="BQ55" s="969"/>
      <c r="BR55" s="969"/>
      <c r="BS55" s="969"/>
      <c r="BT55" s="969"/>
      <c r="BU55" s="969"/>
      <c r="BV55" s="969"/>
      <c r="BY55" s="969" t="s">
        <v>273</v>
      </c>
      <c r="BZ55" s="969"/>
      <c r="CA55" s="969"/>
      <c r="CB55" s="969"/>
      <c r="CC55" s="969"/>
      <c r="CD55" s="969"/>
      <c r="CE55" s="969"/>
      <c r="CF55" s="969"/>
      <c r="CG55" s="969"/>
      <c r="CH55" s="969"/>
      <c r="CI55" s="969"/>
      <c r="CJ55" s="969"/>
      <c r="CK55" s="969"/>
      <c r="CL55" s="969"/>
      <c r="CM55" s="969"/>
      <c r="CN55" s="969"/>
      <c r="CO55" s="969"/>
      <c r="CP55" s="969"/>
      <c r="CQ55" s="969"/>
      <c r="CR55" s="969"/>
    </row>
    <row r="56" spans="1:167" ht="15" customHeight="1" x14ac:dyDescent="0.2">
      <c r="I56" s="482" t="s">
        <v>1056</v>
      </c>
      <c r="AM56" s="811" t="s">
        <v>223</v>
      </c>
      <c r="AN56" s="811"/>
      <c r="AO56" s="811"/>
      <c r="AP56" s="811"/>
      <c r="AQ56" s="811"/>
      <c r="AR56" s="811"/>
      <c r="AS56" s="811"/>
      <c r="AT56" s="811"/>
      <c r="AU56" s="811"/>
      <c r="AV56" s="811"/>
      <c r="AW56" s="811"/>
      <c r="AX56" s="811"/>
      <c r="AY56" s="811"/>
      <c r="AZ56" s="811"/>
      <c r="BA56" s="811"/>
      <c r="BB56" s="811"/>
      <c r="BC56" s="811"/>
      <c r="BD56" s="811"/>
      <c r="BG56" s="811"/>
      <c r="BH56" s="811"/>
      <c r="BI56" s="811"/>
      <c r="BJ56" s="811"/>
      <c r="BK56" s="811"/>
      <c r="BL56" s="811"/>
      <c r="BM56" s="811"/>
      <c r="BN56" s="811"/>
      <c r="BO56" s="811"/>
      <c r="BP56" s="811"/>
      <c r="BQ56" s="811"/>
      <c r="BR56" s="811"/>
      <c r="BS56" s="811"/>
      <c r="BT56" s="811"/>
      <c r="BU56" s="811"/>
      <c r="BV56" s="811"/>
      <c r="BW56" s="811"/>
      <c r="BX56" s="811"/>
      <c r="CA56" s="817" t="s">
        <v>417</v>
      </c>
      <c r="CB56" s="817"/>
      <c r="CC56" s="817"/>
      <c r="CD56" s="817"/>
      <c r="CE56" s="817"/>
      <c r="CF56" s="817"/>
      <c r="CG56" s="817"/>
      <c r="CH56" s="817"/>
      <c r="CI56" s="817"/>
      <c r="CJ56" s="817"/>
      <c r="CK56" s="817"/>
      <c r="CL56" s="817"/>
      <c r="CM56" s="817"/>
      <c r="CN56" s="817"/>
      <c r="CO56" s="817"/>
      <c r="CP56" s="817"/>
      <c r="CQ56" s="817"/>
      <c r="CR56" s="817"/>
    </row>
    <row r="57" spans="1:167" s="483" customFormat="1" ht="15" customHeight="1" x14ac:dyDescent="0.15">
      <c r="AM57" s="969" t="s">
        <v>1055</v>
      </c>
      <c r="AN57" s="969"/>
      <c r="AO57" s="969"/>
      <c r="AP57" s="969"/>
      <c r="AQ57" s="969"/>
      <c r="AR57" s="969"/>
      <c r="AS57" s="969"/>
      <c r="AT57" s="969"/>
      <c r="AU57" s="969"/>
      <c r="AV57" s="969"/>
      <c r="AW57" s="969"/>
      <c r="AX57" s="969"/>
      <c r="AY57" s="969"/>
      <c r="AZ57" s="969"/>
      <c r="BA57" s="969"/>
      <c r="BB57" s="969"/>
      <c r="BC57" s="969"/>
      <c r="BD57" s="969"/>
      <c r="BG57" s="969" t="s">
        <v>1057</v>
      </c>
      <c r="BH57" s="969"/>
      <c r="BI57" s="969"/>
      <c r="BJ57" s="969"/>
      <c r="BK57" s="969"/>
      <c r="BL57" s="969"/>
      <c r="BM57" s="969"/>
      <c r="BN57" s="969"/>
      <c r="BO57" s="969"/>
      <c r="BP57" s="969"/>
      <c r="BQ57" s="969"/>
      <c r="BR57" s="969"/>
      <c r="BS57" s="969"/>
      <c r="BT57" s="969"/>
      <c r="BU57" s="969"/>
      <c r="BV57" s="969"/>
      <c r="BW57" s="969"/>
      <c r="BX57" s="969"/>
      <c r="CA57" s="969" t="s">
        <v>1058</v>
      </c>
      <c r="CB57" s="969"/>
      <c r="CC57" s="969"/>
      <c r="CD57" s="969"/>
      <c r="CE57" s="969"/>
      <c r="CF57" s="969"/>
      <c r="CG57" s="969"/>
      <c r="CH57" s="969"/>
      <c r="CI57" s="969"/>
      <c r="CJ57" s="969"/>
      <c r="CK57" s="969"/>
      <c r="CL57" s="969"/>
      <c r="CM57" s="969"/>
      <c r="CN57" s="969"/>
      <c r="CO57" s="969"/>
      <c r="CP57" s="969"/>
      <c r="CQ57" s="969"/>
      <c r="CR57" s="969"/>
    </row>
    <row r="58" spans="1:167" s="483" customFormat="1" ht="15" customHeight="1" x14ac:dyDescent="0.2">
      <c r="I58" s="1010" t="s">
        <v>1078</v>
      </c>
      <c r="J58" s="1010"/>
      <c r="K58" s="1010"/>
      <c r="L58" s="1010"/>
      <c r="M58" s="1010"/>
      <c r="N58" s="1010"/>
      <c r="O58" s="1010"/>
      <c r="P58" s="1010"/>
      <c r="Q58" s="1010"/>
      <c r="R58" s="1010"/>
      <c r="S58" s="1010"/>
      <c r="AM58" s="811" t="s">
        <v>1079</v>
      </c>
      <c r="AN58" s="811"/>
      <c r="AO58" s="811"/>
      <c r="AP58" s="811"/>
      <c r="AQ58" s="811"/>
      <c r="AR58" s="811"/>
      <c r="AS58" s="811"/>
      <c r="AT58" s="811"/>
      <c r="AU58" s="811"/>
      <c r="AV58" s="811"/>
      <c r="AW58" s="811"/>
      <c r="AX58" s="811"/>
      <c r="AY58" s="811"/>
      <c r="AZ58" s="811"/>
      <c r="BA58" s="811"/>
      <c r="BB58" s="811"/>
      <c r="BC58" s="811"/>
      <c r="BD58" s="811"/>
      <c r="BE58" s="488"/>
      <c r="BF58" s="488"/>
      <c r="BG58" s="811"/>
      <c r="BH58" s="811"/>
      <c r="BI58" s="811"/>
      <c r="BJ58" s="811"/>
      <c r="BK58" s="811"/>
      <c r="BL58" s="811"/>
      <c r="BM58" s="811"/>
      <c r="BN58" s="811"/>
      <c r="BO58" s="811"/>
      <c r="BP58" s="811"/>
      <c r="BQ58" s="811"/>
      <c r="BR58" s="811"/>
      <c r="BS58" s="811"/>
      <c r="BT58" s="811"/>
      <c r="BU58" s="811"/>
      <c r="BV58" s="811"/>
      <c r="BW58" s="811"/>
      <c r="BX58" s="811"/>
      <c r="BY58" s="488"/>
      <c r="BZ58" s="488"/>
      <c r="CA58" s="817" t="s">
        <v>616</v>
      </c>
      <c r="CB58" s="817"/>
      <c r="CC58" s="817"/>
      <c r="CD58" s="817"/>
      <c r="CE58" s="817"/>
      <c r="CF58" s="817"/>
      <c r="CG58" s="817"/>
      <c r="CH58" s="817"/>
      <c r="CI58" s="817"/>
      <c r="CJ58" s="817"/>
      <c r="CK58" s="817"/>
      <c r="CL58" s="817"/>
      <c r="CM58" s="817"/>
      <c r="CN58" s="817"/>
      <c r="CO58" s="817"/>
      <c r="CP58" s="817"/>
      <c r="CQ58" s="817"/>
      <c r="CR58" s="817"/>
    </row>
    <row r="59" spans="1:167" s="483" customFormat="1" ht="15" customHeight="1" x14ac:dyDescent="0.2">
      <c r="I59" s="496"/>
      <c r="J59" s="496"/>
      <c r="K59" s="496"/>
      <c r="L59" s="496"/>
      <c r="M59" s="496"/>
      <c r="N59" s="496"/>
      <c r="O59" s="496"/>
      <c r="P59" s="496"/>
      <c r="Q59" s="496"/>
      <c r="R59" s="496"/>
      <c r="S59" s="496"/>
      <c r="AM59" s="969" t="s">
        <v>1055</v>
      </c>
      <c r="AN59" s="969"/>
      <c r="AO59" s="969"/>
      <c r="AP59" s="969"/>
      <c r="AQ59" s="969"/>
      <c r="AR59" s="969"/>
      <c r="AS59" s="969"/>
      <c r="AT59" s="969"/>
      <c r="AU59" s="969"/>
      <c r="AV59" s="969"/>
      <c r="AW59" s="969"/>
      <c r="AX59" s="969"/>
      <c r="AY59" s="969"/>
      <c r="AZ59" s="969"/>
      <c r="BA59" s="969"/>
      <c r="BB59" s="969"/>
      <c r="BC59" s="969"/>
      <c r="BD59" s="969"/>
      <c r="BG59" s="969" t="s">
        <v>1057</v>
      </c>
      <c r="BH59" s="969"/>
      <c r="BI59" s="969"/>
      <c r="BJ59" s="969"/>
      <c r="BK59" s="969"/>
      <c r="BL59" s="969"/>
      <c r="BM59" s="969"/>
      <c r="BN59" s="969"/>
      <c r="BO59" s="969"/>
      <c r="BP59" s="969"/>
      <c r="BQ59" s="969"/>
      <c r="BR59" s="969"/>
      <c r="BS59" s="969"/>
      <c r="BT59" s="969"/>
      <c r="BU59" s="969"/>
      <c r="BV59" s="969"/>
      <c r="BW59" s="969"/>
      <c r="BX59" s="969"/>
      <c r="CA59" s="969" t="s">
        <v>1058</v>
      </c>
      <c r="CB59" s="969"/>
      <c r="CC59" s="969"/>
      <c r="CD59" s="969"/>
      <c r="CE59" s="969"/>
      <c r="CF59" s="969"/>
      <c r="CG59" s="969"/>
      <c r="CH59" s="969"/>
      <c r="CI59" s="969"/>
      <c r="CJ59" s="969"/>
      <c r="CK59" s="969"/>
      <c r="CL59" s="969"/>
      <c r="CM59" s="969"/>
      <c r="CN59" s="969"/>
      <c r="CO59" s="969"/>
      <c r="CP59" s="969"/>
      <c r="CQ59" s="969"/>
      <c r="CR59" s="969"/>
    </row>
    <row r="60" spans="1:167" ht="15" customHeight="1" x14ac:dyDescent="0.2">
      <c r="I60" s="933" t="s">
        <v>794</v>
      </c>
      <c r="J60" s="933"/>
      <c r="K60" s="817"/>
      <c r="L60" s="817"/>
      <c r="M60" s="817"/>
      <c r="N60" s="902" t="s">
        <v>794</v>
      </c>
      <c r="O60" s="902"/>
      <c r="Q60" s="817"/>
      <c r="R60" s="817"/>
      <c r="S60" s="817"/>
      <c r="T60" s="817"/>
      <c r="U60" s="817"/>
      <c r="V60" s="817"/>
      <c r="W60" s="817"/>
      <c r="X60" s="817"/>
      <c r="Y60" s="817"/>
      <c r="Z60" s="817"/>
      <c r="AA60" s="817"/>
      <c r="AB60" s="817"/>
      <c r="AC60" s="817"/>
      <c r="AD60" s="817"/>
      <c r="AE60" s="817"/>
      <c r="AF60" s="933">
        <v>20</v>
      </c>
      <c r="AG60" s="933"/>
      <c r="AH60" s="933"/>
      <c r="AI60" s="934"/>
      <c r="AJ60" s="934"/>
      <c r="AK60" s="934"/>
      <c r="AL60" s="902" t="s">
        <v>795</v>
      </c>
      <c r="AM60" s="902"/>
      <c r="AN60" s="902"/>
    </row>
    <row r="61" spans="1:167" ht="15" customHeight="1" thickBot="1" x14ac:dyDescent="0.25"/>
    <row r="62" spans="1:167" ht="15" customHeight="1" x14ac:dyDescent="0.2">
      <c r="A62" s="503"/>
      <c r="B62" s="503"/>
      <c r="C62" s="503"/>
      <c r="D62" s="503"/>
      <c r="E62" s="503"/>
      <c r="F62" s="503"/>
      <c r="G62" s="503"/>
      <c r="H62" s="503"/>
      <c r="I62" s="503"/>
      <c r="J62" s="503"/>
      <c r="K62" s="503"/>
      <c r="L62" s="503"/>
      <c r="M62" s="503"/>
      <c r="N62" s="503"/>
      <c r="O62" s="503"/>
      <c r="P62" s="503"/>
      <c r="Q62" s="503"/>
      <c r="R62" s="503"/>
      <c r="S62" s="503"/>
      <c r="T62" s="503"/>
      <c r="U62" s="503"/>
      <c r="V62" s="503"/>
      <c r="W62" s="503"/>
      <c r="X62" s="503"/>
      <c r="Y62" s="503"/>
      <c r="Z62" s="503"/>
      <c r="AA62" s="503"/>
      <c r="AB62" s="503"/>
      <c r="AC62" s="503"/>
      <c r="AD62" s="503"/>
      <c r="AE62" s="503"/>
      <c r="AF62" s="503"/>
      <c r="AG62" s="503"/>
      <c r="AH62" s="503"/>
      <c r="AI62" s="503"/>
      <c r="AJ62" s="503"/>
      <c r="AK62" s="503"/>
      <c r="AL62" s="503"/>
      <c r="AM62" s="503"/>
      <c r="AN62" s="503"/>
      <c r="AO62" s="503"/>
      <c r="AP62" s="503"/>
      <c r="AQ62" s="503"/>
      <c r="AR62" s="503"/>
      <c r="AS62" s="503"/>
      <c r="AT62" s="503"/>
      <c r="AU62" s="503"/>
      <c r="AV62" s="503"/>
      <c r="AW62" s="503"/>
      <c r="AX62" s="503"/>
      <c r="AY62" s="503"/>
      <c r="AZ62" s="503"/>
      <c r="BA62" s="503"/>
      <c r="BB62" s="503"/>
      <c r="BC62" s="503"/>
      <c r="BD62" s="503"/>
      <c r="BE62" s="503"/>
      <c r="BF62" s="503"/>
      <c r="BG62" s="503"/>
      <c r="BH62" s="503"/>
      <c r="BI62" s="503"/>
      <c r="BJ62" s="503"/>
      <c r="BK62" s="503"/>
      <c r="BL62" s="503"/>
      <c r="BM62" s="503"/>
      <c r="BN62" s="503"/>
      <c r="BO62" s="503"/>
      <c r="BP62" s="503"/>
      <c r="BQ62" s="503"/>
      <c r="BR62" s="503"/>
      <c r="BS62" s="503"/>
      <c r="BT62" s="503"/>
      <c r="BU62" s="503"/>
      <c r="BV62" s="503"/>
      <c r="BW62" s="503"/>
      <c r="BX62" s="503"/>
      <c r="BY62" s="503"/>
      <c r="BZ62" s="503"/>
      <c r="CA62" s="503"/>
      <c r="CB62" s="503"/>
      <c r="CC62" s="503"/>
      <c r="CD62" s="503"/>
      <c r="CE62" s="503"/>
      <c r="CF62" s="503"/>
      <c r="CG62" s="503"/>
      <c r="CH62" s="503"/>
      <c r="CI62" s="503"/>
      <c r="CJ62" s="503"/>
      <c r="CK62" s="503"/>
      <c r="CL62" s="503"/>
      <c r="CM62" s="504"/>
    </row>
    <row r="63" spans="1:167" s="486" customFormat="1" ht="15" customHeight="1" x14ac:dyDescent="0.2">
      <c r="A63" s="505" t="s">
        <v>1059</v>
      </c>
      <c r="B63" s="506"/>
      <c r="C63" s="506"/>
      <c r="D63" s="506"/>
      <c r="E63" s="506"/>
      <c r="F63" s="506"/>
      <c r="G63" s="506"/>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7"/>
    </row>
    <row r="64" spans="1:167" s="486" customFormat="1" ht="15" customHeight="1" x14ac:dyDescent="0.25">
      <c r="A64" s="963" t="s">
        <v>1207</v>
      </c>
      <c r="B64" s="964"/>
      <c r="C64" s="964"/>
      <c r="D64" s="964"/>
      <c r="E64" s="964"/>
      <c r="F64" s="964"/>
      <c r="G64" s="964"/>
      <c r="H64" s="964"/>
      <c r="I64" s="964"/>
      <c r="J64" s="964"/>
      <c r="K64" s="964"/>
      <c r="L64" s="964"/>
      <c r="M64" s="964"/>
      <c r="N64" s="964"/>
      <c r="O64" s="964"/>
      <c r="P64" s="964"/>
      <c r="Q64" s="964"/>
      <c r="R64" s="964"/>
      <c r="S64" s="964"/>
      <c r="T64" s="964"/>
      <c r="U64" s="964"/>
      <c r="V64" s="964"/>
      <c r="W64" s="964"/>
      <c r="X64" s="964"/>
      <c r="Y64" s="964"/>
      <c r="Z64" s="964"/>
      <c r="AA64" s="964"/>
      <c r="AB64" s="964"/>
      <c r="AC64" s="964"/>
      <c r="AD64" s="964"/>
      <c r="AE64" s="964"/>
      <c r="AF64" s="964"/>
      <c r="AG64" s="964"/>
      <c r="AH64" s="964"/>
      <c r="AI64" s="964"/>
      <c r="AJ64" s="964"/>
      <c r="AK64" s="964"/>
      <c r="AL64" s="964"/>
      <c r="AM64" s="964"/>
      <c r="AN64" s="964"/>
      <c r="AO64" s="964"/>
      <c r="AP64" s="964"/>
      <c r="AQ64" s="964"/>
      <c r="AR64" s="964"/>
      <c r="AS64" s="964"/>
      <c r="AT64" s="964"/>
      <c r="AU64" s="964"/>
      <c r="AV64" s="964"/>
      <c r="AW64" s="964"/>
      <c r="AX64" s="964"/>
      <c r="AY64" s="964"/>
      <c r="AZ64" s="964"/>
      <c r="BA64" s="964"/>
      <c r="BB64" s="964"/>
      <c r="BC64" s="964"/>
      <c r="BD64" s="964"/>
      <c r="BE64" s="964"/>
      <c r="BF64" s="964"/>
      <c r="BG64" s="964"/>
      <c r="BH64" s="964"/>
      <c r="BI64" s="964"/>
      <c r="BJ64" s="964"/>
      <c r="BK64" s="964"/>
      <c r="BL64" s="964"/>
      <c r="BM64" s="964"/>
      <c r="BN64" s="964"/>
      <c r="BO64" s="964"/>
      <c r="BP64" s="964"/>
      <c r="BQ64" s="964"/>
      <c r="BR64" s="964"/>
      <c r="BS64" s="964"/>
      <c r="BT64" s="964"/>
      <c r="BU64" s="964"/>
      <c r="BV64" s="964"/>
      <c r="BW64" s="964"/>
      <c r="BX64" s="964"/>
      <c r="BY64" s="964"/>
      <c r="BZ64" s="964"/>
      <c r="CA64" s="964"/>
      <c r="CB64" s="964"/>
      <c r="CC64" s="964"/>
      <c r="CD64" s="964"/>
      <c r="CE64" s="964"/>
      <c r="CF64" s="964"/>
      <c r="CG64" s="964"/>
      <c r="CH64" s="964"/>
      <c r="CI64" s="964"/>
      <c r="CJ64" s="964"/>
      <c r="CK64" s="964"/>
      <c r="CL64" s="964"/>
      <c r="CM64" s="965"/>
    </row>
    <row r="65" spans="1:167" s="486" customFormat="1" ht="15" customHeight="1" x14ac:dyDescent="0.2">
      <c r="A65" s="966" t="s">
        <v>1060</v>
      </c>
      <c r="B65" s="967"/>
      <c r="C65" s="967"/>
      <c r="D65" s="967"/>
      <c r="E65" s="967"/>
      <c r="F65" s="967"/>
      <c r="G65" s="967"/>
      <c r="H65" s="967"/>
      <c r="I65" s="967"/>
      <c r="J65" s="967"/>
      <c r="K65" s="967"/>
      <c r="L65" s="967"/>
      <c r="M65" s="967"/>
      <c r="N65" s="967"/>
      <c r="O65" s="967"/>
      <c r="P65" s="967"/>
      <c r="Q65" s="967"/>
      <c r="R65" s="967"/>
      <c r="S65" s="967"/>
      <c r="T65" s="967"/>
      <c r="U65" s="967"/>
      <c r="V65" s="967"/>
      <c r="W65" s="967"/>
      <c r="X65" s="967"/>
      <c r="Y65" s="967"/>
      <c r="Z65" s="967"/>
      <c r="AA65" s="967"/>
      <c r="AB65" s="967"/>
      <c r="AC65" s="967"/>
      <c r="AD65" s="967"/>
      <c r="AE65" s="967"/>
      <c r="AF65" s="967"/>
      <c r="AG65" s="967"/>
      <c r="AH65" s="967"/>
      <c r="AI65" s="967"/>
      <c r="AJ65" s="967"/>
      <c r="AK65" s="967"/>
      <c r="AL65" s="967"/>
      <c r="AM65" s="967"/>
      <c r="AN65" s="967"/>
      <c r="AO65" s="967"/>
      <c r="AP65" s="967"/>
      <c r="AQ65" s="967"/>
      <c r="AR65" s="967"/>
      <c r="AS65" s="967"/>
      <c r="AT65" s="967"/>
      <c r="AU65" s="967"/>
      <c r="AV65" s="967"/>
      <c r="AW65" s="967"/>
      <c r="AX65" s="967"/>
      <c r="AY65" s="967"/>
      <c r="AZ65" s="967"/>
      <c r="BA65" s="967"/>
      <c r="BB65" s="967"/>
      <c r="BC65" s="967"/>
      <c r="BD65" s="967"/>
      <c r="BE65" s="967"/>
      <c r="BF65" s="967"/>
      <c r="BG65" s="967"/>
      <c r="BH65" s="967"/>
      <c r="BI65" s="967"/>
      <c r="BJ65" s="967"/>
      <c r="BK65" s="967"/>
      <c r="BL65" s="967"/>
      <c r="BM65" s="967"/>
      <c r="BN65" s="967"/>
      <c r="BO65" s="967"/>
      <c r="BP65" s="967"/>
      <c r="BQ65" s="967"/>
      <c r="BR65" s="967"/>
      <c r="BS65" s="967"/>
      <c r="BT65" s="967"/>
      <c r="BU65" s="967"/>
      <c r="BV65" s="967"/>
      <c r="BW65" s="967"/>
      <c r="BX65" s="967"/>
      <c r="BY65" s="967"/>
      <c r="BZ65" s="967"/>
      <c r="CA65" s="967"/>
      <c r="CB65" s="967"/>
      <c r="CC65" s="967"/>
      <c r="CD65" s="967"/>
      <c r="CE65" s="967"/>
      <c r="CF65" s="967"/>
      <c r="CG65" s="967"/>
      <c r="CH65" s="967"/>
      <c r="CI65" s="967"/>
      <c r="CJ65" s="967"/>
      <c r="CK65" s="967"/>
      <c r="CL65" s="967"/>
      <c r="CM65" s="968"/>
    </row>
    <row r="66" spans="1:167" s="486" customFormat="1" ht="15" customHeight="1" x14ac:dyDescent="0.2">
      <c r="A66" s="512"/>
      <c r="B66" s="513"/>
      <c r="C66" s="513"/>
      <c r="D66" s="513"/>
      <c r="E66" s="513"/>
      <c r="F66" s="513"/>
      <c r="G66" s="513"/>
      <c r="H66" s="513"/>
      <c r="I66" s="513"/>
      <c r="J66" s="513"/>
      <c r="K66" s="513"/>
      <c r="L66" s="513"/>
      <c r="M66" s="513"/>
      <c r="N66" s="513"/>
      <c r="O66" s="513"/>
      <c r="P66" s="513"/>
      <c r="Q66" s="513"/>
      <c r="R66" s="513"/>
      <c r="S66" s="513"/>
      <c r="T66" s="513"/>
      <c r="U66" s="513"/>
      <c r="V66" s="513"/>
      <c r="W66" s="513"/>
      <c r="X66" s="513"/>
      <c r="Y66" s="513"/>
      <c r="Z66" s="513"/>
      <c r="AA66" s="513"/>
      <c r="AB66" s="513"/>
      <c r="AC66" s="513"/>
      <c r="AD66" s="513"/>
      <c r="AE66" s="513"/>
      <c r="AF66" s="513"/>
      <c r="AG66" s="513"/>
      <c r="AH66" s="513"/>
      <c r="AI66" s="513"/>
      <c r="AJ66" s="513"/>
      <c r="AK66" s="513"/>
      <c r="AL66" s="513"/>
      <c r="AM66" s="513"/>
      <c r="AN66" s="513"/>
      <c r="AO66" s="513"/>
      <c r="AP66" s="513"/>
      <c r="AQ66" s="513"/>
      <c r="AR66" s="513"/>
      <c r="AS66" s="513"/>
      <c r="AT66" s="513"/>
      <c r="AU66" s="513"/>
      <c r="AV66" s="513"/>
      <c r="AW66" s="513"/>
      <c r="AX66" s="513"/>
      <c r="AY66" s="513"/>
      <c r="AZ66" s="513"/>
      <c r="BA66" s="513"/>
      <c r="BB66" s="513"/>
      <c r="BC66" s="513"/>
      <c r="BD66" s="513"/>
      <c r="BE66" s="513"/>
      <c r="BF66" s="513"/>
      <c r="BG66" s="513"/>
      <c r="BH66" s="513"/>
      <c r="BI66" s="513"/>
      <c r="BJ66" s="513"/>
      <c r="BK66" s="513"/>
      <c r="BL66" s="513"/>
      <c r="BM66" s="513"/>
      <c r="BN66" s="513"/>
      <c r="BO66" s="513"/>
      <c r="BP66" s="513"/>
      <c r="BQ66" s="513"/>
      <c r="BR66" s="513"/>
      <c r="BS66" s="513"/>
      <c r="BT66" s="513"/>
      <c r="BU66" s="513"/>
      <c r="BV66" s="513"/>
      <c r="BW66" s="513"/>
      <c r="BX66" s="513"/>
      <c r="BY66" s="513"/>
      <c r="BZ66" s="513"/>
      <c r="CA66" s="513"/>
      <c r="CB66" s="513"/>
      <c r="CC66" s="513"/>
      <c r="CD66" s="513"/>
      <c r="CE66" s="513"/>
      <c r="CF66" s="513"/>
      <c r="CG66" s="513"/>
      <c r="CH66" s="513"/>
      <c r="CI66" s="513"/>
      <c r="CJ66" s="513"/>
      <c r="CK66" s="513"/>
      <c r="CL66" s="513"/>
      <c r="CM66" s="514"/>
    </row>
    <row r="67" spans="1:167" s="486" customFormat="1" ht="15" customHeight="1" x14ac:dyDescent="0.25">
      <c r="A67" s="963"/>
      <c r="B67" s="964"/>
      <c r="C67" s="964"/>
      <c r="D67" s="964"/>
      <c r="E67" s="964"/>
      <c r="F67" s="964"/>
      <c r="G67" s="964"/>
      <c r="H67" s="964"/>
      <c r="I67" s="964"/>
      <c r="J67" s="964"/>
      <c r="K67" s="964"/>
      <c r="L67" s="964"/>
      <c r="M67" s="964"/>
      <c r="N67" s="964"/>
      <c r="O67" s="964"/>
      <c r="P67" s="964"/>
      <c r="Q67" s="964"/>
      <c r="R67" s="964"/>
      <c r="S67" s="964"/>
      <c r="T67" s="964"/>
      <c r="U67" s="964"/>
      <c r="V67" s="964"/>
      <c r="W67" s="964"/>
      <c r="X67" s="964"/>
      <c r="Y67" s="964"/>
      <c r="Z67" s="515"/>
      <c r="AA67" s="515"/>
      <c r="AB67" s="515"/>
      <c r="AC67" s="515"/>
      <c r="AD67" s="515"/>
      <c r="AE67" s="515"/>
      <c r="AF67" s="515"/>
      <c r="AG67" s="515"/>
      <c r="AH67" s="964" t="s">
        <v>1208</v>
      </c>
      <c r="AI67" s="964"/>
      <c r="AJ67" s="964"/>
      <c r="AK67" s="964"/>
      <c r="AL67" s="964"/>
      <c r="AM67" s="964"/>
      <c r="AN67" s="964"/>
      <c r="AO67" s="964"/>
      <c r="AP67" s="964"/>
      <c r="AQ67" s="964"/>
      <c r="AR67" s="964"/>
      <c r="AS67" s="964"/>
      <c r="AT67" s="964"/>
      <c r="AU67" s="964"/>
      <c r="AV67" s="964"/>
      <c r="AW67" s="964"/>
      <c r="AX67" s="964"/>
      <c r="AY67" s="964"/>
      <c r="AZ67" s="964"/>
      <c r="BA67" s="964"/>
      <c r="BB67" s="964"/>
      <c r="BC67" s="964"/>
      <c r="BD67" s="964"/>
      <c r="BE67" s="964"/>
      <c r="BF67" s="964"/>
      <c r="BG67" s="964"/>
      <c r="BH67" s="964"/>
      <c r="BI67" s="964"/>
      <c r="BJ67" s="964"/>
      <c r="BK67" s="964"/>
      <c r="BL67" s="964"/>
      <c r="BM67" s="964"/>
      <c r="BN67" s="964"/>
      <c r="BO67" s="964"/>
      <c r="BP67" s="964"/>
      <c r="BQ67" s="964"/>
      <c r="BR67" s="964"/>
      <c r="BS67" s="964"/>
      <c r="BT67" s="964"/>
      <c r="BU67" s="964"/>
      <c r="BV67" s="964"/>
      <c r="BW67" s="964"/>
      <c r="BX67" s="964"/>
      <c r="BY67" s="964"/>
      <c r="BZ67" s="964"/>
      <c r="CA67" s="964"/>
      <c r="CB67" s="964"/>
      <c r="CC67" s="964"/>
      <c r="CD67" s="964"/>
      <c r="CE67" s="964"/>
      <c r="CF67" s="964"/>
      <c r="CG67" s="964"/>
      <c r="CH67" s="964"/>
      <c r="CI67" s="964"/>
      <c r="CJ67" s="964"/>
      <c r="CK67" s="964"/>
      <c r="CL67" s="964"/>
      <c r="CM67" s="965"/>
    </row>
    <row r="68" spans="1:167" s="486" customFormat="1" ht="15" customHeight="1" x14ac:dyDescent="0.25">
      <c r="A68" s="966" t="s">
        <v>272</v>
      </c>
      <c r="B68" s="967"/>
      <c r="C68" s="967"/>
      <c r="D68" s="967"/>
      <c r="E68" s="967"/>
      <c r="F68" s="967"/>
      <c r="G68" s="967"/>
      <c r="H68" s="967"/>
      <c r="I68" s="967"/>
      <c r="J68" s="967"/>
      <c r="K68" s="967"/>
      <c r="L68" s="967"/>
      <c r="M68" s="967"/>
      <c r="N68" s="967"/>
      <c r="O68" s="967"/>
      <c r="P68" s="967"/>
      <c r="Q68" s="967"/>
      <c r="R68" s="967"/>
      <c r="S68" s="967"/>
      <c r="T68" s="967"/>
      <c r="U68" s="967"/>
      <c r="V68" s="967"/>
      <c r="W68" s="967"/>
      <c r="X68" s="967"/>
      <c r="Y68" s="967"/>
      <c r="Z68" s="515"/>
      <c r="AA68" s="515"/>
      <c r="AB68" s="515"/>
      <c r="AC68" s="515"/>
      <c r="AD68" s="515"/>
      <c r="AE68" s="515"/>
      <c r="AF68" s="515"/>
      <c r="AG68" s="515"/>
      <c r="AH68" s="967" t="s">
        <v>273</v>
      </c>
      <c r="AI68" s="967"/>
      <c r="AJ68" s="967"/>
      <c r="AK68" s="967"/>
      <c r="AL68" s="967"/>
      <c r="AM68" s="967"/>
      <c r="AN68" s="967"/>
      <c r="AO68" s="967"/>
      <c r="AP68" s="967"/>
      <c r="AQ68" s="967"/>
      <c r="AR68" s="967"/>
      <c r="AS68" s="967"/>
      <c r="AT68" s="967"/>
      <c r="AU68" s="967"/>
      <c r="AV68" s="967"/>
      <c r="AW68" s="967"/>
      <c r="AX68" s="967"/>
      <c r="AY68" s="967"/>
      <c r="AZ68" s="967"/>
      <c r="BA68" s="967"/>
      <c r="BB68" s="967"/>
      <c r="BC68" s="967"/>
      <c r="BD68" s="967"/>
      <c r="BE68" s="967"/>
      <c r="BF68" s="967"/>
      <c r="BG68" s="967"/>
      <c r="BH68" s="967"/>
      <c r="BI68" s="967"/>
      <c r="BJ68" s="967"/>
      <c r="BK68" s="967"/>
      <c r="BL68" s="967"/>
      <c r="BM68" s="967"/>
      <c r="BN68" s="967"/>
      <c r="BO68" s="967"/>
      <c r="BP68" s="967"/>
      <c r="BQ68" s="967"/>
      <c r="BR68" s="967"/>
      <c r="BS68" s="967"/>
      <c r="BT68" s="967"/>
      <c r="BU68" s="967"/>
      <c r="BV68" s="967"/>
      <c r="BW68" s="967"/>
      <c r="BX68" s="967"/>
      <c r="BY68" s="967"/>
      <c r="BZ68" s="967"/>
      <c r="CA68" s="967"/>
      <c r="CB68" s="967"/>
      <c r="CC68" s="967"/>
      <c r="CD68" s="967"/>
      <c r="CE68" s="967"/>
      <c r="CF68" s="967"/>
      <c r="CG68" s="967"/>
      <c r="CH68" s="967"/>
      <c r="CI68" s="967"/>
      <c r="CJ68" s="967"/>
      <c r="CK68" s="967"/>
      <c r="CL68" s="967"/>
      <c r="CM68" s="968"/>
    </row>
    <row r="69" spans="1:167" s="486" customFormat="1" ht="15" customHeight="1" x14ac:dyDescent="0.25">
      <c r="A69" s="516"/>
      <c r="B69" s="515"/>
      <c r="C69" s="515"/>
      <c r="D69" s="515"/>
      <c r="E69" s="515"/>
      <c r="F69" s="515"/>
      <c r="G69" s="515"/>
      <c r="H69" s="515"/>
      <c r="I69" s="515"/>
      <c r="J69" s="515"/>
      <c r="K69" s="515"/>
      <c r="L69" s="515"/>
      <c r="M69" s="515"/>
      <c r="N69" s="515"/>
      <c r="O69" s="515"/>
      <c r="P69" s="515"/>
      <c r="Q69" s="515"/>
      <c r="R69" s="515"/>
      <c r="S69" s="515"/>
      <c r="T69" s="515"/>
      <c r="U69" s="515"/>
      <c r="V69" s="515"/>
      <c r="W69" s="515"/>
      <c r="X69" s="515"/>
      <c r="Y69" s="515"/>
      <c r="Z69" s="515"/>
      <c r="AA69" s="515"/>
      <c r="AB69" s="515"/>
      <c r="AC69" s="515"/>
      <c r="AD69" s="515"/>
      <c r="AE69" s="515"/>
      <c r="AF69" s="515"/>
      <c r="AG69" s="515"/>
      <c r="AH69" s="515"/>
      <c r="AI69" s="515"/>
      <c r="AJ69" s="515"/>
      <c r="AK69" s="515"/>
      <c r="AL69" s="515"/>
      <c r="AM69" s="515"/>
      <c r="AN69" s="515"/>
      <c r="AO69" s="515"/>
      <c r="AP69" s="515"/>
      <c r="AQ69" s="515"/>
      <c r="AR69" s="515"/>
      <c r="AS69" s="515"/>
      <c r="AT69" s="515"/>
      <c r="AU69" s="515"/>
      <c r="AV69" s="515"/>
      <c r="AW69" s="515"/>
      <c r="AX69" s="515"/>
      <c r="AY69" s="515"/>
      <c r="AZ69" s="515"/>
      <c r="BA69" s="515"/>
      <c r="BB69" s="515"/>
      <c r="BC69" s="515"/>
      <c r="BD69" s="515"/>
      <c r="BE69" s="515"/>
      <c r="BF69" s="515"/>
      <c r="BG69" s="515"/>
      <c r="BH69" s="515"/>
      <c r="BI69" s="515"/>
      <c r="BJ69" s="515"/>
      <c r="BK69" s="515"/>
      <c r="BL69" s="515"/>
      <c r="BM69" s="515"/>
      <c r="BN69" s="515"/>
      <c r="BO69" s="515"/>
      <c r="BP69" s="515"/>
      <c r="BQ69" s="515"/>
      <c r="BR69" s="515"/>
      <c r="BS69" s="515"/>
      <c r="BT69" s="515"/>
      <c r="BU69" s="515"/>
      <c r="BV69" s="515"/>
      <c r="BW69" s="515"/>
      <c r="BX69" s="515"/>
      <c r="BY69" s="515"/>
      <c r="BZ69" s="515"/>
      <c r="CA69" s="515"/>
      <c r="CB69" s="515"/>
      <c r="CC69" s="515"/>
      <c r="CD69" s="515"/>
      <c r="CE69" s="515"/>
      <c r="CF69" s="515"/>
      <c r="CG69" s="515"/>
      <c r="CH69" s="515"/>
      <c r="CI69" s="515"/>
      <c r="CJ69" s="515"/>
      <c r="CK69" s="515"/>
      <c r="CL69" s="515"/>
      <c r="CM69" s="517"/>
    </row>
    <row r="70" spans="1:167" s="486" customFormat="1" ht="15" customHeight="1" x14ac:dyDescent="0.25">
      <c r="A70" s="959" t="s">
        <v>794</v>
      </c>
      <c r="B70" s="960"/>
      <c r="C70" s="961"/>
      <c r="D70" s="961"/>
      <c r="E70" s="961"/>
      <c r="F70" s="954" t="s">
        <v>794</v>
      </c>
      <c r="G70" s="954"/>
      <c r="H70" s="515"/>
      <c r="I70" s="961"/>
      <c r="J70" s="961"/>
      <c r="K70" s="961"/>
      <c r="L70" s="961"/>
      <c r="M70" s="961"/>
      <c r="N70" s="961"/>
      <c r="O70" s="961"/>
      <c r="P70" s="961"/>
      <c r="Q70" s="961"/>
      <c r="R70" s="961"/>
      <c r="S70" s="961"/>
      <c r="T70" s="961"/>
      <c r="U70" s="961"/>
      <c r="V70" s="961"/>
      <c r="W70" s="961"/>
      <c r="X70" s="960">
        <v>20</v>
      </c>
      <c r="Y70" s="960"/>
      <c r="Z70" s="960"/>
      <c r="AA70" s="962" t="s">
        <v>796</v>
      </c>
      <c r="AB70" s="962"/>
      <c r="AC70" s="962"/>
      <c r="AD70" s="954" t="s">
        <v>795</v>
      </c>
      <c r="AE70" s="954"/>
      <c r="AF70" s="954"/>
      <c r="AG70" s="515"/>
      <c r="AH70" s="515"/>
      <c r="AI70" s="515"/>
      <c r="AJ70" s="515"/>
      <c r="AK70" s="515"/>
      <c r="AL70" s="515"/>
      <c r="AM70" s="515"/>
      <c r="AN70" s="515"/>
      <c r="AO70" s="515"/>
      <c r="AP70" s="515"/>
      <c r="AQ70" s="515"/>
      <c r="AR70" s="515"/>
      <c r="AS70" s="515"/>
      <c r="AT70" s="515"/>
      <c r="AU70" s="515"/>
      <c r="AV70" s="515"/>
      <c r="AW70" s="515"/>
      <c r="AX70" s="515"/>
      <c r="AY70" s="515"/>
      <c r="AZ70" s="515"/>
      <c r="BA70" s="515"/>
      <c r="BB70" s="515"/>
      <c r="BC70" s="515"/>
      <c r="BD70" s="515"/>
      <c r="BE70" s="515"/>
      <c r="BF70" s="515"/>
      <c r="BG70" s="515"/>
      <c r="BH70" s="515"/>
      <c r="BI70" s="515"/>
      <c r="BJ70" s="515"/>
      <c r="BK70" s="515"/>
      <c r="BL70" s="515"/>
      <c r="BM70" s="515"/>
      <c r="BN70" s="515"/>
      <c r="BO70" s="515"/>
      <c r="BP70" s="515"/>
      <c r="BQ70" s="515"/>
      <c r="BR70" s="515"/>
      <c r="BS70" s="515"/>
      <c r="BT70" s="515"/>
      <c r="BU70" s="515"/>
      <c r="BV70" s="515"/>
      <c r="BW70" s="515"/>
      <c r="BX70" s="515"/>
      <c r="BY70" s="515"/>
      <c r="BZ70" s="515"/>
      <c r="CA70" s="515"/>
      <c r="CB70" s="515"/>
      <c r="CC70" s="515"/>
      <c r="CD70" s="515"/>
      <c r="CE70" s="515"/>
      <c r="CF70" s="515"/>
      <c r="CG70" s="515"/>
      <c r="CH70" s="515"/>
      <c r="CI70" s="515"/>
      <c r="CJ70" s="515"/>
      <c r="CK70" s="515"/>
      <c r="CL70" s="515"/>
      <c r="CM70" s="517"/>
    </row>
    <row r="71" spans="1:167" s="486" customFormat="1" ht="15" customHeight="1" thickBot="1" x14ac:dyDescent="0.3">
      <c r="A71" s="518"/>
      <c r="B71" s="519"/>
      <c r="C71" s="519"/>
      <c r="D71" s="519"/>
      <c r="E71" s="519"/>
      <c r="F71" s="519"/>
      <c r="G71" s="519"/>
      <c r="H71" s="519"/>
      <c r="I71" s="519"/>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19"/>
      <c r="AI71" s="519"/>
      <c r="AJ71" s="519"/>
      <c r="AK71" s="519"/>
      <c r="AL71" s="519"/>
      <c r="AM71" s="519"/>
      <c r="AN71" s="519"/>
      <c r="AO71" s="519"/>
      <c r="AP71" s="519"/>
      <c r="AQ71" s="519"/>
      <c r="AR71" s="519"/>
      <c r="AS71" s="519"/>
      <c r="AT71" s="519"/>
      <c r="AU71" s="519"/>
      <c r="AV71" s="519"/>
      <c r="AW71" s="519"/>
      <c r="AX71" s="519"/>
      <c r="AY71" s="519"/>
      <c r="AZ71" s="519"/>
      <c r="BA71" s="519"/>
      <c r="BB71" s="519"/>
      <c r="BC71" s="519"/>
      <c r="BD71" s="519"/>
      <c r="BE71" s="519"/>
      <c r="BF71" s="519"/>
      <c r="BG71" s="519"/>
      <c r="BH71" s="519"/>
      <c r="BI71" s="519"/>
      <c r="BJ71" s="519"/>
      <c r="BK71" s="519"/>
      <c r="BL71" s="519"/>
      <c r="BM71" s="519"/>
      <c r="BN71" s="519"/>
      <c r="BO71" s="519"/>
      <c r="BP71" s="519"/>
      <c r="BQ71" s="519"/>
      <c r="BR71" s="519"/>
      <c r="BS71" s="519"/>
      <c r="BT71" s="519"/>
      <c r="BU71" s="519"/>
      <c r="BV71" s="519"/>
      <c r="BW71" s="519"/>
      <c r="BX71" s="519"/>
      <c r="BY71" s="519"/>
      <c r="BZ71" s="519"/>
      <c r="CA71" s="519"/>
      <c r="CB71" s="519"/>
      <c r="CC71" s="519"/>
      <c r="CD71" s="519"/>
      <c r="CE71" s="519"/>
      <c r="CF71" s="519"/>
      <c r="CG71" s="519"/>
      <c r="CH71" s="519"/>
      <c r="CI71" s="519"/>
      <c r="CJ71" s="519"/>
      <c r="CK71" s="519"/>
      <c r="CL71" s="519"/>
      <c r="CM71" s="520"/>
    </row>
    <row r="72" spans="1:167" ht="15" customHeight="1" x14ac:dyDescent="0.2">
      <c r="A72" s="508"/>
      <c r="B72" s="508"/>
      <c r="C72" s="508"/>
      <c r="D72" s="508"/>
      <c r="E72" s="508"/>
      <c r="F72" s="508"/>
      <c r="G72" s="508"/>
      <c r="H72" s="508"/>
      <c r="I72" s="508"/>
      <c r="J72" s="508"/>
      <c r="K72" s="508"/>
      <c r="L72" s="508"/>
      <c r="M72" s="508"/>
      <c r="N72" s="508"/>
      <c r="O72" s="508"/>
      <c r="P72" s="508"/>
      <c r="Q72" s="508"/>
      <c r="R72" s="508"/>
      <c r="S72" s="508"/>
      <c r="T72" s="508"/>
      <c r="U72" s="508"/>
      <c r="V72" s="508"/>
      <c r="W72" s="508"/>
      <c r="X72" s="508"/>
      <c r="Y72" s="508"/>
      <c r="Z72" s="509"/>
      <c r="AA72" s="509"/>
      <c r="AB72" s="509"/>
      <c r="AC72" s="509"/>
      <c r="AD72" s="509"/>
      <c r="AE72" s="509"/>
      <c r="AF72" s="509"/>
      <c r="AG72" s="509"/>
      <c r="AH72" s="509"/>
      <c r="AI72" s="509"/>
      <c r="AJ72" s="509"/>
      <c r="AK72" s="509"/>
      <c r="AL72" s="509"/>
      <c r="AM72" s="509"/>
      <c r="AN72" s="509"/>
      <c r="AO72" s="509"/>
      <c r="AP72" s="509"/>
      <c r="AQ72" s="509"/>
      <c r="AR72" s="509"/>
      <c r="AS72" s="509"/>
      <c r="AT72" s="509"/>
      <c r="AU72" s="509"/>
      <c r="AV72" s="509"/>
      <c r="AW72" s="509"/>
      <c r="AX72" s="509"/>
      <c r="AY72" s="509"/>
      <c r="AZ72" s="509"/>
      <c r="BA72" s="509"/>
      <c r="BB72" s="509"/>
      <c r="BC72" s="509"/>
      <c r="BD72" s="509"/>
      <c r="BE72" s="509"/>
      <c r="BF72" s="509"/>
      <c r="BG72" s="509"/>
      <c r="BH72" s="509"/>
      <c r="BI72" s="509"/>
      <c r="BJ72" s="509"/>
      <c r="BK72" s="509"/>
      <c r="BL72" s="509"/>
      <c r="BM72" s="509"/>
      <c r="BN72" s="509"/>
      <c r="BO72" s="509"/>
      <c r="BP72" s="509"/>
      <c r="BQ72" s="509"/>
      <c r="BR72" s="509"/>
      <c r="BS72" s="509"/>
      <c r="BT72" s="509"/>
      <c r="BU72" s="509"/>
      <c r="BV72" s="509"/>
      <c r="BW72" s="509"/>
      <c r="BX72" s="509"/>
      <c r="BY72" s="509"/>
      <c r="BZ72" s="509"/>
      <c r="CA72" s="509"/>
      <c r="CB72" s="509"/>
      <c r="CC72" s="509"/>
      <c r="CD72" s="509"/>
      <c r="CE72" s="509"/>
      <c r="CF72" s="509"/>
      <c r="CG72" s="509"/>
      <c r="CH72" s="509"/>
      <c r="CI72" s="509"/>
      <c r="CJ72" s="509"/>
      <c r="CK72" s="509"/>
      <c r="CL72" s="509"/>
      <c r="CM72" s="509"/>
    </row>
    <row r="73" spans="1:167" s="486" customFormat="1" ht="77.25" customHeight="1" x14ac:dyDescent="0.2">
      <c r="A73" s="502" t="s">
        <v>1070</v>
      </c>
    </row>
    <row r="74" spans="1:167" s="486" customFormat="1" ht="74.25" customHeight="1" x14ac:dyDescent="0.2">
      <c r="A74" s="955" t="s">
        <v>1071</v>
      </c>
      <c r="B74" s="956"/>
      <c r="C74" s="956"/>
      <c r="D74" s="956"/>
      <c r="E74" s="956"/>
      <c r="F74" s="956"/>
      <c r="G74" s="956"/>
      <c r="H74" s="956"/>
      <c r="I74" s="956"/>
      <c r="J74" s="956"/>
      <c r="K74" s="956"/>
      <c r="L74" s="956"/>
      <c r="M74" s="956"/>
      <c r="N74" s="956"/>
      <c r="O74" s="956"/>
      <c r="P74" s="956"/>
      <c r="Q74" s="956"/>
      <c r="R74" s="956"/>
      <c r="S74" s="956"/>
      <c r="T74" s="956"/>
      <c r="U74" s="956"/>
      <c r="V74" s="956"/>
      <c r="W74" s="956"/>
      <c r="X74" s="956"/>
      <c r="Y74" s="956"/>
      <c r="Z74" s="956"/>
      <c r="AA74" s="956"/>
      <c r="AB74" s="956"/>
      <c r="AC74" s="956"/>
      <c r="AD74" s="956"/>
      <c r="AE74" s="956"/>
      <c r="AF74" s="956"/>
      <c r="AG74" s="956"/>
      <c r="AH74" s="956"/>
      <c r="AI74" s="956"/>
      <c r="AJ74" s="956"/>
      <c r="AK74" s="956"/>
      <c r="AL74" s="956"/>
      <c r="AM74" s="956"/>
      <c r="AN74" s="956"/>
      <c r="AO74" s="956"/>
      <c r="AP74" s="956"/>
      <c r="AQ74" s="956"/>
      <c r="AR74" s="956"/>
      <c r="AS74" s="956"/>
      <c r="AT74" s="956"/>
      <c r="AU74" s="956"/>
      <c r="AV74" s="956"/>
      <c r="AW74" s="956"/>
      <c r="AX74" s="956"/>
      <c r="AY74" s="956"/>
      <c r="AZ74" s="956"/>
      <c r="BA74" s="956"/>
      <c r="BB74" s="956"/>
      <c r="BC74" s="956"/>
      <c r="BD74" s="956"/>
      <c r="BE74" s="956"/>
      <c r="BF74" s="956"/>
      <c r="BG74" s="956"/>
      <c r="BH74" s="956"/>
      <c r="BI74" s="956"/>
      <c r="BJ74" s="956"/>
      <c r="BK74" s="956"/>
      <c r="BL74" s="956"/>
      <c r="BM74" s="956"/>
      <c r="BN74" s="956"/>
      <c r="BO74" s="956"/>
      <c r="BP74" s="956"/>
      <c r="BQ74" s="956"/>
      <c r="BR74" s="956"/>
      <c r="BS74" s="956"/>
      <c r="BT74" s="956"/>
      <c r="BU74" s="956"/>
      <c r="BV74" s="956"/>
      <c r="BW74" s="956"/>
      <c r="BX74" s="956"/>
      <c r="BY74" s="956"/>
      <c r="BZ74" s="956"/>
      <c r="CA74" s="956"/>
      <c r="CB74" s="956"/>
      <c r="CC74" s="956"/>
      <c r="CD74" s="956"/>
      <c r="CE74" s="956"/>
      <c r="CF74" s="956"/>
      <c r="CG74" s="956"/>
      <c r="CH74" s="956"/>
      <c r="CI74" s="956"/>
      <c r="CJ74" s="956"/>
      <c r="CK74" s="956"/>
      <c r="CL74" s="956"/>
      <c r="CM74" s="956"/>
      <c r="CN74" s="956"/>
      <c r="CO74" s="956"/>
      <c r="CP74" s="956"/>
      <c r="CQ74" s="956"/>
      <c r="CR74" s="956"/>
      <c r="CS74" s="956"/>
      <c r="CT74" s="956"/>
      <c r="CU74" s="956"/>
      <c r="CV74" s="956"/>
      <c r="CW74" s="956"/>
      <c r="CX74" s="956"/>
      <c r="CY74" s="956"/>
      <c r="CZ74" s="956"/>
      <c r="DA74" s="956"/>
      <c r="DB74" s="956"/>
      <c r="DC74" s="956"/>
      <c r="DD74" s="956"/>
      <c r="DE74" s="956"/>
      <c r="DF74" s="956"/>
      <c r="DG74" s="956"/>
      <c r="DH74" s="956"/>
      <c r="DI74" s="956"/>
      <c r="DJ74" s="956"/>
      <c r="DK74" s="956"/>
      <c r="DL74" s="956"/>
      <c r="DM74" s="956"/>
      <c r="DN74" s="956"/>
      <c r="DO74" s="956"/>
      <c r="DP74" s="956"/>
      <c r="DQ74" s="956"/>
      <c r="DR74" s="956"/>
      <c r="DS74" s="956"/>
      <c r="DT74" s="956"/>
      <c r="DU74" s="956"/>
      <c r="DV74" s="956"/>
      <c r="DW74" s="956"/>
      <c r="DX74" s="956"/>
      <c r="DY74" s="956"/>
      <c r="DZ74" s="956"/>
      <c r="EA74" s="956"/>
      <c r="EB74" s="956"/>
      <c r="EC74" s="956"/>
      <c r="ED74" s="956"/>
      <c r="EE74" s="956"/>
      <c r="EF74" s="956"/>
      <c r="EG74" s="956"/>
      <c r="EH74" s="956"/>
      <c r="EI74" s="956"/>
      <c r="EJ74" s="956"/>
      <c r="EK74" s="956"/>
      <c r="EL74" s="956"/>
      <c r="EM74" s="956"/>
      <c r="EN74" s="956"/>
      <c r="EO74" s="956"/>
      <c r="EP74" s="956"/>
      <c r="EQ74" s="956"/>
      <c r="ER74" s="956"/>
      <c r="ES74" s="956"/>
      <c r="ET74" s="956"/>
      <c r="EU74" s="956"/>
      <c r="EV74" s="956"/>
      <c r="EW74" s="956"/>
      <c r="EX74" s="956"/>
      <c r="EY74" s="956"/>
      <c r="EZ74" s="956"/>
      <c r="FA74" s="956"/>
      <c r="FB74" s="956"/>
      <c r="FC74" s="956"/>
      <c r="FD74" s="956"/>
      <c r="FE74" s="956"/>
      <c r="FF74" s="956"/>
      <c r="FG74" s="956"/>
      <c r="FH74" s="956"/>
      <c r="FI74" s="956"/>
      <c r="FJ74" s="956"/>
      <c r="FK74" s="956"/>
    </row>
    <row r="75" spans="1:167" s="486" customFormat="1" ht="87.75" customHeight="1" x14ac:dyDescent="0.2">
      <c r="A75" s="955" t="s">
        <v>1072</v>
      </c>
      <c r="B75" s="956"/>
      <c r="C75" s="956"/>
      <c r="D75" s="956"/>
      <c r="E75" s="956"/>
      <c r="F75" s="956"/>
      <c r="G75" s="956"/>
      <c r="H75" s="956"/>
      <c r="I75" s="956"/>
      <c r="J75" s="956"/>
      <c r="K75" s="956"/>
      <c r="L75" s="956"/>
      <c r="M75" s="956"/>
      <c r="N75" s="956"/>
      <c r="O75" s="956"/>
      <c r="P75" s="956"/>
      <c r="Q75" s="956"/>
      <c r="R75" s="956"/>
      <c r="S75" s="956"/>
      <c r="T75" s="956"/>
      <c r="U75" s="956"/>
      <c r="V75" s="956"/>
      <c r="W75" s="956"/>
      <c r="X75" s="956"/>
      <c r="Y75" s="956"/>
      <c r="Z75" s="956"/>
      <c r="AA75" s="956"/>
      <c r="AB75" s="956"/>
      <c r="AC75" s="956"/>
      <c r="AD75" s="956"/>
      <c r="AE75" s="956"/>
      <c r="AF75" s="956"/>
      <c r="AG75" s="956"/>
      <c r="AH75" s="956"/>
      <c r="AI75" s="956"/>
      <c r="AJ75" s="956"/>
      <c r="AK75" s="956"/>
      <c r="AL75" s="956"/>
      <c r="AM75" s="956"/>
      <c r="AN75" s="956"/>
      <c r="AO75" s="956"/>
      <c r="AP75" s="956"/>
      <c r="AQ75" s="956"/>
      <c r="AR75" s="956"/>
      <c r="AS75" s="956"/>
      <c r="AT75" s="956"/>
      <c r="AU75" s="956"/>
      <c r="AV75" s="956"/>
      <c r="AW75" s="956"/>
      <c r="AX75" s="956"/>
      <c r="AY75" s="956"/>
      <c r="AZ75" s="956"/>
      <c r="BA75" s="956"/>
      <c r="BB75" s="956"/>
      <c r="BC75" s="956"/>
      <c r="BD75" s="956"/>
      <c r="BE75" s="956"/>
      <c r="BF75" s="956"/>
      <c r="BG75" s="956"/>
      <c r="BH75" s="956"/>
      <c r="BI75" s="956"/>
      <c r="BJ75" s="956"/>
      <c r="BK75" s="956"/>
      <c r="BL75" s="956"/>
      <c r="BM75" s="956"/>
      <c r="BN75" s="956"/>
      <c r="BO75" s="956"/>
      <c r="BP75" s="956"/>
      <c r="BQ75" s="956"/>
      <c r="BR75" s="956"/>
      <c r="BS75" s="956"/>
      <c r="BT75" s="956"/>
      <c r="BU75" s="956"/>
      <c r="BV75" s="956"/>
      <c r="BW75" s="956"/>
      <c r="BX75" s="956"/>
      <c r="BY75" s="956"/>
      <c r="BZ75" s="956"/>
      <c r="CA75" s="956"/>
      <c r="CB75" s="956"/>
      <c r="CC75" s="956"/>
      <c r="CD75" s="956"/>
      <c r="CE75" s="956"/>
      <c r="CF75" s="956"/>
      <c r="CG75" s="956"/>
      <c r="CH75" s="956"/>
      <c r="CI75" s="956"/>
      <c r="CJ75" s="956"/>
      <c r="CK75" s="956"/>
      <c r="CL75" s="956"/>
      <c r="CM75" s="956"/>
      <c r="CN75" s="956"/>
      <c r="CO75" s="956"/>
      <c r="CP75" s="956"/>
      <c r="CQ75" s="956"/>
      <c r="CR75" s="956"/>
      <c r="CS75" s="956"/>
      <c r="CT75" s="956"/>
      <c r="CU75" s="956"/>
      <c r="CV75" s="956"/>
      <c r="CW75" s="956"/>
      <c r="CX75" s="956"/>
      <c r="CY75" s="956"/>
      <c r="CZ75" s="956"/>
      <c r="DA75" s="956"/>
      <c r="DB75" s="956"/>
      <c r="DC75" s="956"/>
      <c r="DD75" s="956"/>
      <c r="DE75" s="956"/>
      <c r="DF75" s="956"/>
      <c r="DG75" s="956"/>
      <c r="DH75" s="956"/>
      <c r="DI75" s="956"/>
      <c r="DJ75" s="956"/>
      <c r="DK75" s="956"/>
      <c r="DL75" s="956"/>
      <c r="DM75" s="956"/>
      <c r="DN75" s="956"/>
      <c r="DO75" s="956"/>
      <c r="DP75" s="956"/>
      <c r="DQ75" s="956"/>
      <c r="DR75" s="956"/>
      <c r="DS75" s="956"/>
      <c r="DT75" s="956"/>
      <c r="DU75" s="956"/>
      <c r="DV75" s="956"/>
      <c r="DW75" s="956"/>
      <c r="DX75" s="956"/>
      <c r="DY75" s="956"/>
      <c r="DZ75" s="956"/>
      <c r="EA75" s="956"/>
      <c r="EB75" s="956"/>
      <c r="EC75" s="956"/>
      <c r="ED75" s="956"/>
      <c r="EE75" s="956"/>
      <c r="EF75" s="956"/>
      <c r="EG75" s="956"/>
      <c r="EH75" s="956"/>
      <c r="EI75" s="956"/>
      <c r="EJ75" s="956"/>
      <c r="EK75" s="956"/>
      <c r="EL75" s="956"/>
      <c r="EM75" s="956"/>
      <c r="EN75" s="956"/>
      <c r="EO75" s="956"/>
      <c r="EP75" s="956"/>
      <c r="EQ75" s="956"/>
      <c r="ER75" s="956"/>
      <c r="ES75" s="956"/>
      <c r="ET75" s="956"/>
      <c r="EU75" s="956"/>
      <c r="EV75" s="956"/>
      <c r="EW75" s="956"/>
      <c r="EX75" s="956"/>
      <c r="EY75" s="956"/>
      <c r="EZ75" s="956"/>
      <c r="FA75" s="956"/>
      <c r="FB75" s="956"/>
      <c r="FC75" s="956"/>
      <c r="FD75" s="956"/>
      <c r="FE75" s="956"/>
      <c r="FF75" s="956"/>
      <c r="FG75" s="956"/>
      <c r="FH75" s="956"/>
      <c r="FI75" s="956"/>
      <c r="FJ75" s="956"/>
      <c r="FK75" s="956"/>
    </row>
    <row r="76" spans="1:167" s="486" customFormat="1" ht="63" customHeight="1" x14ac:dyDescent="0.2">
      <c r="A76" s="957" t="s">
        <v>1073</v>
      </c>
      <c r="B76" s="958"/>
      <c r="C76" s="958"/>
      <c r="D76" s="958"/>
      <c r="E76" s="958"/>
      <c r="F76" s="958"/>
      <c r="G76" s="958"/>
      <c r="H76" s="958"/>
      <c r="I76" s="958"/>
      <c r="J76" s="958"/>
      <c r="K76" s="958"/>
      <c r="L76" s="958"/>
      <c r="M76" s="958"/>
      <c r="N76" s="958"/>
      <c r="O76" s="958"/>
      <c r="P76" s="958"/>
      <c r="Q76" s="958"/>
      <c r="R76" s="958"/>
      <c r="S76" s="958"/>
      <c r="T76" s="958"/>
      <c r="U76" s="958"/>
      <c r="V76" s="958"/>
      <c r="W76" s="958"/>
      <c r="X76" s="958"/>
      <c r="Y76" s="958"/>
      <c r="Z76" s="958"/>
      <c r="AA76" s="958"/>
      <c r="AB76" s="958"/>
      <c r="AC76" s="958"/>
      <c r="AD76" s="958"/>
      <c r="AE76" s="958"/>
      <c r="AF76" s="958"/>
      <c r="AG76" s="958"/>
      <c r="AH76" s="958"/>
      <c r="AI76" s="958"/>
      <c r="AJ76" s="958"/>
      <c r="AK76" s="958"/>
      <c r="AL76" s="958"/>
      <c r="AM76" s="958"/>
      <c r="AN76" s="958"/>
      <c r="AO76" s="958"/>
      <c r="AP76" s="958"/>
      <c r="AQ76" s="958"/>
      <c r="AR76" s="958"/>
      <c r="AS76" s="958"/>
      <c r="AT76" s="958"/>
      <c r="AU76" s="958"/>
      <c r="AV76" s="958"/>
      <c r="AW76" s="958"/>
      <c r="AX76" s="958"/>
      <c r="AY76" s="958"/>
      <c r="AZ76" s="958"/>
      <c r="BA76" s="958"/>
      <c r="BB76" s="958"/>
      <c r="BC76" s="958"/>
      <c r="BD76" s="958"/>
      <c r="BE76" s="958"/>
      <c r="BF76" s="958"/>
      <c r="BG76" s="958"/>
      <c r="BH76" s="958"/>
      <c r="BI76" s="958"/>
      <c r="BJ76" s="958"/>
      <c r="BK76" s="958"/>
      <c r="BL76" s="958"/>
      <c r="BM76" s="958"/>
      <c r="BN76" s="958"/>
      <c r="BO76" s="958"/>
      <c r="BP76" s="958"/>
      <c r="BQ76" s="958"/>
      <c r="BR76" s="958"/>
      <c r="BS76" s="958"/>
      <c r="BT76" s="958"/>
      <c r="BU76" s="958"/>
      <c r="BV76" s="958"/>
      <c r="BW76" s="958"/>
      <c r="BX76" s="958"/>
      <c r="BY76" s="958"/>
      <c r="BZ76" s="958"/>
      <c r="CA76" s="958"/>
      <c r="CB76" s="958"/>
      <c r="CC76" s="958"/>
      <c r="CD76" s="958"/>
      <c r="CE76" s="958"/>
      <c r="CF76" s="958"/>
      <c r="CG76" s="958"/>
      <c r="CH76" s="958"/>
      <c r="CI76" s="958"/>
      <c r="CJ76" s="958"/>
      <c r="CK76" s="958"/>
      <c r="CL76" s="958"/>
      <c r="CM76" s="958"/>
      <c r="CN76" s="958"/>
      <c r="CO76" s="958"/>
      <c r="CP76" s="958"/>
      <c r="CQ76" s="958"/>
      <c r="CR76" s="958"/>
      <c r="CS76" s="958"/>
      <c r="CT76" s="958"/>
      <c r="CU76" s="958"/>
      <c r="CV76" s="958"/>
      <c r="CW76" s="958"/>
      <c r="CX76" s="958"/>
      <c r="CY76" s="958"/>
      <c r="CZ76" s="958"/>
      <c r="DA76" s="958"/>
      <c r="DB76" s="958"/>
      <c r="DC76" s="958"/>
      <c r="DD76" s="958"/>
      <c r="DE76" s="958"/>
      <c r="DF76" s="958"/>
      <c r="DG76" s="958"/>
      <c r="DH76" s="958"/>
      <c r="DI76" s="958"/>
      <c r="DJ76" s="958"/>
      <c r="DK76" s="958"/>
      <c r="DL76" s="958"/>
      <c r="DM76" s="958"/>
      <c r="DN76" s="958"/>
      <c r="DO76" s="958"/>
      <c r="DP76" s="958"/>
      <c r="DQ76" s="958"/>
      <c r="DR76" s="958"/>
      <c r="DS76" s="958"/>
      <c r="DT76" s="958"/>
      <c r="DU76" s="958"/>
      <c r="DV76" s="958"/>
      <c r="DW76" s="958"/>
      <c r="DX76" s="958"/>
      <c r="DY76" s="958"/>
      <c r="DZ76" s="958"/>
      <c r="EA76" s="958"/>
      <c r="EB76" s="958"/>
      <c r="EC76" s="958"/>
      <c r="ED76" s="958"/>
      <c r="EE76" s="958"/>
      <c r="EF76" s="958"/>
      <c r="EG76" s="958"/>
      <c r="EH76" s="958"/>
      <c r="EI76" s="958"/>
      <c r="EJ76" s="958"/>
      <c r="EK76" s="958"/>
      <c r="EL76" s="958"/>
      <c r="EM76" s="958"/>
      <c r="EN76" s="958"/>
      <c r="EO76" s="958"/>
      <c r="EP76" s="958"/>
      <c r="EQ76" s="958"/>
      <c r="ER76" s="958"/>
      <c r="ES76" s="958"/>
      <c r="ET76" s="958"/>
      <c r="EU76" s="958"/>
      <c r="EV76" s="958"/>
      <c r="EW76" s="958"/>
      <c r="EX76" s="958"/>
      <c r="EY76" s="958"/>
      <c r="EZ76" s="958"/>
      <c r="FA76" s="958"/>
      <c r="FB76" s="958"/>
      <c r="FC76" s="958"/>
      <c r="FD76" s="958"/>
      <c r="FE76" s="958"/>
      <c r="FF76" s="958"/>
      <c r="FG76" s="958"/>
      <c r="FH76" s="958"/>
      <c r="FI76" s="958"/>
      <c r="FJ76" s="958"/>
      <c r="FK76" s="958"/>
    </row>
    <row r="77" spans="1:167" s="486" customFormat="1" ht="15" customHeight="1" x14ac:dyDescent="0.2">
      <c r="A77" s="502" t="s">
        <v>1074</v>
      </c>
      <c r="B77" s="502"/>
      <c r="C77" s="502"/>
      <c r="D77" s="502"/>
      <c r="E77" s="502"/>
      <c r="F77" s="502"/>
      <c r="G77" s="502"/>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2"/>
      <c r="AY77" s="502"/>
      <c r="AZ77" s="502"/>
      <c r="BA77" s="502"/>
      <c r="BB77" s="502"/>
      <c r="BC77" s="502"/>
      <c r="BD77" s="502"/>
      <c r="BE77" s="502"/>
      <c r="BF77" s="502"/>
      <c r="BG77" s="502"/>
      <c r="BH77" s="502"/>
      <c r="BI77" s="502"/>
      <c r="BJ77" s="502"/>
      <c r="BK77" s="502"/>
      <c r="BL77" s="502"/>
      <c r="BM77" s="502"/>
      <c r="BN77" s="502"/>
      <c r="BO77" s="502"/>
      <c r="BP77" s="502"/>
      <c r="BQ77" s="502"/>
      <c r="BR77" s="502"/>
      <c r="BS77" s="502"/>
      <c r="BT77" s="502"/>
      <c r="BU77" s="502"/>
      <c r="BV77" s="502"/>
      <c r="BW77" s="502"/>
      <c r="BX77" s="502"/>
      <c r="BY77" s="502"/>
      <c r="BZ77" s="502"/>
      <c r="CA77" s="502"/>
      <c r="CB77" s="502"/>
      <c r="CC77" s="502"/>
      <c r="CD77" s="502"/>
      <c r="CE77" s="502"/>
      <c r="CF77" s="502"/>
      <c r="CG77" s="502"/>
      <c r="CH77" s="502"/>
      <c r="CI77" s="502"/>
      <c r="CJ77" s="502"/>
      <c r="CK77" s="502"/>
      <c r="CL77" s="502"/>
      <c r="CM77" s="502"/>
      <c r="CN77" s="502"/>
      <c r="CO77" s="502"/>
      <c r="CP77" s="502"/>
      <c r="CQ77" s="502"/>
      <c r="CR77" s="502"/>
      <c r="CS77" s="502"/>
      <c r="CT77" s="502"/>
      <c r="CU77" s="502"/>
      <c r="CV77" s="502"/>
      <c r="CW77" s="502"/>
      <c r="CX77" s="502"/>
      <c r="CY77" s="502"/>
      <c r="CZ77" s="502"/>
      <c r="DA77" s="502"/>
      <c r="DB77" s="502"/>
      <c r="DC77" s="502"/>
      <c r="DD77" s="502"/>
      <c r="DE77" s="502"/>
      <c r="DF77" s="502"/>
      <c r="DG77" s="502"/>
      <c r="DH77" s="502"/>
      <c r="DI77" s="502"/>
      <c r="DJ77" s="502"/>
      <c r="DK77" s="502"/>
      <c r="DL77" s="502"/>
      <c r="DM77" s="502"/>
      <c r="DN77" s="502"/>
      <c r="DO77" s="502"/>
      <c r="DP77" s="502"/>
      <c r="DQ77" s="502"/>
      <c r="DR77" s="502"/>
      <c r="DS77" s="502"/>
      <c r="DT77" s="502"/>
      <c r="DU77" s="502"/>
      <c r="DV77" s="502"/>
      <c r="DW77" s="502"/>
      <c r="DX77" s="502"/>
      <c r="DY77" s="502"/>
      <c r="DZ77" s="502"/>
      <c r="EA77" s="502"/>
      <c r="EB77" s="502"/>
      <c r="EC77" s="502"/>
      <c r="ED77" s="502"/>
      <c r="EE77" s="502"/>
      <c r="EF77" s="502"/>
      <c r="EG77" s="502"/>
      <c r="EH77" s="502"/>
      <c r="EI77" s="502"/>
      <c r="EJ77" s="502"/>
      <c r="EK77" s="502"/>
      <c r="EL77" s="502"/>
      <c r="EM77" s="502"/>
      <c r="EN77" s="502"/>
      <c r="EO77" s="502"/>
      <c r="EP77" s="502"/>
      <c r="EQ77" s="502"/>
      <c r="ER77" s="502"/>
      <c r="ES77" s="502"/>
      <c r="ET77" s="502"/>
      <c r="EU77" s="502"/>
      <c r="EV77" s="502"/>
      <c r="EW77" s="502"/>
      <c r="EX77" s="502"/>
      <c r="EY77" s="502"/>
      <c r="EZ77" s="502"/>
      <c r="FA77" s="502"/>
      <c r="FB77" s="502"/>
      <c r="FC77" s="502"/>
      <c r="FD77" s="502"/>
      <c r="FE77" s="502"/>
      <c r="FF77" s="502"/>
      <c r="FG77" s="502"/>
      <c r="FH77" s="502"/>
      <c r="FI77" s="502"/>
      <c r="FJ77" s="502"/>
      <c r="FK77" s="502"/>
    </row>
    <row r="78" spans="1:167" s="486" customFormat="1" ht="15" customHeight="1" x14ac:dyDescent="0.2">
      <c r="A78" s="502" t="s">
        <v>1075</v>
      </c>
    </row>
    <row r="79" spans="1:167" s="486" customFormat="1" ht="15" customHeight="1" x14ac:dyDescent="0.2">
      <c r="A79" s="502" t="s">
        <v>1076</v>
      </c>
    </row>
    <row r="80" spans="1:167" s="486" customFormat="1" ht="15" customHeight="1" x14ac:dyDescent="0.2">
      <c r="A80" s="502" t="s">
        <v>1077</v>
      </c>
    </row>
    <row r="81" s="486" customFormat="1" ht="15" customHeight="1" x14ac:dyDescent="0.2"/>
    <row r="82" s="486" customFormat="1" ht="15" customHeight="1" x14ac:dyDescent="0.2"/>
    <row r="83" s="486" customFormat="1" ht="15" customHeight="1" x14ac:dyDescent="0.2"/>
    <row r="84" s="486" customFormat="1" ht="15" customHeight="1" x14ac:dyDescent="0.2"/>
    <row r="85" s="486" customFormat="1" ht="15" customHeight="1" x14ac:dyDescent="0.2"/>
    <row r="86" s="486" customFormat="1" ht="15" customHeight="1" x14ac:dyDescent="0.2"/>
    <row r="87" s="486" customFormat="1" ht="15" customHeight="1" x14ac:dyDescent="0.2"/>
    <row r="88" s="486" customFormat="1" ht="15" customHeight="1" x14ac:dyDescent="0.2"/>
  </sheetData>
  <mergeCells count="425">
    <mergeCell ref="I58:S58"/>
    <mergeCell ref="AM58:BD58"/>
    <mergeCell ref="BG58:BX58"/>
    <mergeCell ref="CA58:CR58"/>
    <mergeCell ref="AM59:BD59"/>
    <mergeCell ref="BG59:BX59"/>
    <mergeCell ref="CA59:CR59"/>
    <mergeCell ref="B1:FJ1"/>
    <mergeCell ref="A3:G5"/>
    <mergeCell ref="H3:CK5"/>
    <mergeCell ref="CL3:CR5"/>
    <mergeCell ref="CS3:CY5"/>
    <mergeCell ref="CZ3:DK5"/>
    <mergeCell ref="DL3:DV5"/>
    <mergeCell ref="DW3:FK3"/>
    <mergeCell ref="DW4:EA4"/>
    <mergeCell ref="EB4:ED4"/>
    <mergeCell ref="DW2:EF2"/>
    <mergeCell ref="EG2:EP2"/>
    <mergeCell ref="EQ2:EZ2"/>
    <mergeCell ref="EY4:EZ4"/>
    <mergeCell ref="FA4:FK5"/>
    <mergeCell ref="DW5:EF5"/>
    <mergeCell ref="EG5:EP5"/>
    <mergeCell ref="EQ5:EZ5"/>
    <mergeCell ref="A6:G6"/>
    <mergeCell ref="H6:CK6"/>
    <mergeCell ref="CL6:CR6"/>
    <mergeCell ref="CS6:CY6"/>
    <mergeCell ref="CZ6:DK6"/>
    <mergeCell ref="EE4:EF4"/>
    <mergeCell ref="EG4:EK4"/>
    <mergeCell ref="EL4:EN4"/>
    <mergeCell ref="EO4:EP4"/>
    <mergeCell ref="EQ4:EU4"/>
    <mergeCell ref="EV4:EX4"/>
    <mergeCell ref="DL6:DV6"/>
    <mergeCell ref="DW6:EF6"/>
    <mergeCell ref="EG6:EP6"/>
    <mergeCell ref="EQ6:EZ6"/>
    <mergeCell ref="FA6:FK6"/>
    <mergeCell ref="A7:G7"/>
    <mergeCell ref="H7:CK7"/>
    <mergeCell ref="CL7:CR7"/>
    <mergeCell ref="CS7:CY7"/>
    <mergeCell ref="CZ7:DK7"/>
    <mergeCell ref="DL7:DV7"/>
    <mergeCell ref="DW7:EF7"/>
    <mergeCell ref="EG7:EP7"/>
    <mergeCell ref="EQ7:EZ7"/>
    <mergeCell ref="FA7:FK7"/>
    <mergeCell ref="A8:G8"/>
    <mergeCell ref="H8:CK8"/>
    <mergeCell ref="CL8:CR8"/>
    <mergeCell ref="CS8:CY8"/>
    <mergeCell ref="CZ8:DK8"/>
    <mergeCell ref="DL8:DV8"/>
    <mergeCell ref="DW8:EF8"/>
    <mergeCell ref="EG8:EP8"/>
    <mergeCell ref="EQ8:EZ8"/>
    <mergeCell ref="A9:G9"/>
    <mergeCell ref="H9:CK9"/>
    <mergeCell ref="CL9:CR9"/>
    <mergeCell ref="CS9:CY9"/>
    <mergeCell ref="CZ9:DK9"/>
    <mergeCell ref="FA10:FK10"/>
    <mergeCell ref="A11:G11"/>
    <mergeCell ref="H11:CK11"/>
    <mergeCell ref="CL11:CR11"/>
    <mergeCell ref="CS11:CY11"/>
    <mergeCell ref="CZ11:DK11"/>
    <mergeCell ref="DL9:DV9"/>
    <mergeCell ref="DW9:EF9"/>
    <mergeCell ref="EG9:EP9"/>
    <mergeCell ref="EQ9:EZ9"/>
    <mergeCell ref="FA9:FK9"/>
    <mergeCell ref="A10:G10"/>
    <mergeCell ref="H10:CK10"/>
    <mergeCell ref="CL10:CR10"/>
    <mergeCell ref="CS10:CY10"/>
    <mergeCell ref="CZ10:DK10"/>
    <mergeCell ref="DL10:DV10"/>
    <mergeCell ref="DW10:EF10"/>
    <mergeCell ref="EG10:EP10"/>
    <mergeCell ref="EQ10:EZ10"/>
    <mergeCell ref="DL12:DV13"/>
    <mergeCell ref="DW12:EF13"/>
    <mergeCell ref="EG12:EP13"/>
    <mergeCell ref="EQ12:EZ13"/>
    <mergeCell ref="FA8:FK8"/>
    <mergeCell ref="A14:G15"/>
    <mergeCell ref="H14:CK14"/>
    <mergeCell ref="CL14:CR15"/>
    <mergeCell ref="CS14:CY15"/>
    <mergeCell ref="CZ14:DK15"/>
    <mergeCell ref="FA12:FK13"/>
    <mergeCell ref="H13:CK13"/>
    <mergeCell ref="DL11:DV11"/>
    <mergeCell ref="DW11:EF11"/>
    <mergeCell ref="EG11:EP11"/>
    <mergeCell ref="EQ11:EZ11"/>
    <mergeCell ref="FA11:FK11"/>
    <mergeCell ref="DW14:EF15"/>
    <mergeCell ref="EG14:EP15"/>
    <mergeCell ref="EQ14:EZ15"/>
    <mergeCell ref="FA14:FK15"/>
    <mergeCell ref="H15:CK15"/>
    <mergeCell ref="DL14:DV15"/>
    <mergeCell ref="A12:G13"/>
    <mergeCell ref="H12:CK12"/>
    <mergeCell ref="CL12:CR13"/>
    <mergeCell ref="CS12:CY13"/>
    <mergeCell ref="CZ12:DK13"/>
    <mergeCell ref="DL16:DV16"/>
    <mergeCell ref="DW16:EF16"/>
    <mergeCell ref="EG16:EP16"/>
    <mergeCell ref="EQ16:EZ16"/>
    <mergeCell ref="FA16:FK16"/>
    <mergeCell ref="A17:G17"/>
    <mergeCell ref="H17:CK17"/>
    <mergeCell ref="CL17:CR17"/>
    <mergeCell ref="CS17:CY17"/>
    <mergeCell ref="CZ17:DK17"/>
    <mergeCell ref="DL17:DV17"/>
    <mergeCell ref="DW17:EF17"/>
    <mergeCell ref="EG17:EP17"/>
    <mergeCell ref="EQ17:EZ17"/>
    <mergeCell ref="FA17:FK17"/>
    <mergeCell ref="A16:G16"/>
    <mergeCell ref="H16:CK16"/>
    <mergeCell ref="CL16:CR16"/>
    <mergeCell ref="CS16:CY16"/>
    <mergeCell ref="CZ16:DK16"/>
    <mergeCell ref="FA18:FK18"/>
    <mergeCell ref="A19:G19"/>
    <mergeCell ref="H19:CK19"/>
    <mergeCell ref="CL19:CR19"/>
    <mergeCell ref="CS19:CY19"/>
    <mergeCell ref="CZ19:DK19"/>
    <mergeCell ref="DL19:DV19"/>
    <mergeCell ref="DW19:EF19"/>
    <mergeCell ref="EG19:EP19"/>
    <mergeCell ref="EQ19:EZ19"/>
    <mergeCell ref="FA19:FK19"/>
    <mergeCell ref="A18:G18"/>
    <mergeCell ref="H18:CK18"/>
    <mergeCell ref="CL18:CR18"/>
    <mergeCell ref="CS18:CY18"/>
    <mergeCell ref="CZ18:DK18"/>
    <mergeCell ref="DL18:DV18"/>
    <mergeCell ref="DW18:EF18"/>
    <mergeCell ref="EG18:EP18"/>
    <mergeCell ref="EQ18:EZ18"/>
    <mergeCell ref="A20:G20"/>
    <mergeCell ref="H20:CK20"/>
    <mergeCell ref="CL20:CR20"/>
    <mergeCell ref="CS20:CY20"/>
    <mergeCell ref="CZ20:DK20"/>
    <mergeCell ref="FA21:FK21"/>
    <mergeCell ref="A22:G22"/>
    <mergeCell ref="H22:CK22"/>
    <mergeCell ref="CL22:CR22"/>
    <mergeCell ref="CS22:CY22"/>
    <mergeCell ref="CZ22:DK22"/>
    <mergeCell ref="DL20:DV20"/>
    <mergeCell ref="DW20:EF20"/>
    <mergeCell ref="EG20:EP20"/>
    <mergeCell ref="EQ20:EZ20"/>
    <mergeCell ref="FA20:FK20"/>
    <mergeCell ref="A21:G21"/>
    <mergeCell ref="H21:CK21"/>
    <mergeCell ref="CL21:CR21"/>
    <mergeCell ref="CS21:CY21"/>
    <mergeCell ref="CZ21:DK21"/>
    <mergeCell ref="A23:G24"/>
    <mergeCell ref="H23:CK23"/>
    <mergeCell ref="CL23:CR24"/>
    <mergeCell ref="CS23:CY24"/>
    <mergeCell ref="CZ23:DK24"/>
    <mergeCell ref="DL21:DV21"/>
    <mergeCell ref="DW21:EF21"/>
    <mergeCell ref="EG21:EP21"/>
    <mergeCell ref="EQ21:EZ21"/>
    <mergeCell ref="DL23:DV24"/>
    <mergeCell ref="DW23:EF24"/>
    <mergeCell ref="EG23:EP24"/>
    <mergeCell ref="EQ23:EZ24"/>
    <mergeCell ref="FA23:FK24"/>
    <mergeCell ref="H24:CK24"/>
    <mergeCell ref="DL22:DV22"/>
    <mergeCell ref="DW22:EF22"/>
    <mergeCell ref="EG22:EP22"/>
    <mergeCell ref="EQ22:EZ22"/>
    <mergeCell ref="FA22:FK22"/>
    <mergeCell ref="DW25:EF25"/>
    <mergeCell ref="EG25:EP25"/>
    <mergeCell ref="EQ25:EZ25"/>
    <mergeCell ref="FA25:FK25"/>
    <mergeCell ref="CL26:CR26"/>
    <mergeCell ref="CS26:CY26"/>
    <mergeCell ref="CZ26:DK26"/>
    <mergeCell ref="DL26:DV26"/>
    <mergeCell ref="A25:G25"/>
    <mergeCell ref="H25:CK25"/>
    <mergeCell ref="CL25:CR25"/>
    <mergeCell ref="CS25:CY25"/>
    <mergeCell ref="CZ25:DK25"/>
    <mergeCell ref="DL25:DV25"/>
    <mergeCell ref="CL29:CR30"/>
    <mergeCell ref="CS29:CY30"/>
    <mergeCell ref="CZ29:DK30"/>
    <mergeCell ref="DW26:EF26"/>
    <mergeCell ref="EG26:EP26"/>
    <mergeCell ref="EQ26:EZ26"/>
    <mergeCell ref="FA26:FK26"/>
    <mergeCell ref="A27:G28"/>
    <mergeCell ref="H27:CK27"/>
    <mergeCell ref="CL27:CR28"/>
    <mergeCell ref="CS27:CY28"/>
    <mergeCell ref="CZ27:DK28"/>
    <mergeCell ref="DL27:DV28"/>
    <mergeCell ref="DL29:DV30"/>
    <mergeCell ref="DW29:EF30"/>
    <mergeCell ref="EG29:EP30"/>
    <mergeCell ref="EQ29:EZ30"/>
    <mergeCell ref="FA29:FK30"/>
    <mergeCell ref="H30:CK30"/>
    <mergeCell ref="DW27:EF28"/>
    <mergeCell ref="EG27:EP28"/>
    <mergeCell ref="EQ27:EZ28"/>
    <mergeCell ref="A26:G26"/>
    <mergeCell ref="H26:CK26"/>
    <mergeCell ref="A32:G34"/>
    <mergeCell ref="H32:CK34"/>
    <mergeCell ref="CL32:CR34"/>
    <mergeCell ref="CS32:CY34"/>
    <mergeCell ref="CZ32:DK34"/>
    <mergeCell ref="DL32:DV34"/>
    <mergeCell ref="FA27:FK28"/>
    <mergeCell ref="H28:CK28"/>
    <mergeCell ref="DW32:FK32"/>
    <mergeCell ref="DW33:EA33"/>
    <mergeCell ref="EB33:ED33"/>
    <mergeCell ref="EE33:EF33"/>
    <mergeCell ref="EG33:EK33"/>
    <mergeCell ref="EL33:EN33"/>
    <mergeCell ref="EO33:EP33"/>
    <mergeCell ref="EQ33:EU33"/>
    <mergeCell ref="EV33:EX33"/>
    <mergeCell ref="EY33:EZ33"/>
    <mergeCell ref="FA33:FK34"/>
    <mergeCell ref="DW34:EF34"/>
    <mergeCell ref="EG34:EP34"/>
    <mergeCell ref="EQ34:EZ34"/>
    <mergeCell ref="A29:G30"/>
    <mergeCell ref="H29:CK29"/>
    <mergeCell ref="DW35:EF35"/>
    <mergeCell ref="EG35:EP35"/>
    <mergeCell ref="EQ35:EZ35"/>
    <mergeCell ref="FA35:FK35"/>
    <mergeCell ref="A36:G36"/>
    <mergeCell ref="H36:CK36"/>
    <mergeCell ref="CL36:CR36"/>
    <mergeCell ref="CS36:CY36"/>
    <mergeCell ref="CZ36:DK36"/>
    <mergeCell ref="DL36:DV36"/>
    <mergeCell ref="DW36:EF36"/>
    <mergeCell ref="EG36:EP36"/>
    <mergeCell ref="EQ36:EZ36"/>
    <mergeCell ref="FA36:FK36"/>
    <mergeCell ref="A35:G35"/>
    <mergeCell ref="H35:CK35"/>
    <mergeCell ref="CL35:CR35"/>
    <mergeCell ref="CS35:CY35"/>
    <mergeCell ref="CZ35:DK35"/>
    <mergeCell ref="DL35:DV35"/>
    <mergeCell ref="FA37:FK37"/>
    <mergeCell ref="A38:G38"/>
    <mergeCell ref="H38:CK38"/>
    <mergeCell ref="CL38:CR38"/>
    <mergeCell ref="CS38:CY38"/>
    <mergeCell ref="CZ38:DK38"/>
    <mergeCell ref="DL38:DV38"/>
    <mergeCell ref="DW38:EF38"/>
    <mergeCell ref="EG38:EP38"/>
    <mergeCell ref="EQ38:EZ38"/>
    <mergeCell ref="FA38:FK38"/>
    <mergeCell ref="A37:G37"/>
    <mergeCell ref="H37:CK37"/>
    <mergeCell ref="CL37:CR37"/>
    <mergeCell ref="CS37:CY37"/>
    <mergeCell ref="CZ37:DK37"/>
    <mergeCell ref="DL37:DV37"/>
    <mergeCell ref="DW37:EF37"/>
    <mergeCell ref="EG37:EP37"/>
    <mergeCell ref="EQ37:EZ37"/>
    <mergeCell ref="A39:G39"/>
    <mergeCell ref="H39:CK39"/>
    <mergeCell ref="CL39:CR39"/>
    <mergeCell ref="CS39:CY39"/>
    <mergeCell ref="CZ39:DK39"/>
    <mergeCell ref="DL39:DV39"/>
    <mergeCell ref="DW39:EF39"/>
    <mergeCell ref="EG39:EP39"/>
    <mergeCell ref="EQ39:EZ39"/>
    <mergeCell ref="FA39:FK39"/>
    <mergeCell ref="A40:G40"/>
    <mergeCell ref="H40:CK40"/>
    <mergeCell ref="CL40:CR40"/>
    <mergeCell ref="CS40:CY40"/>
    <mergeCell ref="CZ40:DK40"/>
    <mergeCell ref="DL40:DV40"/>
    <mergeCell ref="A43:G44"/>
    <mergeCell ref="H43:CK43"/>
    <mergeCell ref="CL43:CR44"/>
    <mergeCell ref="CS43:CY44"/>
    <mergeCell ref="CZ43:DK44"/>
    <mergeCell ref="DW40:EF40"/>
    <mergeCell ref="EG40:EP40"/>
    <mergeCell ref="EQ40:EZ40"/>
    <mergeCell ref="FA40:FK40"/>
    <mergeCell ref="A41:G42"/>
    <mergeCell ref="H41:CK41"/>
    <mergeCell ref="CL41:CR42"/>
    <mergeCell ref="CS41:CY42"/>
    <mergeCell ref="CZ41:DK42"/>
    <mergeCell ref="DL41:DV42"/>
    <mergeCell ref="DL43:DV44"/>
    <mergeCell ref="DW43:EF44"/>
    <mergeCell ref="EG43:EP44"/>
    <mergeCell ref="EQ43:EZ44"/>
    <mergeCell ref="FA43:FK44"/>
    <mergeCell ref="H44:CK44"/>
    <mergeCell ref="DW41:EF42"/>
    <mergeCell ref="EG41:EP42"/>
    <mergeCell ref="EQ41:EZ42"/>
    <mergeCell ref="FA41:FK42"/>
    <mergeCell ref="H42:CK42"/>
    <mergeCell ref="FA45:FK45"/>
    <mergeCell ref="A46:G46"/>
    <mergeCell ref="H46:CK46"/>
    <mergeCell ref="CL46:CR46"/>
    <mergeCell ref="CS46:CY46"/>
    <mergeCell ref="CZ46:DK46"/>
    <mergeCell ref="DL46:DV46"/>
    <mergeCell ref="A45:G45"/>
    <mergeCell ref="H45:CK45"/>
    <mergeCell ref="CL45:CR45"/>
    <mergeCell ref="CS45:CY45"/>
    <mergeCell ref="CZ45:DK45"/>
    <mergeCell ref="DL45:DV45"/>
    <mergeCell ref="DW46:EF46"/>
    <mergeCell ref="EG46:EP46"/>
    <mergeCell ref="EQ46:EZ46"/>
    <mergeCell ref="FA46:FK46"/>
    <mergeCell ref="A50:G51"/>
    <mergeCell ref="H50:CK50"/>
    <mergeCell ref="CL50:CR51"/>
    <mergeCell ref="CS50:CY51"/>
    <mergeCell ref="CZ50:DK51"/>
    <mergeCell ref="DL50:DV51"/>
    <mergeCell ref="DW45:EF45"/>
    <mergeCell ref="EG45:EP45"/>
    <mergeCell ref="EQ45:EZ45"/>
    <mergeCell ref="DW47:EF48"/>
    <mergeCell ref="EG47:EP48"/>
    <mergeCell ref="EQ47:EZ48"/>
    <mergeCell ref="DW50:EF51"/>
    <mergeCell ref="EG50:EP51"/>
    <mergeCell ref="EQ50:EZ51"/>
    <mergeCell ref="FA47:FK48"/>
    <mergeCell ref="H48:CK48"/>
    <mergeCell ref="A49:G49"/>
    <mergeCell ref="H49:CK49"/>
    <mergeCell ref="CL49:CR49"/>
    <mergeCell ref="CS49:CY49"/>
    <mergeCell ref="CZ49:DK49"/>
    <mergeCell ref="A47:G48"/>
    <mergeCell ref="H47:CK47"/>
    <mergeCell ref="CL47:CR48"/>
    <mergeCell ref="CS47:CY48"/>
    <mergeCell ref="CZ47:DK48"/>
    <mergeCell ref="DL47:DV48"/>
    <mergeCell ref="FA50:FK51"/>
    <mergeCell ref="H51:CK51"/>
    <mergeCell ref="DL49:DV49"/>
    <mergeCell ref="DW49:EF49"/>
    <mergeCell ref="EG49:EP49"/>
    <mergeCell ref="EQ49:EZ49"/>
    <mergeCell ref="FA49:FK49"/>
    <mergeCell ref="AM56:BD56"/>
    <mergeCell ref="BG56:BX56"/>
    <mergeCell ref="CA56:CR56"/>
    <mergeCell ref="AM57:BD57"/>
    <mergeCell ref="BG57:BX57"/>
    <mergeCell ref="CA57:CR57"/>
    <mergeCell ref="AQ54:BH54"/>
    <mergeCell ref="BK54:BV54"/>
    <mergeCell ref="BY54:CR54"/>
    <mergeCell ref="AQ55:BH55"/>
    <mergeCell ref="BK55:BV55"/>
    <mergeCell ref="BY55:CR55"/>
    <mergeCell ref="AL60:AN60"/>
    <mergeCell ref="A64:CM64"/>
    <mergeCell ref="A65:CM65"/>
    <mergeCell ref="A67:Y67"/>
    <mergeCell ref="AH67:CM67"/>
    <mergeCell ref="A68:Y68"/>
    <mergeCell ref="AH68:CM68"/>
    <mergeCell ref="I60:J60"/>
    <mergeCell ref="K60:M60"/>
    <mergeCell ref="N60:O60"/>
    <mergeCell ref="Q60:AE60"/>
    <mergeCell ref="AF60:AH60"/>
    <mergeCell ref="AI60:AK60"/>
    <mergeCell ref="AD70:AF70"/>
    <mergeCell ref="A74:FK74"/>
    <mergeCell ref="A75:FK75"/>
    <mergeCell ref="A76:FK76"/>
    <mergeCell ref="A70:B70"/>
    <mergeCell ref="C70:E70"/>
    <mergeCell ref="F70:G70"/>
    <mergeCell ref="I70:W70"/>
    <mergeCell ref="X70:Z70"/>
    <mergeCell ref="AA70:AC70"/>
  </mergeCells>
  <pageMargins left="0.70866141732283472" right="0.70866141732283472" top="0.74803149606299213" bottom="0.74803149606299213" header="0.31496062992125984" footer="0.31496062992125984"/>
  <pageSetup paperSize="9" scale="40" fitToHeight="2"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Q493"/>
  <sheetViews>
    <sheetView tabSelected="1" topLeftCell="A339" zoomScaleSheetLayoutView="100" workbookViewId="0">
      <selection activeCell="G129" sqref="G129:H129"/>
    </sheetView>
  </sheetViews>
  <sheetFormatPr defaultColWidth="9.140625" defaultRowHeight="15.75" x14ac:dyDescent="0.25"/>
  <cols>
    <col min="1" max="1" width="6.7109375" style="164" customWidth="1"/>
    <col min="2" max="2" width="25" style="164" customWidth="1"/>
    <col min="3" max="3" width="9.140625" style="164"/>
    <col min="4" max="4" width="12.140625" style="164" customWidth="1"/>
    <col min="5" max="5" width="24.7109375" style="164" customWidth="1"/>
    <col min="6" max="6" width="10.7109375" style="164" customWidth="1"/>
    <col min="7" max="7" width="12.28515625" style="164" customWidth="1"/>
    <col min="8" max="8" width="10.7109375" style="164" customWidth="1"/>
    <col min="9" max="9" width="16.28515625" style="164" customWidth="1"/>
    <col min="10" max="10" width="22" style="456" customWidth="1"/>
    <col min="11" max="11" width="81.85546875" style="292" customWidth="1"/>
    <col min="12" max="12" width="23.85546875" style="164" customWidth="1"/>
    <col min="13" max="13" width="13.28515625" style="164" customWidth="1"/>
    <col min="14" max="14" width="22.85546875" style="164" customWidth="1"/>
    <col min="15" max="16" width="9.140625" style="164"/>
    <col min="17" max="17" width="9.5703125" style="164" bestFit="1" customWidth="1"/>
    <col min="18" max="16384" width="9.140625" style="164"/>
  </cols>
  <sheetData>
    <row r="1" spans="1:12" ht="26.25" customHeight="1" x14ac:dyDescent="0.25">
      <c r="A1" s="1182" t="s">
        <v>68</v>
      </c>
      <c r="B1" s="1182"/>
      <c r="C1" s="1182"/>
      <c r="D1" s="1182"/>
      <c r="E1" s="1182"/>
      <c r="F1" s="1182"/>
      <c r="G1" s="1182"/>
      <c r="H1" s="1182"/>
      <c r="I1" s="1182"/>
      <c r="J1" s="1182"/>
    </row>
    <row r="2" spans="1:12" ht="17.25" customHeight="1" x14ac:dyDescent="0.25">
      <c r="A2" s="1182" t="s">
        <v>419</v>
      </c>
      <c r="B2" s="1182"/>
      <c r="C2" s="1182"/>
      <c r="D2" s="1182"/>
      <c r="E2" s="1182"/>
      <c r="F2" s="1182"/>
      <c r="G2" s="1182"/>
      <c r="H2" s="1182"/>
      <c r="I2" s="1182"/>
      <c r="J2" s="1182"/>
    </row>
    <row r="3" spans="1:12" ht="47.25" customHeight="1" x14ac:dyDescent="0.25">
      <c r="A3" s="1182" t="s">
        <v>365</v>
      </c>
      <c r="B3" s="1182"/>
      <c r="C3" s="1182"/>
      <c r="D3" s="1182"/>
      <c r="E3" s="1182"/>
      <c r="F3" s="1182"/>
      <c r="G3" s="1182"/>
      <c r="H3" s="1182"/>
      <c r="I3" s="1182"/>
      <c r="J3" s="1182"/>
    </row>
    <row r="4" spans="1:12" x14ac:dyDescent="0.25">
      <c r="A4" s="324"/>
      <c r="B4" s="325"/>
      <c r="C4" s="325"/>
      <c r="D4" s="326" t="s">
        <v>263</v>
      </c>
      <c r="E4" s="457" t="s">
        <v>1101</v>
      </c>
      <c r="F4" s="327" t="s">
        <v>584</v>
      </c>
      <c r="G4" s="325"/>
      <c r="H4" s="325"/>
      <c r="I4" s="325"/>
      <c r="J4" s="441"/>
    </row>
    <row r="5" spans="1:12" x14ac:dyDescent="0.25">
      <c r="A5" s="1082" t="s">
        <v>0</v>
      </c>
      <c r="B5" s="1082"/>
      <c r="C5" s="1082"/>
      <c r="D5" s="1082"/>
      <c r="E5" s="1082"/>
      <c r="F5" s="1082"/>
      <c r="G5" s="1082"/>
      <c r="H5" s="1082"/>
      <c r="I5" s="1082"/>
      <c r="J5" s="1082"/>
    </row>
    <row r="6" spans="1:12" ht="19.5" customHeight="1" x14ac:dyDescent="0.25">
      <c r="A6" s="324" t="s">
        <v>80</v>
      </c>
      <c r="B6" s="325"/>
      <c r="C6" s="328">
        <v>111</v>
      </c>
      <c r="D6" s="328">
        <v>112</v>
      </c>
      <c r="E6" s="328">
        <v>119</v>
      </c>
      <c r="F6" s="329"/>
      <c r="G6" s="329"/>
      <c r="H6" s="329"/>
      <c r="I6" s="329"/>
      <c r="J6" s="442"/>
    </row>
    <row r="7" spans="1:12" ht="22.5" customHeight="1" x14ac:dyDescent="0.25">
      <c r="A7" s="324" t="s">
        <v>81</v>
      </c>
      <c r="B7" s="325"/>
      <c r="C7" s="325"/>
      <c r="D7" s="325"/>
      <c r="E7" s="330" t="s">
        <v>1167</v>
      </c>
      <c r="F7" s="331"/>
      <c r="G7" s="330"/>
      <c r="H7" s="331"/>
      <c r="I7" s="330"/>
      <c r="J7" s="443"/>
    </row>
    <row r="8" spans="1:12" ht="24.75" customHeight="1" x14ac:dyDescent="0.25">
      <c r="A8" s="1183" t="s">
        <v>350</v>
      </c>
      <c r="B8" s="1183"/>
      <c r="C8" s="1183"/>
      <c r="D8" s="1183"/>
      <c r="E8" s="1183"/>
      <c r="F8" s="1183"/>
      <c r="G8" s="1183"/>
      <c r="H8" s="1183"/>
      <c r="I8" s="1183"/>
      <c r="J8" s="1183"/>
    </row>
    <row r="9" spans="1:12" ht="21.75" customHeight="1" x14ac:dyDescent="0.25">
      <c r="A9" s="1184" t="s">
        <v>1</v>
      </c>
      <c r="B9" s="1179" t="s">
        <v>2</v>
      </c>
      <c r="C9" s="1179" t="s">
        <v>3</v>
      </c>
      <c r="D9" s="1184" t="s">
        <v>4</v>
      </c>
      <c r="E9" s="1184"/>
      <c r="F9" s="1184"/>
      <c r="G9" s="1184"/>
      <c r="H9" s="1184" t="s">
        <v>5</v>
      </c>
      <c r="I9" s="1131" t="s">
        <v>6</v>
      </c>
      <c r="J9" s="1185" t="s">
        <v>305</v>
      </c>
    </row>
    <row r="10" spans="1:12" ht="33" customHeight="1" x14ac:dyDescent="0.25">
      <c r="A10" s="1184"/>
      <c r="B10" s="1179"/>
      <c r="C10" s="1179"/>
      <c r="D10" s="1179" t="s">
        <v>8</v>
      </c>
      <c r="E10" s="1131" t="s">
        <v>9</v>
      </c>
      <c r="F10" s="1131"/>
      <c r="G10" s="1131"/>
      <c r="H10" s="1184"/>
      <c r="I10" s="1131"/>
      <c r="J10" s="1185"/>
      <c r="K10" s="292">
        <v>1.0389999999999999</v>
      </c>
    </row>
    <row r="11" spans="1:12" ht="75" x14ac:dyDescent="0.25">
      <c r="A11" s="1184"/>
      <c r="B11" s="1179"/>
      <c r="C11" s="1179"/>
      <c r="D11" s="1179"/>
      <c r="E11" s="549" t="s">
        <v>10</v>
      </c>
      <c r="F11" s="549" t="s">
        <v>11</v>
      </c>
      <c r="G11" s="549" t="s">
        <v>12</v>
      </c>
      <c r="H11" s="1184"/>
      <c r="I11" s="1131"/>
      <c r="J11" s="1185"/>
    </row>
    <row r="12" spans="1:12" ht="14.25" customHeight="1" x14ac:dyDescent="0.25">
      <c r="A12" s="550">
        <v>1</v>
      </c>
      <c r="B12" s="332">
        <v>2</v>
      </c>
      <c r="C12" s="332">
        <v>3</v>
      </c>
      <c r="D12" s="332">
        <v>4</v>
      </c>
      <c r="E12" s="550">
        <v>5</v>
      </c>
      <c r="F12" s="550">
        <v>6</v>
      </c>
      <c r="G12" s="550">
        <v>7</v>
      </c>
      <c r="H12" s="550">
        <v>8</v>
      </c>
      <c r="I12" s="550">
        <v>9</v>
      </c>
      <c r="J12" s="584">
        <v>10</v>
      </c>
    </row>
    <row r="13" spans="1:12" s="276" customFormat="1" ht="15.75" customHeight="1" x14ac:dyDescent="0.25">
      <c r="A13" s="1186" t="s">
        <v>351</v>
      </c>
      <c r="B13" s="1131"/>
      <c r="C13" s="1131"/>
      <c r="D13" s="1131"/>
      <c r="E13" s="1131"/>
      <c r="F13" s="1131"/>
      <c r="G13" s="1131"/>
      <c r="H13" s="1131"/>
      <c r="I13" s="1131"/>
      <c r="J13" s="1131"/>
      <c r="K13" s="292"/>
    </row>
    <row r="14" spans="1:12" s="276" customFormat="1" ht="18" customHeight="1" x14ac:dyDescent="0.25">
      <c r="A14" s="1192" t="s">
        <v>420</v>
      </c>
      <c r="B14" s="1188"/>
      <c r="C14" s="1188"/>
      <c r="D14" s="1188"/>
      <c r="E14" s="1188"/>
      <c r="F14" s="1188"/>
      <c r="G14" s="1188"/>
      <c r="H14" s="1188"/>
      <c r="I14" s="1188"/>
      <c r="J14" s="1188"/>
      <c r="K14" s="292"/>
    </row>
    <row r="15" spans="1:12" ht="20.25" customHeight="1" x14ac:dyDescent="0.25">
      <c r="A15" s="551">
        <v>1</v>
      </c>
      <c r="B15" s="334" t="s">
        <v>257</v>
      </c>
      <c r="C15" s="544">
        <v>1</v>
      </c>
      <c r="D15" s="335">
        <f>E15+F15+G15</f>
        <v>72975.073090909093</v>
      </c>
      <c r="E15" s="335">
        <f>7498*1.5*(1.3+1.085)+50</f>
        <v>26874.094999999998</v>
      </c>
      <c r="F15" s="552">
        <v>0</v>
      </c>
      <c r="G15" s="335">
        <f>(E15+F15)*20%+(26353+63244.55)/2.2</f>
        <v>46100.978090909091</v>
      </c>
      <c r="H15" s="591">
        <v>0.5</v>
      </c>
      <c r="I15" s="551">
        <v>1.7</v>
      </c>
      <c r="J15" s="554">
        <f>(((E15*(H15+I15))+F15+G15))*13</f>
        <v>1367911.8321818183</v>
      </c>
      <c r="K15" s="295" t="s">
        <v>729</v>
      </c>
      <c r="L15" s="164">
        <f>C15*D15*(H15+I15)</f>
        <v>160545.16080000001</v>
      </c>
    </row>
    <row r="16" spans="1:12" ht="45" customHeight="1" x14ac:dyDescent="0.25">
      <c r="A16" s="551">
        <v>2</v>
      </c>
      <c r="B16" s="334" t="s">
        <v>421</v>
      </c>
      <c r="C16" s="544">
        <v>2</v>
      </c>
      <c r="D16" s="335">
        <f>E16+F16+G16</f>
        <v>126188.40480000002</v>
      </c>
      <c r="E16" s="335">
        <f>7498*4*1.5*(0.15+1.3+0.883)+(50*4)</f>
        <v>105157.00400000002</v>
      </c>
      <c r="F16" s="552">
        <v>0</v>
      </c>
      <c r="G16" s="335">
        <f t="shared" ref="G16:G20" si="0">(E16+F16)*20%</f>
        <v>21031.400800000003</v>
      </c>
      <c r="H16" s="591">
        <v>0.5</v>
      </c>
      <c r="I16" s="551">
        <v>1.7</v>
      </c>
      <c r="J16" s="554">
        <f t="shared" ref="J16:J20" si="1">(((E16*(H16+I16))+F16+G16))*13</f>
        <v>3280898.5248000007</v>
      </c>
    </row>
    <row r="17" spans="1:12" ht="45" customHeight="1" x14ac:dyDescent="0.25">
      <c r="A17" s="551">
        <v>3</v>
      </c>
      <c r="B17" s="334" t="s">
        <v>422</v>
      </c>
      <c r="C17" s="544">
        <v>1</v>
      </c>
      <c r="D17" s="335">
        <f>E17+F17+G17</f>
        <v>29522.641199999998</v>
      </c>
      <c r="E17" s="335">
        <f>7498*1.5*(1.3+0.883)+50</f>
        <v>24602.200999999997</v>
      </c>
      <c r="F17" s="552">
        <v>0</v>
      </c>
      <c r="G17" s="335">
        <f>(E17+F17)*20%</f>
        <v>4920.4402</v>
      </c>
      <c r="H17" s="591">
        <v>0.5</v>
      </c>
      <c r="I17" s="551">
        <v>1.7</v>
      </c>
      <c r="J17" s="554">
        <f t="shared" si="1"/>
        <v>767588.67119999998</v>
      </c>
    </row>
    <row r="18" spans="1:12" ht="45" customHeight="1" x14ac:dyDescent="0.25">
      <c r="A18" s="551">
        <v>4</v>
      </c>
      <c r="B18" s="334" t="s">
        <v>423</v>
      </c>
      <c r="C18" s="544">
        <v>0.5</v>
      </c>
      <c r="D18" s="335">
        <f t="shared" ref="D18:D65" si="2">E18+F18+G18</f>
        <v>29522.641199999998</v>
      </c>
      <c r="E18" s="335">
        <f>7498*1.5*(1.3+0.883)+50</f>
        <v>24602.200999999997</v>
      </c>
      <c r="F18" s="552">
        <v>0</v>
      </c>
      <c r="G18" s="335">
        <f t="shared" si="0"/>
        <v>4920.4402</v>
      </c>
      <c r="H18" s="591">
        <v>0.5</v>
      </c>
      <c r="I18" s="551">
        <v>1.7</v>
      </c>
      <c r="J18" s="554">
        <f t="shared" si="1"/>
        <v>767588.67119999998</v>
      </c>
    </row>
    <row r="19" spans="1:12" ht="49.5" customHeight="1" x14ac:dyDescent="0.25">
      <c r="A19" s="551">
        <v>5</v>
      </c>
      <c r="B19" s="334" t="s">
        <v>424</v>
      </c>
      <c r="C19" s="544">
        <v>1</v>
      </c>
      <c r="D19" s="335">
        <f t="shared" si="2"/>
        <v>29522.641199999998</v>
      </c>
      <c r="E19" s="335">
        <f>7498*1.5*(1.3+0.883)+50</f>
        <v>24602.200999999997</v>
      </c>
      <c r="F19" s="552">
        <v>0</v>
      </c>
      <c r="G19" s="335">
        <f t="shared" si="0"/>
        <v>4920.4402</v>
      </c>
      <c r="H19" s="591">
        <v>0.5</v>
      </c>
      <c r="I19" s="551">
        <v>1.7</v>
      </c>
      <c r="J19" s="554">
        <f t="shared" si="1"/>
        <v>767588.67119999998</v>
      </c>
    </row>
    <row r="20" spans="1:12" x14ac:dyDescent="0.25">
      <c r="A20" s="551">
        <v>6</v>
      </c>
      <c r="B20" s="334" t="s">
        <v>258</v>
      </c>
      <c r="C20" s="544">
        <v>1</v>
      </c>
      <c r="D20" s="335">
        <f t="shared" si="2"/>
        <v>29522.641199999998</v>
      </c>
      <c r="E20" s="335">
        <f>7498*1.5*(1.3+0.883)+50</f>
        <v>24602.200999999997</v>
      </c>
      <c r="F20" s="552">
        <v>0</v>
      </c>
      <c r="G20" s="335">
        <f t="shared" si="0"/>
        <v>4920.4402</v>
      </c>
      <c r="H20" s="591">
        <v>0.5</v>
      </c>
      <c r="I20" s="551">
        <v>1.7</v>
      </c>
      <c r="J20" s="554">
        <f t="shared" si="1"/>
        <v>767588.67119999998</v>
      </c>
    </row>
    <row r="21" spans="1:12" ht="28.5" x14ac:dyDescent="0.25">
      <c r="A21" s="551"/>
      <c r="B21" s="542" t="s">
        <v>425</v>
      </c>
      <c r="C21" s="336">
        <f>SUM(C15:C20)</f>
        <v>6.5</v>
      </c>
      <c r="D21" s="337">
        <f>SUM(D15:D20)</f>
        <v>317254.04269090918</v>
      </c>
      <c r="E21" s="555" t="s">
        <v>14</v>
      </c>
      <c r="F21" s="555">
        <v>0</v>
      </c>
      <c r="G21" s="555" t="s">
        <v>14</v>
      </c>
      <c r="H21" s="555" t="s">
        <v>14</v>
      </c>
      <c r="I21" s="555" t="s">
        <v>14</v>
      </c>
      <c r="J21" s="556">
        <f>SUM(J15:J20)</f>
        <v>7719165.0417818185</v>
      </c>
      <c r="K21" s="296"/>
    </row>
    <row r="22" spans="1:12" ht="15.75" customHeight="1" x14ac:dyDescent="0.25">
      <c r="A22" s="1187" t="s">
        <v>426</v>
      </c>
      <c r="B22" s="1193"/>
      <c r="C22" s="1193"/>
      <c r="D22" s="1193"/>
      <c r="E22" s="1193"/>
      <c r="F22" s="1193"/>
      <c r="G22" s="1193"/>
      <c r="H22" s="1193"/>
      <c r="I22" s="1193"/>
      <c r="J22" s="1193"/>
    </row>
    <row r="23" spans="1:12" ht="18.75" customHeight="1" x14ac:dyDescent="0.25">
      <c r="A23" s="1147" t="s">
        <v>427</v>
      </c>
      <c r="B23" s="1148"/>
      <c r="C23" s="1148"/>
      <c r="D23" s="1148"/>
      <c r="E23" s="1148"/>
      <c r="F23" s="1148"/>
      <c r="G23" s="1148"/>
      <c r="H23" s="1148"/>
      <c r="I23" s="1148"/>
      <c r="J23" s="1149"/>
    </row>
    <row r="24" spans="1:12" x14ac:dyDescent="0.25">
      <c r="A24" s="551">
        <v>1</v>
      </c>
      <c r="B24" s="334" t="s">
        <v>428</v>
      </c>
      <c r="C24" s="544">
        <v>2.5</v>
      </c>
      <c r="D24" s="335">
        <f>E24+F24+G24</f>
        <v>14906.04</v>
      </c>
      <c r="E24" s="335">
        <f>7498*1.5*1.1+50</f>
        <v>12421.7</v>
      </c>
      <c r="F24" s="552">
        <v>0</v>
      </c>
      <c r="G24" s="335">
        <f t="shared" ref="G24:G35" si="3">(E24+F24)*20%</f>
        <v>2484.34</v>
      </c>
      <c r="H24" s="591">
        <v>0.5</v>
      </c>
      <c r="I24" s="551">
        <v>1.7</v>
      </c>
      <c r="J24" s="554">
        <f>((D24*C24)*(H24+I24))*12</f>
        <v>983798.64000000013</v>
      </c>
      <c r="L24" s="552">
        <f>3200+5461</f>
        <v>8661</v>
      </c>
    </row>
    <row r="25" spans="1:12" ht="75" x14ac:dyDescent="0.25">
      <c r="A25" s="551">
        <v>2</v>
      </c>
      <c r="B25" s="334" t="s">
        <v>429</v>
      </c>
      <c r="C25" s="544">
        <v>1</v>
      </c>
      <c r="D25" s="335">
        <f t="shared" si="2"/>
        <v>14906.04</v>
      </c>
      <c r="E25" s="335">
        <f>7498*1.5*1.1+50</f>
        <v>12421.7</v>
      </c>
      <c r="F25" s="552">
        <v>0</v>
      </c>
      <c r="G25" s="335">
        <f t="shared" si="3"/>
        <v>2484.34</v>
      </c>
      <c r="H25" s="591">
        <v>0.5</v>
      </c>
      <c r="I25" s="551">
        <v>1.7</v>
      </c>
      <c r="J25" s="554">
        <f>((D25*C25)*(H25+I25))*12</f>
        <v>393519.45600000012</v>
      </c>
      <c r="L25" s="552">
        <f>4300+3079+2795</f>
        <v>10174</v>
      </c>
    </row>
    <row r="26" spans="1:12" x14ac:dyDescent="0.25">
      <c r="A26" s="551">
        <v>3</v>
      </c>
      <c r="B26" s="334" t="s">
        <v>316</v>
      </c>
      <c r="C26" s="544">
        <v>2.5</v>
      </c>
      <c r="D26" s="335">
        <f t="shared" si="2"/>
        <v>14906.04</v>
      </c>
      <c r="E26" s="335">
        <f>7498*1.5*1.1+50</f>
        <v>12421.7</v>
      </c>
      <c r="F26" s="552">
        <v>0</v>
      </c>
      <c r="G26" s="335">
        <f t="shared" si="3"/>
        <v>2484.34</v>
      </c>
      <c r="H26" s="591">
        <v>0.5</v>
      </c>
      <c r="I26" s="551">
        <v>1.7</v>
      </c>
      <c r="J26" s="554">
        <f t="shared" ref="J26:J35" si="4">((D26*C26)*(H26+I26))*12</f>
        <v>983798.64000000013</v>
      </c>
      <c r="L26" s="552">
        <f>3200+5460</f>
        <v>8660</v>
      </c>
    </row>
    <row r="27" spans="1:12" x14ac:dyDescent="0.25">
      <c r="A27" s="551">
        <v>4</v>
      </c>
      <c r="B27" s="334" t="s">
        <v>614</v>
      </c>
      <c r="C27" s="544">
        <v>2</v>
      </c>
      <c r="D27" s="335">
        <f t="shared" si="2"/>
        <v>14906.04</v>
      </c>
      <c r="E27" s="335">
        <f>7498*1.5*1.1+50</f>
        <v>12421.7</v>
      </c>
      <c r="F27" s="552">
        <v>0</v>
      </c>
      <c r="G27" s="335">
        <f t="shared" si="3"/>
        <v>2484.34</v>
      </c>
      <c r="H27" s="591">
        <v>0.5</v>
      </c>
      <c r="I27" s="551">
        <v>1.7</v>
      </c>
      <c r="J27" s="554">
        <f t="shared" si="4"/>
        <v>787038.91200000024</v>
      </c>
      <c r="K27" s="296">
        <f>J36-J34</f>
        <v>19877662.823040001</v>
      </c>
      <c r="L27" s="552">
        <v>4487</v>
      </c>
    </row>
    <row r="28" spans="1:12" x14ac:dyDescent="0.25">
      <c r="A28" s="551">
        <v>5</v>
      </c>
      <c r="B28" s="334" t="s">
        <v>430</v>
      </c>
      <c r="C28" s="544">
        <v>2</v>
      </c>
      <c r="D28" s="335">
        <f t="shared" si="2"/>
        <v>14906.04</v>
      </c>
      <c r="E28" s="335">
        <f>7498*1.5*1.1+50</f>
        <v>12421.7</v>
      </c>
      <c r="F28" s="552">
        <v>0</v>
      </c>
      <c r="G28" s="335">
        <f t="shared" si="3"/>
        <v>2484.34</v>
      </c>
      <c r="H28" s="591">
        <v>0.5</v>
      </c>
      <c r="I28" s="551">
        <v>1.7</v>
      </c>
      <c r="J28" s="554">
        <f t="shared" si="4"/>
        <v>787038.91200000024</v>
      </c>
      <c r="L28" s="552">
        <v>3730</v>
      </c>
    </row>
    <row r="29" spans="1:12" x14ac:dyDescent="0.25">
      <c r="A29" s="551">
        <v>6</v>
      </c>
      <c r="B29" s="334" t="s">
        <v>317</v>
      </c>
      <c r="C29" s="544">
        <v>2</v>
      </c>
      <c r="D29" s="335">
        <f t="shared" si="2"/>
        <v>16930.5</v>
      </c>
      <c r="E29" s="335">
        <f>7498*1.5*1.25+50</f>
        <v>14108.75</v>
      </c>
      <c r="F29" s="552">
        <v>0</v>
      </c>
      <c r="G29" s="335">
        <f t="shared" si="3"/>
        <v>2821.75</v>
      </c>
      <c r="H29" s="591">
        <v>0.5</v>
      </c>
      <c r="I29" s="551">
        <v>1.7</v>
      </c>
      <c r="J29" s="554">
        <f t="shared" si="4"/>
        <v>893930.40000000014</v>
      </c>
      <c r="L29" s="552">
        <f>1860+3917</f>
        <v>5777</v>
      </c>
    </row>
    <row r="30" spans="1:12" x14ac:dyDescent="0.25">
      <c r="A30" s="551">
        <v>7</v>
      </c>
      <c r="B30" s="334" t="s">
        <v>315</v>
      </c>
      <c r="C30" s="544">
        <v>3</v>
      </c>
      <c r="D30" s="335">
        <f t="shared" si="2"/>
        <v>16930.5</v>
      </c>
      <c r="E30" s="335">
        <f>7498*1.5*1.25+50</f>
        <v>14108.75</v>
      </c>
      <c r="F30" s="552">
        <v>0</v>
      </c>
      <c r="G30" s="335">
        <f t="shared" si="3"/>
        <v>2821.75</v>
      </c>
      <c r="H30" s="591">
        <v>0.5</v>
      </c>
      <c r="I30" s="551">
        <v>1.7</v>
      </c>
      <c r="J30" s="554">
        <f t="shared" si="4"/>
        <v>1340895.6000000001</v>
      </c>
      <c r="L30" s="552">
        <f>4300+2923+7169-2000</f>
        <v>12392</v>
      </c>
    </row>
    <row r="31" spans="1:12" x14ac:dyDescent="0.25">
      <c r="A31" s="551">
        <v>8</v>
      </c>
      <c r="B31" s="334" t="s">
        <v>314</v>
      </c>
      <c r="C31" s="544">
        <v>5</v>
      </c>
      <c r="D31" s="335">
        <f t="shared" si="2"/>
        <v>60703.199999999997</v>
      </c>
      <c r="E31" s="335">
        <f>(9289+9520+11244+11244+9289)</f>
        <v>50586</v>
      </c>
      <c r="F31" s="552">
        <v>0</v>
      </c>
      <c r="G31" s="335">
        <f t="shared" si="3"/>
        <v>10117.200000000001</v>
      </c>
      <c r="H31" s="591">
        <v>0.5</v>
      </c>
      <c r="I31" s="551">
        <v>1.7</v>
      </c>
      <c r="J31" s="554">
        <f t="shared" si="4"/>
        <v>8012822.4000000004</v>
      </c>
      <c r="L31" s="552">
        <v>2009</v>
      </c>
    </row>
    <row r="32" spans="1:12" ht="29.25" customHeight="1" x14ac:dyDescent="0.25">
      <c r="A32" s="551">
        <v>9</v>
      </c>
      <c r="B32" s="334" t="s">
        <v>431</v>
      </c>
      <c r="C32" s="544">
        <f>3+7.94</f>
        <v>10.940000000000001</v>
      </c>
      <c r="D32" s="335">
        <f t="shared" si="2"/>
        <v>16255.68</v>
      </c>
      <c r="E32" s="335">
        <f>7498*1.5*1.2+50</f>
        <v>13546.4</v>
      </c>
      <c r="F32" s="552">
        <v>0</v>
      </c>
      <c r="G32" s="335">
        <f>(E32+F32)*20%</f>
        <v>2709.28</v>
      </c>
      <c r="H32" s="591">
        <v>0.5</v>
      </c>
      <c r="I32" s="551">
        <v>1.7</v>
      </c>
      <c r="J32" s="554">
        <f t="shared" si="4"/>
        <v>4694900.4748800006</v>
      </c>
      <c r="L32" s="552">
        <v>2009</v>
      </c>
    </row>
    <row r="33" spans="1:17" x14ac:dyDescent="0.25">
      <c r="A33" s="551">
        <v>10</v>
      </c>
      <c r="B33" s="334" t="s">
        <v>317</v>
      </c>
      <c r="C33" s="544">
        <v>0</v>
      </c>
      <c r="D33" s="335">
        <f t="shared" si="2"/>
        <v>14906.04</v>
      </c>
      <c r="E33" s="335">
        <f>7498*1.5*1.1+50</f>
        <v>12421.7</v>
      </c>
      <c r="F33" s="552">
        <v>0</v>
      </c>
      <c r="G33" s="335">
        <f t="shared" ref="G33:G34" si="5">(E33+F33)*20%</f>
        <v>2484.34</v>
      </c>
      <c r="H33" s="591">
        <v>0.5</v>
      </c>
      <c r="I33" s="551">
        <v>1.7</v>
      </c>
      <c r="J33" s="554">
        <f t="shared" si="4"/>
        <v>0</v>
      </c>
      <c r="L33" s="552">
        <f t="shared" ref="L33" si="6">(J33+K33)*20%</f>
        <v>0</v>
      </c>
    </row>
    <row r="34" spans="1:17" x14ac:dyDescent="0.25">
      <c r="A34" s="551">
        <v>11</v>
      </c>
      <c r="B34" s="334" t="s">
        <v>432</v>
      </c>
      <c r="C34" s="544">
        <v>78.459999999999994</v>
      </c>
      <c r="D34" s="335">
        <f t="shared" si="2"/>
        <v>21420</v>
      </c>
      <c r="E34" s="335">
        <f>16500+1350</f>
        <v>17850</v>
      </c>
      <c r="F34" s="552">
        <v>0</v>
      </c>
      <c r="G34" s="335">
        <f t="shared" si="5"/>
        <v>3570</v>
      </c>
      <c r="H34" s="591">
        <v>0.5</v>
      </c>
      <c r="I34" s="551">
        <v>1.7</v>
      </c>
      <c r="J34" s="554">
        <f t="shared" si="4"/>
        <v>44368188.480000004</v>
      </c>
      <c r="K34" s="295">
        <f>84769*50*12</f>
        <v>50861400</v>
      </c>
      <c r="L34" s="552">
        <f>6461-2400</f>
        <v>4061</v>
      </c>
    </row>
    <row r="35" spans="1:17" x14ac:dyDescent="0.25">
      <c r="A35" s="551">
        <v>12</v>
      </c>
      <c r="B35" s="334" t="s">
        <v>674</v>
      </c>
      <c r="C35" s="544">
        <v>2.33</v>
      </c>
      <c r="D35" s="335">
        <f t="shared" si="2"/>
        <v>16255.68</v>
      </c>
      <c r="E35" s="335">
        <f>7498*1.5*1.2+50</f>
        <v>13546.4</v>
      </c>
      <c r="F35" s="552">
        <v>0</v>
      </c>
      <c r="G35" s="335">
        <f t="shared" si="3"/>
        <v>2709.28</v>
      </c>
      <c r="H35" s="591">
        <v>0.5</v>
      </c>
      <c r="I35" s="551">
        <v>1.7</v>
      </c>
      <c r="J35" s="554">
        <f t="shared" si="4"/>
        <v>999919.38816000009</v>
      </c>
      <c r="L35" s="552">
        <v>4265</v>
      </c>
    </row>
    <row r="36" spans="1:17" s="278" customFormat="1" x14ac:dyDescent="0.25">
      <c r="A36" s="557"/>
      <c r="B36" s="339" t="s">
        <v>434</v>
      </c>
      <c r="C36" s="338">
        <f>SUM(C24:C35)</f>
        <v>111.72999999999999</v>
      </c>
      <c r="D36" s="338">
        <f t="shared" ref="D36:J36" si="7">SUM(D24:D35)</f>
        <v>237931.80000000002</v>
      </c>
      <c r="E36" s="557">
        <f t="shared" si="7"/>
        <v>198276.5</v>
      </c>
      <c r="F36" s="557">
        <f t="shared" si="7"/>
        <v>0</v>
      </c>
      <c r="G36" s="557">
        <f t="shared" si="7"/>
        <v>39655.300000000003</v>
      </c>
      <c r="H36" s="557">
        <v>0</v>
      </c>
      <c r="I36" s="557">
        <v>0</v>
      </c>
      <c r="J36" s="558">
        <f t="shared" si="7"/>
        <v>64245851.303040005</v>
      </c>
      <c r="K36" s="298">
        <v>73253</v>
      </c>
      <c r="L36" s="278">
        <f>K36*12*68</f>
        <v>59774448</v>
      </c>
      <c r="N36" s="278">
        <v>72</v>
      </c>
      <c r="O36" s="278">
        <v>12</v>
      </c>
      <c r="P36" s="278">
        <v>1.1000000000000001</v>
      </c>
      <c r="Q36" s="278">
        <f>K36*O36*N36*P36</f>
        <v>69619651.200000003</v>
      </c>
    </row>
    <row r="37" spans="1:17" ht="15.75" customHeight="1" x14ac:dyDescent="0.25">
      <c r="A37" s="1147" t="s">
        <v>435</v>
      </c>
      <c r="B37" s="1148"/>
      <c r="C37" s="1148"/>
      <c r="D37" s="1148"/>
      <c r="E37" s="1148"/>
      <c r="F37" s="1148"/>
      <c r="G37" s="1148"/>
      <c r="H37" s="1148"/>
      <c r="I37" s="1148"/>
      <c r="J37" s="1149"/>
      <c r="K37" s="593">
        <f>66*81753*12</f>
        <v>64748376</v>
      </c>
    </row>
    <row r="38" spans="1:17" x14ac:dyDescent="0.25">
      <c r="A38" s="551">
        <v>1</v>
      </c>
      <c r="B38" s="334" t="s">
        <v>441</v>
      </c>
      <c r="C38" s="544">
        <v>2</v>
      </c>
      <c r="D38" s="335">
        <f t="shared" ref="D38:D45" si="8">E38+F38+G38</f>
        <v>17809.569599999999</v>
      </c>
      <c r="E38" s="335">
        <f>7498*1.3*1.42+1000</f>
        <v>14841.307999999999</v>
      </c>
      <c r="F38" s="335">
        <v>0</v>
      </c>
      <c r="G38" s="335">
        <f t="shared" ref="G38:G49" si="9">(E38+F38)*20%</f>
        <v>2968.2615999999998</v>
      </c>
      <c r="H38" s="591">
        <v>0.5</v>
      </c>
      <c r="I38" s="551">
        <v>1.7</v>
      </c>
      <c r="J38" s="554">
        <f>((D38*C38)*(H38+I38))*12</f>
        <v>940345.27488000016</v>
      </c>
      <c r="K38" s="297"/>
    </row>
    <row r="39" spans="1:17" x14ac:dyDescent="0.25">
      <c r="A39" s="551">
        <v>2</v>
      </c>
      <c r="B39" s="334" t="s">
        <v>440</v>
      </c>
      <c r="C39" s="544">
        <v>1.5</v>
      </c>
      <c r="D39" s="335">
        <f t="shared" si="8"/>
        <v>21039.707999999999</v>
      </c>
      <c r="E39" s="335">
        <f>7498*1.5*1.47+1000</f>
        <v>17533.09</v>
      </c>
      <c r="F39" s="335">
        <v>0</v>
      </c>
      <c r="G39" s="335">
        <f t="shared" si="9"/>
        <v>3506.6180000000004</v>
      </c>
      <c r="H39" s="591">
        <v>0.5</v>
      </c>
      <c r="I39" s="551">
        <v>1.7</v>
      </c>
      <c r="J39" s="554">
        <f t="shared" ref="J39:J49" si="10">((D39*C39)*(H39+I39))*12</f>
        <v>833172.43680000002</v>
      </c>
      <c r="K39" s="297"/>
    </row>
    <row r="40" spans="1:17" x14ac:dyDescent="0.25">
      <c r="A40" s="551">
        <v>3</v>
      </c>
      <c r="B40" s="334" t="s">
        <v>439</v>
      </c>
      <c r="C40" s="544">
        <v>1.75</v>
      </c>
      <c r="D40" s="335">
        <f t="shared" si="8"/>
        <v>19690.067999999999</v>
      </c>
      <c r="E40" s="335">
        <f>7498*1.5*1.37+1000</f>
        <v>16408.39</v>
      </c>
      <c r="F40" s="335">
        <v>0</v>
      </c>
      <c r="G40" s="335">
        <f t="shared" si="9"/>
        <v>3281.6779999999999</v>
      </c>
      <c r="H40" s="591">
        <v>0.5</v>
      </c>
      <c r="I40" s="551">
        <v>1.7</v>
      </c>
      <c r="J40" s="554">
        <f t="shared" si="10"/>
        <v>909681.14160000009</v>
      </c>
      <c r="K40" s="297"/>
    </row>
    <row r="41" spans="1:17" x14ac:dyDescent="0.25">
      <c r="A41" s="551">
        <v>4</v>
      </c>
      <c r="B41" s="334" t="s">
        <v>319</v>
      </c>
      <c r="C41" s="544">
        <v>1.25</v>
      </c>
      <c r="D41" s="335">
        <f t="shared" si="8"/>
        <v>17224.725600000002</v>
      </c>
      <c r="E41" s="335">
        <f>7498*1.3*1.37+1000</f>
        <v>14353.938</v>
      </c>
      <c r="F41" s="335">
        <v>0</v>
      </c>
      <c r="G41" s="335">
        <f t="shared" si="9"/>
        <v>2870.7876000000001</v>
      </c>
      <c r="H41" s="591">
        <v>0.5</v>
      </c>
      <c r="I41" s="551">
        <v>1.7</v>
      </c>
      <c r="J41" s="554">
        <f t="shared" si="10"/>
        <v>568415.94480000006</v>
      </c>
      <c r="K41" s="297"/>
    </row>
    <row r="42" spans="1:17" x14ac:dyDescent="0.25">
      <c r="A42" s="551">
        <v>5</v>
      </c>
      <c r="B42" s="334" t="s">
        <v>320</v>
      </c>
      <c r="C42" s="544">
        <v>1</v>
      </c>
      <c r="D42" s="335">
        <f t="shared" si="8"/>
        <v>19690.067999999999</v>
      </c>
      <c r="E42" s="335">
        <f>7498*1.5*1.37+1000</f>
        <v>16408.39</v>
      </c>
      <c r="F42" s="335">
        <v>0</v>
      </c>
      <c r="G42" s="335">
        <f t="shared" si="9"/>
        <v>3281.6779999999999</v>
      </c>
      <c r="H42" s="591">
        <v>0.5</v>
      </c>
      <c r="I42" s="551">
        <v>1.7</v>
      </c>
      <c r="J42" s="554">
        <f t="shared" si="10"/>
        <v>519817.79520000005</v>
      </c>
      <c r="K42" s="297"/>
    </row>
    <row r="43" spans="1:17" x14ac:dyDescent="0.25">
      <c r="A43" s="551">
        <v>6</v>
      </c>
      <c r="B43" s="334" t="s">
        <v>438</v>
      </c>
      <c r="C43" s="544">
        <v>1</v>
      </c>
      <c r="D43" s="335">
        <f t="shared" si="8"/>
        <v>17224.725600000002</v>
      </c>
      <c r="E43" s="335">
        <f>7498*1.3*1.37+1000</f>
        <v>14353.938</v>
      </c>
      <c r="F43" s="335">
        <v>0</v>
      </c>
      <c r="G43" s="335">
        <f t="shared" si="9"/>
        <v>2870.7876000000001</v>
      </c>
      <c r="H43" s="591">
        <v>0.5</v>
      </c>
      <c r="I43" s="551">
        <v>1.7</v>
      </c>
      <c r="J43" s="554">
        <f t="shared" si="10"/>
        <v>454732.75584000011</v>
      </c>
      <c r="K43" s="297"/>
    </row>
    <row r="44" spans="1:17" ht="30" x14ac:dyDescent="0.25">
      <c r="A44" s="551">
        <v>7</v>
      </c>
      <c r="B44" s="334" t="s">
        <v>437</v>
      </c>
      <c r="C44" s="544">
        <v>1</v>
      </c>
      <c r="D44" s="335">
        <f t="shared" si="8"/>
        <v>19690.067999999999</v>
      </c>
      <c r="E44" s="335">
        <f>7498*1.5*1.37+1000</f>
        <v>16408.39</v>
      </c>
      <c r="F44" s="335">
        <v>0</v>
      </c>
      <c r="G44" s="335">
        <f t="shared" si="9"/>
        <v>3281.6779999999999</v>
      </c>
      <c r="H44" s="591">
        <v>0.5</v>
      </c>
      <c r="I44" s="551">
        <v>1.7</v>
      </c>
      <c r="J44" s="554">
        <f t="shared" si="10"/>
        <v>519817.79520000005</v>
      </c>
      <c r="K44" s="297"/>
    </row>
    <row r="45" spans="1:17" ht="30" x14ac:dyDescent="0.25">
      <c r="A45" s="551">
        <v>8</v>
      </c>
      <c r="B45" s="334" t="s">
        <v>436</v>
      </c>
      <c r="C45" s="544">
        <v>1</v>
      </c>
      <c r="D45" s="335">
        <f t="shared" si="8"/>
        <v>19690.067999999999</v>
      </c>
      <c r="E45" s="335">
        <f>7498*1.5*1.37+1000</f>
        <v>16408.39</v>
      </c>
      <c r="F45" s="335">
        <v>0</v>
      </c>
      <c r="G45" s="335">
        <f t="shared" si="9"/>
        <v>3281.6779999999999</v>
      </c>
      <c r="H45" s="591">
        <v>0.5</v>
      </c>
      <c r="I45" s="551">
        <v>1.7</v>
      </c>
      <c r="J45" s="554">
        <f t="shared" si="10"/>
        <v>519817.79520000005</v>
      </c>
      <c r="K45" s="297"/>
    </row>
    <row r="46" spans="1:17" ht="30" x14ac:dyDescent="0.25">
      <c r="A46" s="551">
        <v>9</v>
      </c>
      <c r="B46" s="334" t="s">
        <v>318</v>
      </c>
      <c r="C46" s="544">
        <v>1</v>
      </c>
      <c r="D46" s="335">
        <f t="shared" si="2"/>
        <v>19690.067999999999</v>
      </c>
      <c r="E46" s="335">
        <f>7498*1.5*1.37+1000</f>
        <v>16408.39</v>
      </c>
      <c r="F46" s="335">
        <v>0</v>
      </c>
      <c r="G46" s="335">
        <f t="shared" si="9"/>
        <v>3281.6779999999999</v>
      </c>
      <c r="H46" s="591">
        <v>0.5</v>
      </c>
      <c r="I46" s="551">
        <v>1.7</v>
      </c>
      <c r="J46" s="554">
        <f t="shared" si="10"/>
        <v>519817.79520000005</v>
      </c>
      <c r="K46" s="295"/>
    </row>
    <row r="47" spans="1:17" x14ac:dyDescent="0.25">
      <c r="A47" s="551">
        <v>10</v>
      </c>
      <c r="B47" s="334" t="s">
        <v>442</v>
      </c>
      <c r="C47" s="544">
        <v>1</v>
      </c>
      <c r="D47" s="335">
        <f t="shared" si="2"/>
        <v>19690.067999999999</v>
      </c>
      <c r="E47" s="335">
        <f>7498*1.5*1.37+1000</f>
        <v>16408.39</v>
      </c>
      <c r="F47" s="335">
        <v>0</v>
      </c>
      <c r="G47" s="335">
        <f t="shared" si="9"/>
        <v>3281.6779999999999</v>
      </c>
      <c r="H47" s="591">
        <v>0.5</v>
      </c>
      <c r="I47" s="551">
        <v>1.7</v>
      </c>
      <c r="J47" s="554">
        <f t="shared" si="10"/>
        <v>519817.79520000005</v>
      </c>
    </row>
    <row r="48" spans="1:17" x14ac:dyDescent="0.25">
      <c r="A48" s="551">
        <v>11</v>
      </c>
      <c r="B48" s="334" t="s">
        <v>443</v>
      </c>
      <c r="C48" s="544">
        <v>1</v>
      </c>
      <c r="D48" s="335">
        <f t="shared" si="2"/>
        <v>17224.725600000002</v>
      </c>
      <c r="E48" s="335">
        <f>7498*1.3*1.37+1000</f>
        <v>14353.938</v>
      </c>
      <c r="F48" s="335">
        <v>0</v>
      </c>
      <c r="G48" s="335">
        <f t="shared" si="9"/>
        <v>2870.7876000000001</v>
      </c>
      <c r="H48" s="591">
        <v>0.5</v>
      </c>
      <c r="I48" s="551">
        <v>1.7</v>
      </c>
      <c r="J48" s="554">
        <f t="shared" si="10"/>
        <v>454732.75584000011</v>
      </c>
    </row>
    <row r="49" spans="1:11" x14ac:dyDescent="0.25">
      <c r="A49" s="551">
        <v>12</v>
      </c>
      <c r="B49" s="334" t="s">
        <v>444</v>
      </c>
      <c r="C49" s="544">
        <v>2</v>
      </c>
      <c r="D49" s="335">
        <f t="shared" si="2"/>
        <v>19690.067999999999</v>
      </c>
      <c r="E49" s="335">
        <f>7498*1.5*1.37+1000</f>
        <v>16408.39</v>
      </c>
      <c r="F49" s="335">
        <v>0</v>
      </c>
      <c r="G49" s="335">
        <f t="shared" si="9"/>
        <v>3281.6779999999999</v>
      </c>
      <c r="H49" s="591">
        <v>0.5</v>
      </c>
      <c r="I49" s="551">
        <v>1.7</v>
      </c>
      <c r="J49" s="554">
        <f t="shared" si="10"/>
        <v>1039635.5904000001</v>
      </c>
    </row>
    <row r="50" spans="1:11" s="278" customFormat="1" x14ac:dyDescent="0.25">
      <c r="A50" s="557"/>
      <c r="B50" s="339" t="s">
        <v>445</v>
      </c>
      <c r="C50" s="338">
        <f>SUM(C38:C49)</f>
        <v>15.5</v>
      </c>
      <c r="D50" s="338">
        <f t="shared" ref="D50:J50" si="11">SUM(D38:D49)</f>
        <v>228353.93040000001</v>
      </c>
      <c r="E50" s="557">
        <f t="shared" si="11"/>
        <v>190294.94199999998</v>
      </c>
      <c r="F50" s="557">
        <f t="shared" si="11"/>
        <v>0</v>
      </c>
      <c r="G50" s="557">
        <f t="shared" si="11"/>
        <v>38058.988400000002</v>
      </c>
      <c r="H50" s="557">
        <v>0</v>
      </c>
      <c r="I50" s="557">
        <v>0</v>
      </c>
      <c r="J50" s="558">
        <f t="shared" si="11"/>
        <v>7799804.8761599986</v>
      </c>
      <c r="K50" s="299">
        <f>66*12*71500</f>
        <v>56628000</v>
      </c>
    </row>
    <row r="51" spans="1:11" ht="28.5" x14ac:dyDescent="0.25">
      <c r="A51" s="551"/>
      <c r="B51" s="542" t="s">
        <v>446</v>
      </c>
      <c r="C51" s="336">
        <f>C36+C50</f>
        <v>127.22999999999999</v>
      </c>
      <c r="D51" s="336">
        <f>D36+D50</f>
        <v>466285.7304</v>
      </c>
      <c r="E51" s="555" t="s">
        <v>14</v>
      </c>
      <c r="F51" s="555" t="s">
        <v>14</v>
      </c>
      <c r="G51" s="555" t="s">
        <v>14</v>
      </c>
      <c r="H51" s="555" t="s">
        <v>14</v>
      </c>
      <c r="I51" s="555" t="s">
        <v>14</v>
      </c>
      <c r="J51" s="556">
        <f>J36+J50</f>
        <v>72045656.179200009</v>
      </c>
    </row>
    <row r="52" spans="1:11" ht="15.75" customHeight="1" x14ac:dyDescent="0.25">
      <c r="A52" s="1187" t="s">
        <v>450</v>
      </c>
      <c r="B52" s="1193"/>
      <c r="C52" s="1193"/>
      <c r="D52" s="1193"/>
      <c r="E52" s="1193"/>
      <c r="F52" s="1193"/>
      <c r="G52" s="1193"/>
      <c r="H52" s="1193"/>
      <c r="I52" s="1193"/>
      <c r="J52" s="1193"/>
    </row>
    <row r="53" spans="1:11" x14ac:dyDescent="0.25">
      <c r="A53" s="551">
        <v>1</v>
      </c>
      <c r="B53" s="334" t="s">
        <v>321</v>
      </c>
      <c r="C53" s="544">
        <v>1</v>
      </c>
      <c r="D53" s="335">
        <f t="shared" si="2"/>
        <v>15439.881599999999</v>
      </c>
      <c r="E53" s="335">
        <f>7498*1.3*1.32</f>
        <v>12866.567999999999</v>
      </c>
      <c r="F53" s="335">
        <v>0</v>
      </c>
      <c r="G53" s="335">
        <f>E53*20%</f>
        <v>2573.3136</v>
      </c>
      <c r="H53" s="591">
        <v>0.5</v>
      </c>
      <c r="I53" s="551">
        <v>1.7</v>
      </c>
      <c r="J53" s="554">
        <f>((D53*C53)*(H53+I53))*12</f>
        <v>407612.87424000003</v>
      </c>
      <c r="K53" s="295"/>
    </row>
    <row r="54" spans="1:11" x14ac:dyDescent="0.25">
      <c r="A54" s="551">
        <v>2</v>
      </c>
      <c r="B54" s="334" t="s">
        <v>448</v>
      </c>
      <c r="C54" s="544">
        <v>1</v>
      </c>
      <c r="D54" s="335">
        <f t="shared" si="2"/>
        <v>15439.881599999999</v>
      </c>
      <c r="E54" s="335">
        <f>7498*1.3*1.32</f>
        <v>12866.567999999999</v>
      </c>
      <c r="F54" s="335">
        <v>0</v>
      </c>
      <c r="G54" s="335">
        <f>E54*20%</f>
        <v>2573.3136</v>
      </c>
      <c r="H54" s="591">
        <v>0.5</v>
      </c>
      <c r="I54" s="551">
        <v>1.7</v>
      </c>
      <c r="J54" s="554">
        <f t="shared" ref="J54:J56" si="12">((D54*C54)*(H54+I54))*12</f>
        <v>407612.87424000003</v>
      </c>
      <c r="K54" s="295"/>
    </row>
    <row r="55" spans="1:11" x14ac:dyDescent="0.25">
      <c r="A55" s="589">
        <v>3</v>
      </c>
      <c r="B55" s="334" t="s">
        <v>1170</v>
      </c>
      <c r="C55" s="590">
        <v>1</v>
      </c>
      <c r="D55" s="335">
        <f t="shared" si="2"/>
        <v>15439.881599999999</v>
      </c>
      <c r="E55" s="335">
        <f>7498*1.3*1.32</f>
        <v>12866.567999999999</v>
      </c>
      <c r="F55" s="335">
        <v>0</v>
      </c>
      <c r="G55" s="335">
        <f>E55*20%</f>
        <v>2573.3136</v>
      </c>
      <c r="H55" s="591">
        <v>0.5</v>
      </c>
      <c r="I55" s="589">
        <v>1.7</v>
      </c>
      <c r="J55" s="554">
        <f t="shared" si="12"/>
        <v>407612.87424000003</v>
      </c>
      <c r="K55" s="295"/>
    </row>
    <row r="56" spans="1:11" ht="30" x14ac:dyDescent="0.25">
      <c r="A56" s="551">
        <v>4</v>
      </c>
      <c r="B56" s="334" t="s">
        <v>449</v>
      </c>
      <c r="C56" s="544">
        <v>0.17</v>
      </c>
      <c r="D56" s="335">
        <f t="shared" si="2"/>
        <v>15439.881599999999</v>
      </c>
      <c r="E56" s="335">
        <f>7498*1.3*1.32</f>
        <v>12866.567999999999</v>
      </c>
      <c r="F56" s="335">
        <v>0</v>
      </c>
      <c r="G56" s="335">
        <f>E56*20%</f>
        <v>2573.3136</v>
      </c>
      <c r="H56" s="591">
        <v>0.5</v>
      </c>
      <c r="I56" s="551">
        <v>1.7</v>
      </c>
      <c r="J56" s="554">
        <f t="shared" si="12"/>
        <v>69294.188620800007</v>
      </c>
    </row>
    <row r="57" spans="1:11" ht="28.5" x14ac:dyDescent="0.25">
      <c r="A57" s="551"/>
      <c r="B57" s="542" t="s">
        <v>447</v>
      </c>
      <c r="C57" s="336">
        <f>SUM(C53:C56)</f>
        <v>3.17</v>
      </c>
      <c r="D57" s="340">
        <f>SUM(D53:D56)</f>
        <v>61759.526399999995</v>
      </c>
      <c r="E57" s="555" t="s">
        <v>14</v>
      </c>
      <c r="F57" s="555" t="s">
        <v>14</v>
      </c>
      <c r="G57" s="555" t="s">
        <v>14</v>
      </c>
      <c r="H57" s="555" t="s">
        <v>14</v>
      </c>
      <c r="I57" s="555" t="s">
        <v>14</v>
      </c>
      <c r="J57" s="559">
        <f>SUM(J53:J56)</f>
        <v>1292132.8113408</v>
      </c>
    </row>
    <row r="58" spans="1:11" ht="15.75" customHeight="1" x14ac:dyDescent="0.25">
      <c r="A58" s="1187" t="s">
        <v>451</v>
      </c>
      <c r="B58" s="1188"/>
      <c r="C58" s="1188"/>
      <c r="D58" s="1188"/>
      <c r="E58" s="1188"/>
      <c r="F58" s="1188"/>
      <c r="G58" s="1188"/>
      <c r="H58" s="1188"/>
      <c r="I58" s="1188"/>
      <c r="J58" s="1188"/>
    </row>
    <row r="59" spans="1:11" ht="30" x14ac:dyDescent="0.25">
      <c r="A59" s="551">
        <v>1</v>
      </c>
      <c r="B59" s="334" t="s">
        <v>309</v>
      </c>
      <c r="C59" s="544">
        <v>14</v>
      </c>
      <c r="D59" s="335">
        <f t="shared" si="2"/>
        <v>13514.491199999999</v>
      </c>
      <c r="E59" s="335">
        <f>7498*1.462+300</f>
        <v>11262.075999999999</v>
      </c>
      <c r="F59" s="335">
        <v>0</v>
      </c>
      <c r="G59" s="335">
        <f>(E59+F59)*20%</f>
        <v>2252.4151999999999</v>
      </c>
      <c r="H59" s="591">
        <v>0.5</v>
      </c>
      <c r="I59" s="551">
        <v>1.7</v>
      </c>
      <c r="J59" s="554">
        <f>((D59*C59)*(H59+I59))*12</f>
        <v>4994955.947519999</v>
      </c>
      <c r="K59" s="295"/>
    </row>
    <row r="60" spans="1:11" x14ac:dyDescent="0.25">
      <c r="A60" s="551">
        <v>2</v>
      </c>
      <c r="B60" s="334" t="s">
        <v>452</v>
      </c>
      <c r="C60" s="544">
        <v>1</v>
      </c>
      <c r="D60" s="335">
        <f t="shared" si="2"/>
        <v>13343.440800000002</v>
      </c>
      <c r="E60" s="335">
        <f>7498*1.483</f>
        <v>11119.534000000001</v>
      </c>
      <c r="F60" s="335">
        <v>0</v>
      </c>
      <c r="G60" s="335">
        <f t="shared" ref="G60:G64" si="13">(E60+F60)*20%</f>
        <v>2223.9068000000002</v>
      </c>
      <c r="H60" s="591">
        <v>0.5</v>
      </c>
      <c r="I60" s="551">
        <v>1.7</v>
      </c>
      <c r="J60" s="554">
        <f t="shared" ref="J60:J65" si="14">((D60*C60)*(H60+I60))*12</f>
        <v>352266.83712000004</v>
      </c>
      <c r="K60" s="295"/>
    </row>
    <row r="61" spans="1:11" ht="45" x14ac:dyDescent="0.25">
      <c r="A61" s="551">
        <v>3</v>
      </c>
      <c r="B61" s="334" t="s">
        <v>307</v>
      </c>
      <c r="C61" s="544">
        <v>1.5</v>
      </c>
      <c r="D61" s="335">
        <f t="shared" si="2"/>
        <v>13262.4624</v>
      </c>
      <c r="E61" s="335">
        <f>7498*1.474</f>
        <v>11052.052</v>
      </c>
      <c r="F61" s="335">
        <v>0</v>
      </c>
      <c r="G61" s="335">
        <f t="shared" si="13"/>
        <v>2210.4104000000002</v>
      </c>
      <c r="H61" s="591">
        <v>0.5</v>
      </c>
      <c r="I61" s="551">
        <v>1.7</v>
      </c>
      <c r="J61" s="554">
        <f t="shared" si="14"/>
        <v>525193.51104000001</v>
      </c>
    </row>
    <row r="62" spans="1:11" x14ac:dyDescent="0.25">
      <c r="A62" s="551">
        <v>4</v>
      </c>
      <c r="B62" s="334" t="s">
        <v>310</v>
      </c>
      <c r="C62" s="544">
        <v>0</v>
      </c>
      <c r="D62" s="335">
        <v>0</v>
      </c>
      <c r="E62" s="335">
        <f>7498*1.462</f>
        <v>10962.075999999999</v>
      </c>
      <c r="F62" s="335">
        <v>0</v>
      </c>
      <c r="G62" s="335">
        <f t="shared" si="13"/>
        <v>2192.4151999999999</v>
      </c>
      <c r="H62" s="591">
        <v>0.5</v>
      </c>
      <c r="I62" s="551">
        <v>1.7</v>
      </c>
      <c r="J62" s="554">
        <f t="shared" si="14"/>
        <v>0</v>
      </c>
    </row>
    <row r="63" spans="1:11" x14ac:dyDescent="0.25">
      <c r="A63" s="551">
        <v>5</v>
      </c>
      <c r="B63" s="334" t="s">
        <v>453</v>
      </c>
      <c r="C63" s="544">
        <v>0</v>
      </c>
      <c r="D63" s="335">
        <v>0</v>
      </c>
      <c r="E63" s="335">
        <f>7498*1.462</f>
        <v>10962.075999999999</v>
      </c>
      <c r="F63" s="335">
        <v>0</v>
      </c>
      <c r="G63" s="335">
        <f t="shared" si="13"/>
        <v>2192.4151999999999</v>
      </c>
      <c r="H63" s="591">
        <v>0.5</v>
      </c>
      <c r="I63" s="551">
        <v>1.7</v>
      </c>
      <c r="J63" s="554">
        <f t="shared" si="14"/>
        <v>0</v>
      </c>
    </row>
    <row r="64" spans="1:11" x14ac:dyDescent="0.25">
      <c r="A64" s="551">
        <v>6</v>
      </c>
      <c r="B64" s="334" t="s">
        <v>308</v>
      </c>
      <c r="C64" s="544">
        <v>1</v>
      </c>
      <c r="D64" s="335">
        <f t="shared" si="2"/>
        <v>13208.4768</v>
      </c>
      <c r="E64" s="335">
        <f>7498*1.468</f>
        <v>11007.064</v>
      </c>
      <c r="F64" s="335">
        <v>0</v>
      </c>
      <c r="G64" s="335">
        <f t="shared" si="13"/>
        <v>2201.4128000000001</v>
      </c>
      <c r="H64" s="591">
        <v>0.5</v>
      </c>
      <c r="I64" s="551">
        <v>1.7</v>
      </c>
      <c r="J64" s="554">
        <f t="shared" si="14"/>
        <v>348703.78752000001</v>
      </c>
    </row>
    <row r="65" spans="1:14" x14ac:dyDescent="0.25">
      <c r="A65" s="551">
        <v>7</v>
      </c>
      <c r="B65" s="334" t="s">
        <v>311</v>
      </c>
      <c r="C65" s="544">
        <v>2</v>
      </c>
      <c r="D65" s="335">
        <f t="shared" si="2"/>
        <v>13154.491199999999</v>
      </c>
      <c r="E65" s="335">
        <f>7498*1.462</f>
        <v>10962.075999999999</v>
      </c>
      <c r="F65" s="335">
        <v>0</v>
      </c>
      <c r="G65" s="335">
        <f>(E65+F65)*20%</f>
        <v>2192.4151999999999</v>
      </c>
      <c r="H65" s="591">
        <v>0.5</v>
      </c>
      <c r="I65" s="551">
        <v>1.7</v>
      </c>
      <c r="J65" s="554">
        <f t="shared" si="14"/>
        <v>694557.13535999996</v>
      </c>
    </row>
    <row r="66" spans="1:14" ht="28.5" x14ac:dyDescent="0.25">
      <c r="A66" s="551"/>
      <c r="B66" s="542" t="s">
        <v>454</v>
      </c>
      <c r="C66" s="336">
        <f>SUM(C59:C65)</f>
        <v>19.5</v>
      </c>
      <c r="D66" s="340">
        <f>SUM(D59:D65)</f>
        <v>66483.362400000013</v>
      </c>
      <c r="E66" s="555"/>
      <c r="F66" s="555" t="s">
        <v>14</v>
      </c>
      <c r="G66" s="555" t="s">
        <v>14</v>
      </c>
      <c r="H66" s="555" t="s">
        <v>14</v>
      </c>
      <c r="I66" s="555" t="s">
        <v>14</v>
      </c>
      <c r="J66" s="559">
        <f>SUM(J59:J65)</f>
        <v>6915677.218559999</v>
      </c>
      <c r="K66" s="296"/>
    </row>
    <row r="67" spans="1:14" x14ac:dyDescent="0.25">
      <c r="A67" s="551"/>
      <c r="B67" s="542"/>
      <c r="C67" s="336"/>
      <c r="D67" s="340"/>
      <c r="E67" s="555"/>
      <c r="F67" s="555"/>
      <c r="G67" s="555"/>
      <c r="H67" s="555"/>
      <c r="I67" s="555"/>
      <c r="J67" s="559"/>
      <c r="K67" s="296"/>
    </row>
    <row r="68" spans="1:14" s="276" customFormat="1" x14ac:dyDescent="0.25">
      <c r="A68" s="1145"/>
      <c r="B68" s="1146"/>
      <c r="C68" s="1146"/>
      <c r="D68" s="1146"/>
      <c r="E68" s="1146"/>
      <c r="F68" s="1146"/>
      <c r="G68" s="1146"/>
      <c r="H68" s="1146"/>
      <c r="I68" s="1146"/>
      <c r="J68" s="559">
        <v>0</v>
      </c>
      <c r="K68" s="292"/>
    </row>
    <row r="69" spans="1:14" ht="15.75" customHeight="1" x14ac:dyDescent="0.25">
      <c r="A69" s="1150" t="s">
        <v>324</v>
      </c>
      <c r="B69" s="1150"/>
      <c r="C69" s="336">
        <f>C21+C51+C57+C66</f>
        <v>156.39999999999998</v>
      </c>
      <c r="D69" s="340">
        <f>D21+D51+D57+D66</f>
        <v>911782.66189090919</v>
      </c>
      <c r="E69" s="555" t="s">
        <v>14</v>
      </c>
      <c r="F69" s="555" t="s">
        <v>14</v>
      </c>
      <c r="G69" s="555" t="s">
        <v>14</v>
      </c>
      <c r="H69" s="555" t="s">
        <v>14</v>
      </c>
      <c r="I69" s="555" t="s">
        <v>14</v>
      </c>
      <c r="J69" s="556">
        <f>J21+J51+J57+J66+J68</f>
        <v>87972631.250882611</v>
      </c>
      <c r="K69" s="292" t="s">
        <v>730</v>
      </c>
      <c r="L69" s="277"/>
    </row>
    <row r="70" spans="1:14" ht="21" customHeight="1" x14ac:dyDescent="0.25">
      <c r="A70" s="1147" t="s">
        <v>1209</v>
      </c>
      <c r="B70" s="1194"/>
      <c r="C70" s="1194"/>
      <c r="D70" s="1194"/>
      <c r="E70" s="1194"/>
      <c r="F70" s="1194"/>
      <c r="G70" s="1194"/>
      <c r="H70" s="1194"/>
      <c r="I70" s="1195"/>
      <c r="J70" s="554">
        <f>J69*10%-397.62-0.00192+1969503.25</f>
        <v>10766368.753168263</v>
      </c>
      <c r="K70" s="420"/>
      <c r="L70" s="277"/>
    </row>
    <row r="71" spans="1:14" ht="21" customHeight="1" x14ac:dyDescent="0.25">
      <c r="A71" s="1308" t="s">
        <v>313</v>
      </c>
      <c r="B71" s="1309"/>
      <c r="C71" s="1309"/>
      <c r="D71" s="1309"/>
      <c r="E71" s="1309"/>
      <c r="F71" s="1309"/>
      <c r="G71" s="1309"/>
      <c r="H71" s="1309"/>
      <c r="I71" s="1309"/>
      <c r="J71" s="554">
        <v>2000000</v>
      </c>
      <c r="K71" s="420" t="s">
        <v>1173</v>
      </c>
      <c r="L71" s="277"/>
    </row>
    <row r="72" spans="1:14" ht="17.25" customHeight="1" x14ac:dyDescent="0.25">
      <c r="A72" s="1147" t="s">
        <v>1210</v>
      </c>
      <c r="B72" s="1148"/>
      <c r="C72" s="1148"/>
      <c r="D72" s="1148"/>
      <c r="E72" s="1148"/>
      <c r="F72" s="1148"/>
      <c r="G72" s="1148"/>
      <c r="H72" s="1148"/>
      <c r="I72" s="1149"/>
      <c r="J72" s="554">
        <v>0</v>
      </c>
      <c r="K72" s="420"/>
      <c r="L72" s="277"/>
    </row>
    <row r="73" spans="1:14" ht="21.75" customHeight="1" x14ac:dyDescent="0.25">
      <c r="A73" s="1147" t="s">
        <v>324</v>
      </c>
      <c r="B73" s="1148"/>
      <c r="C73" s="1148"/>
      <c r="D73" s="1148"/>
      <c r="E73" s="1148"/>
      <c r="F73" s="1148"/>
      <c r="G73" s="1148"/>
      <c r="H73" s="1148"/>
      <c r="I73" s="1149"/>
      <c r="J73" s="559">
        <f>J69+J70+J68+J72+J71</f>
        <v>100739000.00405088</v>
      </c>
      <c r="L73" s="283">
        <v>84800000</v>
      </c>
      <c r="N73" s="341">
        <f>J73-L73</f>
        <v>15939000.004050881</v>
      </c>
    </row>
    <row r="74" spans="1:14" ht="65.25" hidden="1" customHeight="1" x14ac:dyDescent="0.25">
      <c r="A74" s="560"/>
      <c r="B74" s="541" t="s">
        <v>540</v>
      </c>
      <c r="C74" s="541"/>
      <c r="D74" s="541"/>
      <c r="E74" s="560"/>
      <c r="F74" s="560"/>
      <c r="G74" s="560"/>
      <c r="H74" s="560"/>
      <c r="I74" s="560"/>
      <c r="J74" s="554">
        <v>0</v>
      </c>
      <c r="L74" s="283"/>
    </row>
    <row r="75" spans="1:14" ht="20.25" hidden="1" customHeight="1" x14ac:dyDescent="0.25">
      <c r="A75" s="1147" t="s">
        <v>562</v>
      </c>
      <c r="B75" s="1148"/>
      <c r="C75" s="1148"/>
      <c r="D75" s="1148"/>
      <c r="E75" s="1148"/>
      <c r="F75" s="1148"/>
      <c r="G75" s="1148"/>
      <c r="H75" s="1148"/>
      <c r="I75" s="1149"/>
      <c r="J75" s="554">
        <v>0</v>
      </c>
      <c r="L75" s="283"/>
    </row>
    <row r="76" spans="1:14" ht="39.75" hidden="1" customHeight="1" x14ac:dyDescent="0.25">
      <c r="A76" s="1147" t="s">
        <v>534</v>
      </c>
      <c r="B76" s="1148"/>
      <c r="C76" s="1148"/>
      <c r="D76" s="1148"/>
      <c r="E76" s="1148"/>
      <c r="F76" s="1148"/>
      <c r="G76" s="1148"/>
      <c r="H76" s="1148"/>
      <c r="I76" s="1149"/>
      <c r="J76" s="554">
        <v>0</v>
      </c>
      <c r="L76" s="283"/>
    </row>
    <row r="77" spans="1:14" hidden="1" x14ac:dyDescent="0.25">
      <c r="A77" s="561"/>
      <c r="B77" s="342"/>
      <c r="C77" s="545"/>
      <c r="D77" s="343"/>
      <c r="E77" s="562"/>
      <c r="F77" s="562"/>
      <c r="G77" s="562"/>
      <c r="H77" s="562"/>
      <c r="I77" s="562"/>
      <c r="J77" s="563"/>
      <c r="L77" s="283"/>
    </row>
    <row r="78" spans="1:14" hidden="1" x14ac:dyDescent="0.25">
      <c r="A78" s="1131" t="s">
        <v>1</v>
      </c>
      <c r="B78" s="1179" t="s">
        <v>2</v>
      </c>
      <c r="C78" s="1179" t="s">
        <v>3</v>
      </c>
      <c r="D78" s="1184" t="s">
        <v>4</v>
      </c>
      <c r="E78" s="1184"/>
      <c r="F78" s="1184"/>
      <c r="G78" s="1184"/>
      <c r="H78" s="1131" t="s">
        <v>5</v>
      </c>
      <c r="I78" s="1131" t="s">
        <v>6</v>
      </c>
      <c r="J78" s="1185" t="s">
        <v>305</v>
      </c>
      <c r="L78" s="283"/>
    </row>
    <row r="79" spans="1:14" hidden="1" x14ac:dyDescent="0.25">
      <c r="A79" s="1131"/>
      <c r="B79" s="1179"/>
      <c r="C79" s="1179"/>
      <c r="D79" s="1179" t="s">
        <v>8</v>
      </c>
      <c r="E79" s="1184" t="s">
        <v>9</v>
      </c>
      <c r="F79" s="1184"/>
      <c r="G79" s="1184"/>
      <c r="H79" s="1131"/>
      <c r="I79" s="1131"/>
      <c r="J79" s="1185"/>
      <c r="L79" s="283"/>
    </row>
    <row r="80" spans="1:14" ht="75" hidden="1" x14ac:dyDescent="0.25">
      <c r="A80" s="1131"/>
      <c r="B80" s="1179"/>
      <c r="C80" s="1179"/>
      <c r="D80" s="1179"/>
      <c r="E80" s="549" t="s">
        <v>10</v>
      </c>
      <c r="F80" s="549" t="s">
        <v>11</v>
      </c>
      <c r="G80" s="549" t="s">
        <v>12</v>
      </c>
      <c r="H80" s="1131"/>
      <c r="I80" s="1131"/>
      <c r="J80" s="1185"/>
      <c r="L80" s="283"/>
    </row>
    <row r="81" spans="1:14" hidden="1" x14ac:dyDescent="0.25">
      <c r="A81" s="551">
        <v>1</v>
      </c>
      <c r="B81" s="544">
        <v>2</v>
      </c>
      <c r="C81" s="544">
        <v>3</v>
      </c>
      <c r="D81" s="544">
        <v>4</v>
      </c>
      <c r="E81" s="551">
        <v>5</v>
      </c>
      <c r="F81" s="551">
        <v>6</v>
      </c>
      <c r="G81" s="551">
        <v>7</v>
      </c>
      <c r="H81" s="551">
        <v>8</v>
      </c>
      <c r="I81" s="551">
        <v>9</v>
      </c>
      <c r="J81" s="554">
        <v>10</v>
      </c>
      <c r="L81" s="283"/>
    </row>
    <row r="82" spans="1:14" hidden="1" x14ac:dyDescent="0.25">
      <c r="A82" s="1187" t="s">
        <v>306</v>
      </c>
      <c r="B82" s="1188"/>
      <c r="C82" s="1188"/>
      <c r="D82" s="1188"/>
      <c r="E82" s="1188"/>
      <c r="F82" s="1188"/>
      <c r="G82" s="1188"/>
      <c r="H82" s="1188"/>
      <c r="I82" s="1188"/>
      <c r="J82" s="1188"/>
      <c r="L82" s="283"/>
    </row>
    <row r="83" spans="1:14" ht="45" hidden="1" x14ac:dyDescent="0.25">
      <c r="A83" s="551">
        <v>1</v>
      </c>
      <c r="B83" s="334" t="s">
        <v>307</v>
      </c>
      <c r="C83" s="544"/>
      <c r="D83" s="344">
        <f>E83+F83+G83</f>
        <v>0</v>
      </c>
      <c r="E83" s="554"/>
      <c r="F83" s="554"/>
      <c r="G83" s="554">
        <f>(E83+F83)*20%</f>
        <v>0</v>
      </c>
      <c r="H83" s="553">
        <v>50</v>
      </c>
      <c r="I83" s="551">
        <v>1.7</v>
      </c>
      <c r="J83" s="554">
        <f>(C83*D83*(H83/100+I83))*12.5</f>
        <v>0</v>
      </c>
      <c r="L83" s="283"/>
    </row>
    <row r="84" spans="1:14" ht="15.75" hidden="1" customHeight="1" x14ac:dyDescent="0.25">
      <c r="A84" s="551">
        <v>2</v>
      </c>
      <c r="B84" s="334" t="s">
        <v>308</v>
      </c>
      <c r="C84" s="544"/>
      <c r="D84" s="344">
        <f t="shared" ref="D84:D85" si="15">E84+F84+G84</f>
        <v>0</v>
      </c>
      <c r="E84" s="554"/>
      <c r="F84" s="554"/>
      <c r="G84" s="554">
        <f>(E84+F84)*20%</f>
        <v>0</v>
      </c>
      <c r="H84" s="553">
        <v>50</v>
      </c>
      <c r="I84" s="551">
        <v>1.7</v>
      </c>
      <c r="J84" s="554">
        <f>(C84*D84*(H84/100+I84))*12.5</f>
        <v>0</v>
      </c>
      <c r="L84" s="283"/>
    </row>
    <row r="85" spans="1:14" ht="30" hidden="1" x14ac:dyDescent="0.25">
      <c r="A85" s="551">
        <v>3</v>
      </c>
      <c r="B85" s="334" t="s">
        <v>309</v>
      </c>
      <c r="C85" s="544"/>
      <c r="D85" s="344">
        <f t="shared" si="15"/>
        <v>0</v>
      </c>
      <c r="E85" s="554"/>
      <c r="F85" s="554"/>
      <c r="G85" s="554">
        <f>(E85+F85)*20%</f>
        <v>0</v>
      </c>
      <c r="H85" s="553">
        <v>50</v>
      </c>
      <c r="I85" s="551">
        <v>1.7</v>
      </c>
      <c r="J85" s="554">
        <f>(C85*D85*(H85/100+I85))*12.5</f>
        <v>0</v>
      </c>
      <c r="L85" s="283"/>
    </row>
    <row r="86" spans="1:14" hidden="1" x14ac:dyDescent="0.25">
      <c r="A86" s="551">
        <v>4</v>
      </c>
      <c r="B86" s="334" t="s">
        <v>310</v>
      </c>
      <c r="C86" s="544"/>
      <c r="D86" s="344">
        <f>E86+F86+G86</f>
        <v>0</v>
      </c>
      <c r="E86" s="554"/>
      <c r="F86" s="554"/>
      <c r="G86" s="554">
        <f>(E86+F86)*20%</f>
        <v>0</v>
      </c>
      <c r="H86" s="553">
        <v>50</v>
      </c>
      <c r="I86" s="551">
        <v>1.7</v>
      </c>
      <c r="J86" s="554">
        <f>(C86*D86*(H86/100+I86))*12.5</f>
        <v>0</v>
      </c>
      <c r="L86" s="283"/>
    </row>
    <row r="87" spans="1:14" ht="21.75" hidden="1" customHeight="1" x14ac:dyDescent="0.25">
      <c r="A87" s="551">
        <v>5</v>
      </c>
      <c r="B87" s="334" t="s">
        <v>311</v>
      </c>
      <c r="C87" s="544"/>
      <c r="D87" s="344">
        <f t="shared" ref="D87" si="16">E87+F87+G87</f>
        <v>0</v>
      </c>
      <c r="E87" s="554"/>
      <c r="F87" s="554"/>
      <c r="G87" s="554">
        <f t="shared" ref="G87" si="17">(E87+F87)*20%</f>
        <v>0</v>
      </c>
      <c r="H87" s="553">
        <v>50</v>
      </c>
      <c r="I87" s="551">
        <v>1.7</v>
      </c>
      <c r="J87" s="554">
        <f>(C87*D87*(H87/100+I87))*12.5</f>
        <v>0</v>
      </c>
      <c r="K87" s="297"/>
      <c r="L87" s="283"/>
    </row>
    <row r="88" spans="1:14" ht="16.5" hidden="1" customHeight="1" x14ac:dyDescent="0.25">
      <c r="A88" s="551"/>
      <c r="B88" s="541" t="s">
        <v>312</v>
      </c>
      <c r="C88" s="345">
        <f>SUM(C83:C87)</f>
        <v>0</v>
      </c>
      <c r="D88" s="346">
        <f>SUM(D83:D87)</f>
        <v>0</v>
      </c>
      <c r="E88" s="564" t="s">
        <v>14</v>
      </c>
      <c r="F88" s="564" t="s">
        <v>14</v>
      </c>
      <c r="G88" s="564" t="s">
        <v>14</v>
      </c>
      <c r="H88" s="564" t="s">
        <v>14</v>
      </c>
      <c r="I88" s="564" t="s">
        <v>14</v>
      </c>
      <c r="J88" s="554">
        <f>SUM(J83:J87)</f>
        <v>0</v>
      </c>
      <c r="L88" s="283"/>
    </row>
    <row r="89" spans="1:14" ht="15.75" hidden="1" customHeight="1" x14ac:dyDescent="0.25">
      <c r="A89" s="1189" t="s">
        <v>336</v>
      </c>
      <c r="B89" s="1190"/>
      <c r="C89" s="1190"/>
      <c r="D89" s="1190"/>
      <c r="E89" s="1190"/>
      <c r="F89" s="1190"/>
      <c r="G89" s="1190"/>
      <c r="H89" s="1190"/>
      <c r="I89" s="1191"/>
      <c r="J89" s="554"/>
      <c r="L89" s="283"/>
    </row>
    <row r="90" spans="1:14" s="276" customFormat="1" hidden="1" x14ac:dyDescent="0.25">
      <c r="A90" s="1189" t="s">
        <v>669</v>
      </c>
      <c r="B90" s="1190"/>
      <c r="C90" s="1190"/>
      <c r="D90" s="1190"/>
      <c r="E90" s="1190"/>
      <c r="F90" s="1190"/>
      <c r="G90" s="1190"/>
      <c r="H90" s="1190"/>
      <c r="I90" s="1191"/>
      <c r="J90" s="554">
        <v>0</v>
      </c>
      <c r="K90" s="292"/>
      <c r="L90" s="283"/>
    </row>
    <row r="91" spans="1:14" s="276" customFormat="1" x14ac:dyDescent="0.25">
      <c r="A91" s="1211" t="s">
        <v>372</v>
      </c>
      <c r="B91" s="1212"/>
      <c r="C91" s="1212"/>
      <c r="D91" s="1212"/>
      <c r="E91" s="1212"/>
      <c r="F91" s="1212"/>
      <c r="G91" s="1212"/>
      <c r="H91" s="1212"/>
      <c r="I91" s="1213"/>
      <c r="J91" s="559">
        <v>216000</v>
      </c>
      <c r="K91" s="292"/>
      <c r="L91" s="283"/>
      <c r="N91" s="276">
        <v>98000</v>
      </c>
    </row>
    <row r="92" spans="1:14" s="276" customFormat="1" x14ac:dyDescent="0.25">
      <c r="A92" s="1173" t="s">
        <v>456</v>
      </c>
      <c r="B92" s="1174"/>
      <c r="C92" s="1174"/>
      <c r="D92" s="1174"/>
      <c r="E92" s="1174"/>
      <c r="F92" s="1174"/>
      <c r="G92" s="1174"/>
      <c r="H92" s="1174"/>
      <c r="I92" s="1174"/>
      <c r="J92" s="1175"/>
      <c r="K92" s="292"/>
      <c r="L92" s="283"/>
    </row>
    <row r="93" spans="1:14" ht="31.5" customHeight="1" x14ac:dyDescent="0.25">
      <c r="A93" s="1151" t="s">
        <v>737</v>
      </c>
      <c r="B93" s="1152"/>
      <c r="C93" s="544">
        <v>2</v>
      </c>
      <c r="D93" s="344">
        <f>D88</f>
        <v>0</v>
      </c>
      <c r="E93" s="551" t="s">
        <v>14</v>
      </c>
      <c r="F93" s="551" t="s">
        <v>14</v>
      </c>
      <c r="G93" s="551" t="s">
        <v>14</v>
      </c>
      <c r="H93" s="551" t="s">
        <v>14</v>
      </c>
      <c r="I93" s="551" t="s">
        <v>14</v>
      </c>
      <c r="J93" s="554">
        <v>216000</v>
      </c>
      <c r="K93" s="297"/>
      <c r="L93" s="283"/>
    </row>
    <row r="94" spans="1:14" ht="21" customHeight="1" x14ac:dyDescent="0.25">
      <c r="A94" s="1177" t="s">
        <v>455</v>
      </c>
      <c r="B94" s="1178"/>
      <c r="C94" s="1178"/>
      <c r="D94" s="1178"/>
      <c r="E94" s="1178"/>
      <c r="F94" s="1178"/>
      <c r="G94" s="1178"/>
      <c r="H94" s="1178"/>
      <c r="I94" s="1178"/>
      <c r="J94" s="565">
        <f>J93+J73+J76+J74+J75-0.004051</f>
        <v>100954999.99999988</v>
      </c>
      <c r="K94" s="297">
        <f>9000000*12+10%</f>
        <v>108000000.09999999</v>
      </c>
      <c r="L94" s="283">
        <f>J73+J74+J75+J76+J93</f>
        <v>100955000.00405088</v>
      </c>
    </row>
    <row r="95" spans="1:14" ht="21" customHeight="1" x14ac:dyDescent="0.25">
      <c r="A95" s="566"/>
      <c r="B95" s="212"/>
      <c r="C95" s="543"/>
      <c r="D95" s="214"/>
      <c r="E95" s="548"/>
      <c r="F95" s="548"/>
      <c r="G95" s="548"/>
      <c r="H95" s="548"/>
      <c r="I95" s="548"/>
      <c r="J95" s="567"/>
      <c r="K95" s="297"/>
      <c r="L95" s="277"/>
    </row>
    <row r="96" spans="1:14" ht="20.25" customHeight="1" x14ac:dyDescent="0.25">
      <c r="A96" s="1154" t="s">
        <v>536</v>
      </c>
      <c r="B96" s="1155"/>
      <c r="C96" s="1155"/>
      <c r="D96" s="1155"/>
      <c r="E96" s="1155"/>
      <c r="F96" s="1155"/>
      <c r="G96" s="1155"/>
      <c r="H96" s="1155"/>
      <c r="I96" s="1155"/>
      <c r="J96" s="1156"/>
    </row>
    <row r="97" spans="1:14" ht="30" customHeight="1" x14ac:dyDescent="0.25">
      <c r="A97" s="568" t="s">
        <v>1</v>
      </c>
      <c r="B97" s="1176" t="s">
        <v>44</v>
      </c>
      <c r="C97" s="1176"/>
      <c r="D97" s="1176"/>
      <c r="E97" s="1153" t="s">
        <v>45</v>
      </c>
      <c r="F97" s="1153"/>
      <c r="G97" s="1153" t="s">
        <v>46</v>
      </c>
      <c r="H97" s="1153"/>
      <c r="I97" s="1153" t="s">
        <v>102</v>
      </c>
      <c r="J97" s="1153"/>
    </row>
    <row r="98" spans="1:14" ht="16.5" customHeight="1" x14ac:dyDescent="0.25">
      <c r="A98" s="569">
        <v>1</v>
      </c>
      <c r="B98" s="1015">
        <v>2</v>
      </c>
      <c r="C98" s="1015"/>
      <c r="D98" s="1015"/>
      <c r="E98" s="1205">
        <v>3</v>
      </c>
      <c r="F98" s="1205"/>
      <c r="G98" s="1205">
        <v>4</v>
      </c>
      <c r="H98" s="1205"/>
      <c r="I98" s="1205">
        <v>5</v>
      </c>
      <c r="J98" s="1205"/>
    </row>
    <row r="99" spans="1:14" ht="30.75" hidden="1" customHeight="1" x14ac:dyDescent="0.25">
      <c r="A99" s="570">
        <v>1</v>
      </c>
      <c r="B99" s="1066" t="s">
        <v>1083</v>
      </c>
      <c r="C99" s="1067"/>
      <c r="D99" s="1068"/>
      <c r="E99" s="1157">
        <v>0</v>
      </c>
      <c r="F99" s="1157"/>
      <c r="G99" s="1158">
        <v>0</v>
      </c>
      <c r="H99" s="1158"/>
      <c r="I99" s="1159">
        <v>0</v>
      </c>
      <c r="J99" s="1159"/>
    </row>
    <row r="100" spans="1:14" ht="47.25" customHeight="1" x14ac:dyDescent="0.25">
      <c r="A100" s="570">
        <v>2</v>
      </c>
      <c r="B100" s="1066" t="s">
        <v>537</v>
      </c>
      <c r="C100" s="1067"/>
      <c r="D100" s="1068"/>
      <c r="E100" s="1157">
        <v>4200</v>
      </c>
      <c r="F100" s="1157"/>
      <c r="G100" s="1158">
        <v>72</v>
      </c>
      <c r="H100" s="1158"/>
      <c r="I100" s="1159">
        <v>900000</v>
      </c>
      <c r="J100" s="1159"/>
    </row>
    <row r="101" spans="1:14" ht="22.5" customHeight="1" x14ac:dyDescent="0.25">
      <c r="A101" s="234"/>
      <c r="B101" s="1164" t="s">
        <v>324</v>
      </c>
      <c r="C101" s="1165"/>
      <c r="D101" s="1166"/>
      <c r="E101" s="1167" t="s">
        <v>14</v>
      </c>
      <c r="F101" s="1168"/>
      <c r="G101" s="1167" t="s">
        <v>14</v>
      </c>
      <c r="H101" s="1201"/>
      <c r="I101" s="1160">
        <f>I100+I99</f>
        <v>900000</v>
      </c>
      <c r="J101" s="1161"/>
    </row>
    <row r="102" spans="1:14" s="276" customFormat="1" ht="40.5" customHeight="1" x14ac:dyDescent="0.25">
      <c r="A102" s="1206" t="s">
        <v>353</v>
      </c>
      <c r="B102" s="1206"/>
      <c r="C102" s="1206"/>
      <c r="D102" s="1206"/>
      <c r="E102" s="1206"/>
      <c r="F102" s="1206"/>
      <c r="G102" s="1206"/>
      <c r="H102" s="1206"/>
      <c r="I102" s="1206"/>
      <c r="J102" s="1206"/>
      <c r="K102" s="292"/>
    </row>
    <row r="103" spans="1:14" ht="38.25" x14ac:dyDescent="0.25">
      <c r="A103" s="320" t="s">
        <v>1</v>
      </c>
      <c r="B103" s="1015" t="s">
        <v>15</v>
      </c>
      <c r="C103" s="1015"/>
      <c r="D103" s="1015"/>
      <c r="E103" s="1015" t="s">
        <v>16</v>
      </c>
      <c r="F103" s="1015"/>
      <c r="G103" s="320" t="s">
        <v>17</v>
      </c>
      <c r="H103" s="320" t="s">
        <v>18</v>
      </c>
      <c r="I103" s="1015" t="s">
        <v>104</v>
      </c>
      <c r="J103" s="1015"/>
      <c r="K103" s="1063" t="s">
        <v>1117</v>
      </c>
    </row>
    <row r="104" spans="1:14" ht="15" customHeight="1" x14ac:dyDescent="0.25">
      <c r="A104" s="320">
        <v>1</v>
      </c>
      <c r="B104" s="1015">
        <v>2</v>
      </c>
      <c r="C104" s="1015"/>
      <c r="D104" s="1015"/>
      <c r="E104" s="1015">
        <v>3</v>
      </c>
      <c r="F104" s="1015"/>
      <c r="G104" s="320">
        <v>4</v>
      </c>
      <c r="H104" s="320">
        <v>5</v>
      </c>
      <c r="I104" s="1015">
        <v>6</v>
      </c>
      <c r="J104" s="1015"/>
      <c r="K104" s="1064"/>
    </row>
    <row r="105" spans="1:14" ht="16.5" hidden="1" customHeight="1" x14ac:dyDescent="0.25">
      <c r="A105" s="1031" t="s">
        <v>354</v>
      </c>
      <c r="B105" s="1162"/>
      <c r="C105" s="1162"/>
      <c r="D105" s="1162"/>
      <c r="E105" s="1162"/>
      <c r="F105" s="1162"/>
      <c r="G105" s="1162"/>
      <c r="H105" s="1162"/>
      <c r="I105" s="1162"/>
      <c r="J105" s="1163"/>
      <c r="K105" s="1064"/>
    </row>
    <row r="106" spans="1:14" ht="48.75" hidden="1" customHeight="1" x14ac:dyDescent="0.25">
      <c r="A106" s="317" t="s">
        <v>70</v>
      </c>
      <c r="B106" s="1017" t="s">
        <v>355</v>
      </c>
      <c r="C106" s="1018"/>
      <c r="D106" s="1019"/>
      <c r="E106" s="1171">
        <v>0</v>
      </c>
      <c r="F106" s="1172"/>
      <c r="G106" s="317">
        <v>0</v>
      </c>
      <c r="H106" s="317">
        <v>0</v>
      </c>
      <c r="I106" s="1020">
        <f>E106*G106*H106</f>
        <v>0</v>
      </c>
      <c r="J106" s="1020"/>
      <c r="K106" s="1064"/>
    </row>
    <row r="107" spans="1:14" ht="15" customHeight="1" x14ac:dyDescent="0.25">
      <c r="A107" s="1031" t="s">
        <v>356</v>
      </c>
      <c r="B107" s="1162"/>
      <c r="C107" s="1162"/>
      <c r="D107" s="1162"/>
      <c r="E107" s="1162"/>
      <c r="F107" s="1162"/>
      <c r="G107" s="1162"/>
      <c r="H107" s="1162"/>
      <c r="I107" s="1162"/>
      <c r="J107" s="1163"/>
      <c r="K107" s="1065"/>
      <c r="L107" s="164" t="s">
        <v>1156</v>
      </c>
    </row>
    <row r="108" spans="1:14" ht="53.25" customHeight="1" x14ac:dyDescent="0.25">
      <c r="A108" s="314" t="s">
        <v>70</v>
      </c>
      <c r="B108" s="1207" t="s">
        <v>458</v>
      </c>
      <c r="C108" s="1208"/>
      <c r="D108" s="1209"/>
      <c r="E108" s="1202">
        <v>22866.58</v>
      </c>
      <c r="F108" s="1202"/>
      <c r="G108" s="361">
        <v>20</v>
      </c>
      <c r="H108" s="361">
        <v>1</v>
      </c>
      <c r="I108" s="1180">
        <f>E108*G108-331.6</f>
        <v>457000.00000000006</v>
      </c>
      <c r="J108" s="1181"/>
      <c r="K108" s="1028" t="s">
        <v>1118</v>
      </c>
      <c r="L108" s="164">
        <v>62</v>
      </c>
      <c r="N108" s="164">
        <f>E108*G108</f>
        <v>457331.60000000003</v>
      </c>
    </row>
    <row r="109" spans="1:14" ht="48.75" customHeight="1" x14ac:dyDescent="0.25">
      <c r="A109" s="317" t="s">
        <v>75</v>
      </c>
      <c r="B109" s="1207" t="s">
        <v>459</v>
      </c>
      <c r="C109" s="1208"/>
      <c r="D109" s="1209"/>
      <c r="E109" s="1199">
        <v>17821.11</v>
      </c>
      <c r="F109" s="1199"/>
      <c r="G109" s="347">
        <v>21</v>
      </c>
      <c r="H109" s="312">
        <v>1</v>
      </c>
      <c r="I109" s="1200">
        <f>E109*G109-243.31</f>
        <v>374000</v>
      </c>
      <c r="J109" s="1200"/>
      <c r="K109" s="1030"/>
      <c r="L109" s="164">
        <v>41</v>
      </c>
      <c r="N109" s="164">
        <f>E109*G109</f>
        <v>374243.31</v>
      </c>
    </row>
    <row r="110" spans="1:14" x14ac:dyDescent="0.25">
      <c r="A110" s="1031" t="s">
        <v>357</v>
      </c>
      <c r="B110" s="1162"/>
      <c r="C110" s="1162"/>
      <c r="D110" s="1162"/>
      <c r="E110" s="1162"/>
      <c r="F110" s="1162"/>
      <c r="G110" s="1162"/>
      <c r="H110" s="1162"/>
      <c r="I110" s="1162"/>
      <c r="J110" s="1163"/>
    </row>
    <row r="111" spans="1:14" ht="35.25" customHeight="1" x14ac:dyDescent="0.25">
      <c r="A111" s="317" t="s">
        <v>77</v>
      </c>
      <c r="B111" s="1017" t="s">
        <v>358</v>
      </c>
      <c r="C111" s="1018"/>
      <c r="D111" s="1019"/>
      <c r="E111" s="1196">
        <v>8000</v>
      </c>
      <c r="F111" s="1196"/>
      <c r="G111" s="317">
        <v>5</v>
      </c>
      <c r="H111" s="317">
        <v>1</v>
      </c>
      <c r="I111" s="1197">
        <f>E111*G111</f>
        <v>40000</v>
      </c>
      <c r="J111" s="1197"/>
      <c r="K111" s="304" t="s">
        <v>687</v>
      </c>
    </row>
    <row r="112" spans="1:14" ht="35.25" hidden="1" customHeight="1" x14ac:dyDescent="0.25">
      <c r="A112" s="1031" t="s">
        <v>357</v>
      </c>
      <c r="B112" s="1162"/>
      <c r="C112" s="1162"/>
      <c r="D112" s="1162"/>
      <c r="E112" s="1162"/>
      <c r="F112" s="1162"/>
      <c r="G112" s="1162"/>
      <c r="H112" s="1162"/>
      <c r="I112" s="1162"/>
      <c r="J112" s="1163"/>
    </row>
    <row r="113" spans="1:13" ht="35.25" hidden="1" customHeight="1" x14ac:dyDescent="0.25">
      <c r="A113" s="317">
        <v>4</v>
      </c>
      <c r="B113" s="1026" t="s">
        <v>608</v>
      </c>
      <c r="C113" s="1052"/>
      <c r="D113" s="1027"/>
      <c r="E113" s="1171"/>
      <c r="F113" s="1172"/>
      <c r="G113" s="317"/>
      <c r="H113" s="317"/>
      <c r="I113" s="1203">
        <v>0</v>
      </c>
      <c r="J113" s="1204"/>
    </row>
    <row r="114" spans="1:13" ht="69" hidden="1" customHeight="1" x14ac:dyDescent="0.25">
      <c r="A114" s="317"/>
      <c r="B114" s="1041" t="s">
        <v>479</v>
      </c>
      <c r="C114" s="1042"/>
      <c r="D114" s="1043"/>
      <c r="E114" s="1034" t="s">
        <v>74</v>
      </c>
      <c r="F114" s="1035"/>
      <c r="G114" s="222" t="s">
        <v>74</v>
      </c>
      <c r="H114" s="222" t="s">
        <v>74</v>
      </c>
      <c r="I114" s="1169"/>
      <c r="J114" s="1170"/>
    </row>
    <row r="115" spans="1:13" ht="35.25" hidden="1" customHeight="1" x14ac:dyDescent="0.25">
      <c r="A115" s="317">
        <v>5</v>
      </c>
      <c r="B115" s="1017" t="s">
        <v>529</v>
      </c>
      <c r="C115" s="1018"/>
      <c r="D115" s="1019"/>
      <c r="E115" s="1171"/>
      <c r="F115" s="1172"/>
      <c r="G115" s="317"/>
      <c r="H115" s="317"/>
      <c r="I115" s="1097">
        <v>0</v>
      </c>
      <c r="J115" s="1098"/>
    </row>
    <row r="116" spans="1:13" ht="35.25" hidden="1" customHeight="1" x14ac:dyDescent="0.25">
      <c r="A116" s="317">
        <v>4</v>
      </c>
      <c r="B116" s="1026" t="s">
        <v>604</v>
      </c>
      <c r="C116" s="1052"/>
      <c r="D116" s="1027"/>
      <c r="E116" s="1171"/>
      <c r="F116" s="1172"/>
      <c r="G116" s="317"/>
      <c r="H116" s="317"/>
      <c r="I116" s="1097">
        <v>0</v>
      </c>
      <c r="J116" s="1098"/>
    </row>
    <row r="117" spans="1:13" x14ac:dyDescent="0.25">
      <c r="A117" s="383"/>
      <c r="B117" s="1014" t="s">
        <v>13</v>
      </c>
      <c r="C117" s="1014"/>
      <c r="D117" s="1014"/>
      <c r="E117" s="1053" t="s">
        <v>14</v>
      </c>
      <c r="F117" s="1053"/>
      <c r="G117" s="383" t="s">
        <v>14</v>
      </c>
      <c r="H117" s="383" t="s">
        <v>14</v>
      </c>
      <c r="I117" s="1016">
        <f>I106+I109+I111+I108+I115+I116+I113</f>
        <v>871000</v>
      </c>
      <c r="J117" s="1016"/>
    </row>
    <row r="118" spans="1:13" ht="19.5" hidden="1" customHeight="1" x14ac:dyDescent="0.25">
      <c r="A118" s="1123" t="s">
        <v>359</v>
      </c>
      <c r="B118" s="1123"/>
      <c r="C118" s="1123"/>
      <c r="D118" s="1123"/>
      <c r="E118" s="1123"/>
      <c r="F118" s="1123"/>
      <c r="G118" s="1123"/>
      <c r="H118" s="1123"/>
      <c r="I118" s="1123"/>
      <c r="J118" s="1123"/>
    </row>
    <row r="119" spans="1:13" ht="51" hidden="1" x14ac:dyDescent="0.25">
      <c r="A119" s="320" t="s">
        <v>1</v>
      </c>
      <c r="B119" s="1015" t="s">
        <v>15</v>
      </c>
      <c r="C119" s="1015"/>
      <c r="D119" s="1015"/>
      <c r="E119" s="1024" t="s">
        <v>20</v>
      </c>
      <c r="F119" s="1025"/>
      <c r="G119" s="320" t="s">
        <v>21</v>
      </c>
      <c r="H119" s="320" t="s">
        <v>22</v>
      </c>
      <c r="I119" s="1015" t="s">
        <v>19</v>
      </c>
      <c r="J119" s="1015"/>
    </row>
    <row r="120" spans="1:13" hidden="1" x14ac:dyDescent="0.25">
      <c r="A120" s="320">
        <v>1</v>
      </c>
      <c r="B120" s="1015">
        <v>2</v>
      </c>
      <c r="C120" s="1015"/>
      <c r="D120" s="1015"/>
      <c r="E120" s="1024">
        <v>3</v>
      </c>
      <c r="F120" s="1025"/>
      <c r="G120" s="320">
        <v>4</v>
      </c>
      <c r="H120" s="320">
        <v>5</v>
      </c>
      <c r="I120" s="1015">
        <v>6</v>
      </c>
      <c r="J120" s="1015"/>
    </row>
    <row r="121" spans="1:13" ht="47.25" hidden="1" customHeight="1" x14ac:dyDescent="0.25">
      <c r="A121" s="333" t="s">
        <v>70</v>
      </c>
      <c r="B121" s="1214" t="s">
        <v>79</v>
      </c>
      <c r="C121" s="1215"/>
      <c r="D121" s="1216"/>
      <c r="E121" s="1038"/>
      <c r="F121" s="1039"/>
      <c r="G121" s="336">
        <v>12</v>
      </c>
      <c r="H121" s="336">
        <v>85</v>
      </c>
      <c r="I121" s="1218">
        <v>0</v>
      </c>
      <c r="J121" s="1218"/>
    </row>
    <row r="122" spans="1:13" ht="17.25" hidden="1" customHeight="1" x14ac:dyDescent="0.25">
      <c r="A122" s="333"/>
      <c r="B122" s="1219" t="s">
        <v>13</v>
      </c>
      <c r="C122" s="1219"/>
      <c r="D122" s="1219"/>
      <c r="E122" s="1026" t="s">
        <v>14</v>
      </c>
      <c r="F122" s="1027"/>
      <c r="G122" s="317" t="s">
        <v>14</v>
      </c>
      <c r="H122" s="317" t="s">
        <v>14</v>
      </c>
      <c r="I122" s="1016">
        <f>SUM(I121)</f>
        <v>0</v>
      </c>
      <c r="J122" s="1053"/>
    </row>
    <row r="123" spans="1:13" s="276" customFormat="1" ht="42" customHeight="1" x14ac:dyDescent="0.25">
      <c r="A123" s="1217" t="s">
        <v>288</v>
      </c>
      <c r="B123" s="1217"/>
      <c r="C123" s="1217"/>
      <c r="D123" s="1217"/>
      <c r="E123" s="1217"/>
      <c r="F123" s="1217"/>
      <c r="G123" s="1217"/>
      <c r="H123" s="1217"/>
      <c r="I123" s="1217"/>
      <c r="J123" s="1217"/>
      <c r="K123" s="292"/>
    </row>
    <row r="124" spans="1:13" ht="25.5" customHeight="1" x14ac:dyDescent="0.25">
      <c r="A124" s="348" t="s">
        <v>1</v>
      </c>
      <c r="B124" s="1176" t="s">
        <v>23</v>
      </c>
      <c r="C124" s="1176"/>
      <c r="D124" s="1176"/>
      <c r="E124" s="1176"/>
      <c r="F124" s="1176"/>
      <c r="G124" s="1176" t="s">
        <v>24</v>
      </c>
      <c r="H124" s="1176"/>
      <c r="I124" s="1176" t="s">
        <v>25</v>
      </c>
      <c r="J124" s="1176"/>
    </row>
    <row r="125" spans="1:13" ht="12" customHeight="1" x14ac:dyDescent="0.25">
      <c r="A125" s="320">
        <v>1</v>
      </c>
      <c r="B125" s="1015">
        <v>2</v>
      </c>
      <c r="C125" s="1015"/>
      <c r="D125" s="1015"/>
      <c r="E125" s="1015"/>
      <c r="F125" s="1015"/>
      <c r="G125" s="1015">
        <v>3</v>
      </c>
      <c r="H125" s="1015"/>
      <c r="I125" s="1015">
        <v>4</v>
      </c>
      <c r="J125" s="1015"/>
    </row>
    <row r="126" spans="1:13" ht="17.25" customHeight="1" x14ac:dyDescent="0.25">
      <c r="A126" s="317" t="s">
        <v>70</v>
      </c>
      <c r="B126" s="1050" t="s">
        <v>26</v>
      </c>
      <c r="C126" s="1050"/>
      <c r="D126" s="1050"/>
      <c r="E126" s="1050"/>
      <c r="F126" s="1050"/>
      <c r="G126" s="1013" t="s">
        <v>14</v>
      </c>
      <c r="H126" s="1013"/>
      <c r="I126" s="1198">
        <f>SUM(I128:J130)</f>
        <v>22162580.000891194</v>
      </c>
      <c r="J126" s="1198"/>
    </row>
    <row r="127" spans="1:13" ht="16.5" customHeight="1" x14ac:dyDescent="0.25">
      <c r="A127" s="349"/>
      <c r="B127" s="1026" t="s">
        <v>9</v>
      </c>
      <c r="C127" s="1052"/>
      <c r="D127" s="1052"/>
      <c r="E127" s="1052"/>
      <c r="F127" s="1027"/>
      <c r="G127" s="1051"/>
      <c r="H127" s="1051"/>
      <c r="I127" s="1198"/>
      <c r="J127" s="1198"/>
    </row>
    <row r="128" spans="1:13" ht="17.25" customHeight="1" x14ac:dyDescent="0.25">
      <c r="A128" s="317" t="s">
        <v>27</v>
      </c>
      <c r="B128" s="1220" t="s">
        <v>28</v>
      </c>
      <c r="C128" s="1220"/>
      <c r="D128" s="1220"/>
      <c r="E128" s="1220"/>
      <c r="F128" s="1220"/>
      <c r="G128" s="1210">
        <f>J73</f>
        <v>100739000.00405088</v>
      </c>
      <c r="H128" s="1210"/>
      <c r="I128" s="1198">
        <f>G128*22%</f>
        <v>22162580.000891194</v>
      </c>
      <c r="J128" s="1198"/>
      <c r="L128" s="1210"/>
      <c r="M128" s="1210"/>
    </row>
    <row r="129" spans="1:13" ht="15" customHeight="1" x14ac:dyDescent="0.25">
      <c r="A129" s="317" t="s">
        <v>29</v>
      </c>
      <c r="B129" s="1040" t="s">
        <v>30</v>
      </c>
      <c r="C129" s="1040"/>
      <c r="D129" s="1040"/>
      <c r="E129" s="1040"/>
      <c r="F129" s="1040"/>
      <c r="G129" s="1051">
        <v>0</v>
      </c>
      <c r="H129" s="1051"/>
      <c r="I129" s="1198">
        <f>G129*10%</f>
        <v>0</v>
      </c>
      <c r="J129" s="1198"/>
      <c r="L129" s="1051"/>
      <c r="M129" s="1051"/>
    </row>
    <row r="130" spans="1:13" ht="29.45" customHeight="1" x14ac:dyDescent="0.25">
      <c r="A130" s="317" t="s">
        <v>31</v>
      </c>
      <c r="B130" s="1050" t="s">
        <v>32</v>
      </c>
      <c r="C130" s="1050"/>
      <c r="D130" s="1050"/>
      <c r="E130" s="1050"/>
      <c r="F130" s="1050"/>
      <c r="G130" s="1051"/>
      <c r="H130" s="1051"/>
      <c r="I130" s="1198"/>
      <c r="J130" s="1198"/>
    </row>
    <row r="131" spans="1:13" ht="29.25" customHeight="1" x14ac:dyDescent="0.25">
      <c r="A131" s="317" t="s">
        <v>75</v>
      </c>
      <c r="B131" s="1050" t="s">
        <v>33</v>
      </c>
      <c r="C131" s="1050"/>
      <c r="D131" s="1050"/>
      <c r="E131" s="1050"/>
      <c r="F131" s="1050"/>
      <c r="G131" s="1013" t="s">
        <v>14</v>
      </c>
      <c r="H131" s="1013"/>
      <c r="I131" s="1198">
        <f>SUM(I133:J137)</f>
        <v>3122909.0001255767</v>
      </c>
      <c r="J131" s="1198"/>
    </row>
    <row r="132" spans="1:13" ht="15.75" customHeight="1" x14ac:dyDescent="0.25">
      <c r="A132" s="349"/>
      <c r="B132" s="1026" t="s">
        <v>9</v>
      </c>
      <c r="C132" s="1052"/>
      <c r="D132" s="1052"/>
      <c r="E132" s="1052"/>
      <c r="F132" s="1027"/>
      <c r="G132" s="1051"/>
      <c r="H132" s="1051"/>
      <c r="I132" s="1198"/>
      <c r="J132" s="1198"/>
    </row>
    <row r="133" spans="1:13" ht="27.75" customHeight="1" x14ac:dyDescent="0.25">
      <c r="A133" s="317" t="s">
        <v>34</v>
      </c>
      <c r="B133" s="1050" t="s">
        <v>35</v>
      </c>
      <c r="C133" s="1050"/>
      <c r="D133" s="1050"/>
      <c r="E133" s="1050"/>
      <c r="F133" s="1050"/>
      <c r="G133" s="1210">
        <f>G128+G129</f>
        <v>100739000.00405088</v>
      </c>
      <c r="H133" s="1210"/>
      <c r="I133" s="1198">
        <f>G133*2.9%</f>
        <v>2921431.0001174752</v>
      </c>
      <c r="J133" s="1198"/>
    </row>
    <row r="134" spans="1:13" ht="15" customHeight="1" x14ac:dyDescent="0.25">
      <c r="A134" s="317" t="s">
        <v>36</v>
      </c>
      <c r="B134" s="1050" t="s">
        <v>37</v>
      </c>
      <c r="C134" s="1050"/>
      <c r="D134" s="1050"/>
      <c r="E134" s="1050"/>
      <c r="F134" s="1050"/>
      <c r="G134" s="1051"/>
      <c r="H134" s="1051"/>
      <c r="I134" s="1198"/>
      <c r="J134" s="1198"/>
    </row>
    <row r="135" spans="1:13" ht="35.25" customHeight="1" x14ac:dyDescent="0.25">
      <c r="A135" s="317" t="s">
        <v>38</v>
      </c>
      <c r="B135" s="1050" t="s">
        <v>39</v>
      </c>
      <c r="C135" s="1050"/>
      <c r="D135" s="1050"/>
      <c r="E135" s="1050"/>
      <c r="F135" s="1050"/>
      <c r="G135" s="1210">
        <f>G128+G129</f>
        <v>100739000.00405088</v>
      </c>
      <c r="H135" s="1210"/>
      <c r="I135" s="1198">
        <f>G135*0.2%</f>
        <v>201478.00000810178</v>
      </c>
      <c r="J135" s="1198"/>
    </row>
    <row r="136" spans="1:13" s="276" customFormat="1" ht="15" customHeight="1" x14ac:dyDescent="0.25">
      <c r="A136" s="317" t="s">
        <v>40</v>
      </c>
      <c r="B136" s="1050" t="s">
        <v>41</v>
      </c>
      <c r="C136" s="1050"/>
      <c r="D136" s="1050"/>
      <c r="E136" s="1050"/>
      <c r="F136" s="1050"/>
      <c r="G136" s="1051"/>
      <c r="H136" s="1051"/>
      <c r="I136" s="1198"/>
      <c r="J136" s="1198"/>
      <c r="K136" s="292"/>
    </row>
    <row r="137" spans="1:13" ht="15" customHeight="1" x14ac:dyDescent="0.25">
      <c r="A137" s="317" t="s">
        <v>42</v>
      </c>
      <c r="B137" s="1050" t="s">
        <v>41</v>
      </c>
      <c r="C137" s="1050"/>
      <c r="D137" s="1050"/>
      <c r="E137" s="1050"/>
      <c r="F137" s="1050"/>
      <c r="G137" s="1051"/>
      <c r="H137" s="1051"/>
      <c r="I137" s="1198"/>
      <c r="J137" s="1198"/>
    </row>
    <row r="138" spans="1:13" ht="30" customHeight="1" x14ac:dyDescent="0.25">
      <c r="A138" s="317" t="s">
        <v>77</v>
      </c>
      <c r="B138" s="1050" t="s">
        <v>43</v>
      </c>
      <c r="C138" s="1050"/>
      <c r="D138" s="1050"/>
      <c r="E138" s="1050"/>
      <c r="F138" s="1050"/>
      <c r="G138" s="1210">
        <f>G128+G129</f>
        <v>100739000.00405088</v>
      </c>
      <c r="H138" s="1210"/>
      <c r="I138" s="1198">
        <f>G138*5.1%-174778</f>
        <v>4962911.0002065944</v>
      </c>
      <c r="J138" s="1198"/>
    </row>
    <row r="139" spans="1:13" ht="19.5" customHeight="1" x14ac:dyDescent="0.25">
      <c r="A139" s="317"/>
      <c r="B139" s="1014" t="s">
        <v>324</v>
      </c>
      <c r="C139" s="1014"/>
      <c r="D139" s="1014"/>
      <c r="E139" s="1014"/>
      <c r="F139" s="1014"/>
      <c r="G139" s="1053" t="s">
        <v>14</v>
      </c>
      <c r="H139" s="1053"/>
      <c r="I139" s="1124">
        <f>I126+I131+I138-0.0012234</f>
        <v>30248399.999999963</v>
      </c>
      <c r="J139" s="1124"/>
    </row>
    <row r="140" spans="1:13" ht="36" customHeight="1" x14ac:dyDescent="0.25">
      <c r="A140" s="348" t="s">
        <v>1</v>
      </c>
      <c r="B140" s="1120" t="s">
        <v>23</v>
      </c>
      <c r="C140" s="1223"/>
      <c r="D140" s="1223"/>
      <c r="E140" s="1223"/>
      <c r="F140" s="1121"/>
      <c r="G140" s="1120" t="s">
        <v>24</v>
      </c>
      <c r="H140" s="1121"/>
      <c r="I140" s="1120" t="s">
        <v>25</v>
      </c>
      <c r="J140" s="1121"/>
    </row>
    <row r="141" spans="1:13" ht="11.25" customHeight="1" x14ac:dyDescent="0.25">
      <c r="A141" s="320">
        <v>1</v>
      </c>
      <c r="B141" s="1024">
        <v>2</v>
      </c>
      <c r="C141" s="1077"/>
      <c r="D141" s="1077"/>
      <c r="E141" s="1077"/>
      <c r="F141" s="1025"/>
      <c r="G141" s="1024">
        <v>3</v>
      </c>
      <c r="H141" s="1025"/>
      <c r="I141" s="1024">
        <v>4</v>
      </c>
      <c r="J141" s="1025"/>
    </row>
    <row r="142" spans="1:13" ht="20.25" customHeight="1" x14ac:dyDescent="0.25">
      <c r="A142" s="317" t="s">
        <v>70</v>
      </c>
      <c r="B142" s="1104" t="s">
        <v>26</v>
      </c>
      <c r="C142" s="1105"/>
      <c r="D142" s="1105"/>
      <c r="E142" s="1105"/>
      <c r="F142" s="1106"/>
      <c r="G142" s="1026" t="s">
        <v>14</v>
      </c>
      <c r="H142" s="1027"/>
      <c r="I142" s="1116">
        <f>SUM(I144:J146)</f>
        <v>36288</v>
      </c>
      <c r="J142" s="1117"/>
    </row>
    <row r="143" spans="1:13" ht="18" customHeight="1" x14ac:dyDescent="0.25">
      <c r="A143" s="349"/>
      <c r="B143" s="1026" t="s">
        <v>9</v>
      </c>
      <c r="C143" s="1052"/>
      <c r="D143" s="1052"/>
      <c r="E143" s="1052"/>
      <c r="F143" s="1027"/>
      <c r="G143" s="1113"/>
      <c r="H143" s="1114"/>
      <c r="I143" s="1116"/>
      <c r="J143" s="1117"/>
    </row>
    <row r="144" spans="1:13" s="276" customFormat="1" ht="20.25" customHeight="1" x14ac:dyDescent="0.25">
      <c r="A144" s="317" t="s">
        <v>27</v>
      </c>
      <c r="B144" s="1224" t="s">
        <v>28</v>
      </c>
      <c r="C144" s="1225"/>
      <c r="D144" s="1225"/>
      <c r="E144" s="1225"/>
      <c r="F144" s="1226"/>
      <c r="G144" s="1102">
        <f>J93</f>
        <v>216000</v>
      </c>
      <c r="H144" s="1103"/>
      <c r="I144" s="1116">
        <f>G144*22%-11232</f>
        <v>36288</v>
      </c>
      <c r="J144" s="1117"/>
      <c r="K144" s="292"/>
    </row>
    <row r="145" spans="1:13" x14ac:dyDescent="0.25">
      <c r="A145" s="317" t="s">
        <v>29</v>
      </c>
      <c r="B145" s="1017" t="s">
        <v>30</v>
      </c>
      <c r="C145" s="1018"/>
      <c r="D145" s="1018"/>
      <c r="E145" s="1018"/>
      <c r="F145" s="1019"/>
      <c r="G145" s="1113"/>
      <c r="H145" s="1114"/>
      <c r="I145" s="1116"/>
      <c r="J145" s="1117"/>
    </row>
    <row r="146" spans="1:13" ht="15" customHeight="1" x14ac:dyDescent="0.25">
      <c r="A146" s="317" t="s">
        <v>31</v>
      </c>
      <c r="B146" s="1104" t="s">
        <v>32</v>
      </c>
      <c r="C146" s="1105"/>
      <c r="D146" s="1105"/>
      <c r="E146" s="1105"/>
      <c r="F146" s="1106"/>
      <c r="G146" s="1113"/>
      <c r="H146" s="1114"/>
      <c r="I146" s="1116"/>
      <c r="J146" s="1117"/>
    </row>
    <row r="147" spans="1:13" ht="15" customHeight="1" x14ac:dyDescent="0.25">
      <c r="A147" s="317" t="s">
        <v>75</v>
      </c>
      <c r="B147" s="1104" t="s">
        <v>33</v>
      </c>
      <c r="C147" s="1105"/>
      <c r="D147" s="1105"/>
      <c r="E147" s="1105"/>
      <c r="F147" s="1106"/>
      <c r="G147" s="1026" t="s">
        <v>14</v>
      </c>
      <c r="H147" s="1027"/>
      <c r="I147" s="1116">
        <f>I149+I150+I151</f>
        <v>6696</v>
      </c>
      <c r="J147" s="1117"/>
    </row>
    <row r="148" spans="1:13" ht="15" customHeight="1" x14ac:dyDescent="0.25">
      <c r="A148" s="349"/>
      <c r="B148" s="1026" t="s">
        <v>9</v>
      </c>
      <c r="C148" s="1052"/>
      <c r="D148" s="1052"/>
      <c r="E148" s="1052"/>
      <c r="F148" s="1027"/>
      <c r="G148" s="1113"/>
      <c r="H148" s="1114"/>
      <c r="I148" s="1116"/>
      <c r="J148" s="1117"/>
    </row>
    <row r="149" spans="1:13" ht="26.25" customHeight="1" x14ac:dyDescent="0.25">
      <c r="A149" s="317" t="s">
        <v>34</v>
      </c>
      <c r="B149" s="1104" t="s">
        <v>35</v>
      </c>
      <c r="C149" s="1105"/>
      <c r="D149" s="1105"/>
      <c r="E149" s="1105"/>
      <c r="F149" s="1106"/>
      <c r="G149" s="1102">
        <f>G144</f>
        <v>216000</v>
      </c>
      <c r="H149" s="1103"/>
      <c r="I149" s="1116">
        <f>G149*2.9%</f>
        <v>6264</v>
      </c>
      <c r="J149" s="1117"/>
    </row>
    <row r="150" spans="1:13" x14ac:dyDescent="0.25">
      <c r="A150" s="317" t="s">
        <v>36</v>
      </c>
      <c r="B150" s="1104" t="s">
        <v>37</v>
      </c>
      <c r="C150" s="1105"/>
      <c r="D150" s="1105"/>
      <c r="E150" s="1105"/>
      <c r="F150" s="1106"/>
      <c r="G150" s="1113"/>
      <c r="H150" s="1114"/>
      <c r="I150" s="1116"/>
      <c r="J150" s="1117"/>
    </row>
    <row r="151" spans="1:13" ht="26.25" customHeight="1" x14ac:dyDescent="0.25">
      <c r="A151" s="317" t="s">
        <v>38</v>
      </c>
      <c r="B151" s="1104" t="s">
        <v>39</v>
      </c>
      <c r="C151" s="1105"/>
      <c r="D151" s="1105"/>
      <c r="E151" s="1105"/>
      <c r="F151" s="1106"/>
      <c r="G151" s="1102">
        <f>G144</f>
        <v>216000</v>
      </c>
      <c r="H151" s="1103"/>
      <c r="I151" s="1116">
        <f>G151*0.2%</f>
        <v>432</v>
      </c>
      <c r="J151" s="1117"/>
    </row>
    <row r="152" spans="1:13" s="276" customFormat="1" ht="14.25" customHeight="1" x14ac:dyDescent="0.25">
      <c r="A152" s="317" t="s">
        <v>40</v>
      </c>
      <c r="B152" s="1104" t="s">
        <v>41</v>
      </c>
      <c r="C152" s="1105"/>
      <c r="D152" s="1105"/>
      <c r="E152" s="1105"/>
      <c r="F152" s="1106"/>
      <c r="G152" s="1113"/>
      <c r="H152" s="1114"/>
      <c r="I152" s="1116"/>
      <c r="J152" s="1117"/>
      <c r="K152" s="292"/>
    </row>
    <row r="153" spans="1:13" ht="15" customHeight="1" x14ac:dyDescent="0.25">
      <c r="A153" s="317" t="s">
        <v>42</v>
      </c>
      <c r="B153" s="1104" t="s">
        <v>41</v>
      </c>
      <c r="C153" s="1105"/>
      <c r="D153" s="1105"/>
      <c r="E153" s="1105"/>
      <c r="F153" s="1106"/>
      <c r="G153" s="1113"/>
      <c r="H153" s="1114"/>
      <c r="I153" s="1116"/>
      <c r="J153" s="1117"/>
    </row>
    <row r="154" spans="1:13" x14ac:dyDescent="0.25">
      <c r="A154" s="317" t="s">
        <v>77</v>
      </c>
      <c r="B154" s="1104" t="s">
        <v>43</v>
      </c>
      <c r="C154" s="1105"/>
      <c r="D154" s="1105"/>
      <c r="E154" s="1105"/>
      <c r="F154" s="1106"/>
      <c r="G154" s="1102">
        <f>G144</f>
        <v>216000</v>
      </c>
      <c r="H154" s="1103"/>
      <c r="I154" s="1116">
        <f>G154*5.1%</f>
        <v>11016</v>
      </c>
      <c r="J154" s="1117"/>
    </row>
    <row r="155" spans="1:13" x14ac:dyDescent="0.25">
      <c r="A155" s="317"/>
      <c r="B155" s="1125" t="s">
        <v>373</v>
      </c>
      <c r="C155" s="1126"/>
      <c r="D155" s="1126"/>
      <c r="E155" s="1126"/>
      <c r="F155" s="1127"/>
      <c r="G155" s="1031" t="s">
        <v>14</v>
      </c>
      <c r="H155" s="1033"/>
      <c r="I155" s="1270">
        <f>I142+I147+I154</f>
        <v>54000</v>
      </c>
      <c r="J155" s="1271"/>
    </row>
    <row r="156" spans="1:13" x14ac:dyDescent="0.25">
      <c r="A156" s="317"/>
      <c r="B156" s="1125" t="s">
        <v>506</v>
      </c>
      <c r="C156" s="1126"/>
      <c r="D156" s="1126"/>
      <c r="E156" s="1126"/>
      <c r="F156" s="1127"/>
      <c r="G156" s="239"/>
      <c r="H156" s="350"/>
      <c r="I156" s="1270">
        <v>0</v>
      </c>
      <c r="J156" s="1271"/>
    </row>
    <row r="157" spans="1:13" x14ac:dyDescent="0.25">
      <c r="A157" s="317"/>
      <c r="B157" s="1031" t="s">
        <v>539</v>
      </c>
      <c r="C157" s="1032"/>
      <c r="D157" s="1032"/>
      <c r="E157" s="1032"/>
      <c r="F157" s="1033"/>
      <c r="G157" s="239"/>
      <c r="H157" s="350"/>
      <c r="I157" s="1128">
        <v>0</v>
      </c>
      <c r="J157" s="1129"/>
    </row>
    <row r="158" spans="1:13" s="276" customFormat="1" ht="18" customHeight="1" x14ac:dyDescent="0.25">
      <c r="A158" s="317"/>
      <c r="B158" s="1014" t="s">
        <v>325</v>
      </c>
      <c r="C158" s="1014"/>
      <c r="D158" s="1014"/>
      <c r="E158" s="1014"/>
      <c r="F158" s="1014"/>
      <c r="G158" s="1053" t="s">
        <v>14</v>
      </c>
      <c r="H158" s="1053"/>
      <c r="I158" s="1124">
        <f>I139+I155+I156+I157</f>
        <v>30302399.999999963</v>
      </c>
      <c r="J158" s="1124"/>
      <c r="K158" s="402"/>
      <c r="L158" s="402"/>
      <c r="M158" s="284"/>
    </row>
    <row r="159" spans="1:13" s="276" customFormat="1" ht="3" customHeight="1" x14ac:dyDescent="0.25">
      <c r="A159" s="1142" t="s">
        <v>414</v>
      </c>
      <c r="B159" s="1142"/>
      <c r="C159" s="1142"/>
      <c r="D159" s="1142"/>
      <c r="E159" s="1142"/>
      <c r="F159" s="1142"/>
      <c r="G159" s="1142"/>
      <c r="H159" s="1142"/>
      <c r="I159" s="1142"/>
      <c r="J159" s="1142"/>
      <c r="K159" s="292"/>
    </row>
    <row r="160" spans="1:13" ht="19.5" hidden="1" customHeight="1" x14ac:dyDescent="0.25">
      <c r="A160" s="1123" t="s">
        <v>370</v>
      </c>
      <c r="B160" s="1123"/>
      <c r="C160" s="1123"/>
      <c r="D160" s="1123"/>
      <c r="E160" s="1123"/>
      <c r="F160" s="1123"/>
      <c r="G160" s="1123"/>
      <c r="H160" s="1123"/>
      <c r="I160" s="1123"/>
      <c r="J160" s="1123"/>
      <c r="K160" s="300"/>
      <c r="L160" s="279"/>
    </row>
    <row r="161" spans="1:12" ht="15" hidden="1" customHeight="1" x14ac:dyDescent="0.25">
      <c r="A161" s="324" t="s">
        <v>80</v>
      </c>
      <c r="B161" s="325"/>
      <c r="C161" s="328">
        <v>321</v>
      </c>
      <c r="D161" s="328"/>
      <c r="E161" s="328"/>
      <c r="F161" s="329"/>
      <c r="G161" s="329"/>
      <c r="H161" s="329"/>
      <c r="I161" s="329"/>
      <c r="J161" s="442"/>
      <c r="K161" s="300"/>
      <c r="L161" s="279"/>
    </row>
    <row r="162" spans="1:12" ht="16.5" hidden="1" customHeight="1" x14ac:dyDescent="0.25">
      <c r="A162" s="324" t="s">
        <v>81</v>
      </c>
      <c r="B162" s="325"/>
      <c r="C162" s="325"/>
      <c r="D162" s="325"/>
      <c r="E162" s="330"/>
      <c r="F162" s="331"/>
      <c r="G162" s="331"/>
      <c r="H162" s="331"/>
      <c r="I162" s="331"/>
      <c r="J162" s="443"/>
      <c r="K162" s="300"/>
      <c r="L162" s="279"/>
    </row>
    <row r="163" spans="1:12" ht="36" hidden="1" customHeight="1" x14ac:dyDescent="0.25">
      <c r="A163" s="320" t="s">
        <v>1</v>
      </c>
      <c r="B163" s="1024" t="s">
        <v>44</v>
      </c>
      <c r="C163" s="1077"/>
      <c r="D163" s="1025"/>
      <c r="E163" s="1024" t="s">
        <v>45</v>
      </c>
      <c r="F163" s="1025"/>
      <c r="G163" s="1024" t="s">
        <v>46</v>
      </c>
      <c r="H163" s="1025"/>
      <c r="I163" s="1024" t="s">
        <v>102</v>
      </c>
      <c r="J163" s="1025"/>
      <c r="K163" s="300"/>
      <c r="L163" s="279"/>
    </row>
    <row r="164" spans="1:12" ht="16.5" hidden="1" customHeight="1" x14ac:dyDescent="0.25">
      <c r="A164" s="320">
        <v>1</v>
      </c>
      <c r="B164" s="1024">
        <v>2</v>
      </c>
      <c r="C164" s="1077"/>
      <c r="D164" s="1025"/>
      <c r="E164" s="1024">
        <v>3</v>
      </c>
      <c r="F164" s="1025"/>
      <c r="G164" s="1024">
        <v>4</v>
      </c>
      <c r="H164" s="1025"/>
      <c r="I164" s="1024">
        <v>5</v>
      </c>
      <c r="J164" s="1025"/>
      <c r="K164" s="300"/>
      <c r="L164" s="279"/>
    </row>
    <row r="165" spans="1:12" ht="89.25" hidden="1" customHeight="1" x14ac:dyDescent="0.25">
      <c r="A165" s="222" t="s">
        <v>70</v>
      </c>
      <c r="B165" s="1017" t="s">
        <v>361</v>
      </c>
      <c r="C165" s="1018"/>
      <c r="D165" s="1019"/>
      <c r="E165" s="1118"/>
      <c r="F165" s="1119"/>
      <c r="G165" s="1118"/>
      <c r="H165" s="1119"/>
      <c r="I165" s="1118">
        <v>0</v>
      </c>
      <c r="J165" s="1119"/>
    </row>
    <row r="166" spans="1:12" ht="28.5" hidden="1" customHeight="1" x14ac:dyDescent="0.25">
      <c r="A166" s="317" t="s">
        <v>75</v>
      </c>
      <c r="B166" s="1017" t="s">
        <v>360</v>
      </c>
      <c r="C166" s="1018"/>
      <c r="D166" s="1019"/>
      <c r="E166" s="1118"/>
      <c r="F166" s="1119"/>
      <c r="G166" s="1118"/>
      <c r="H166" s="1119"/>
      <c r="I166" s="1118"/>
      <c r="J166" s="1119"/>
    </row>
    <row r="167" spans="1:12" ht="28.5" hidden="1" customHeight="1" x14ac:dyDescent="0.25">
      <c r="A167" s="317" t="s">
        <v>77</v>
      </c>
      <c r="B167" s="1214" t="s">
        <v>366</v>
      </c>
      <c r="C167" s="1215"/>
      <c r="D167" s="1216"/>
      <c r="E167" s="1118"/>
      <c r="F167" s="1122"/>
      <c r="G167" s="1118"/>
      <c r="H167" s="1122"/>
      <c r="I167" s="1118"/>
      <c r="J167" s="1122"/>
    </row>
    <row r="168" spans="1:12" hidden="1" x14ac:dyDescent="0.25">
      <c r="A168" s="322"/>
      <c r="B168" s="1125" t="s">
        <v>13</v>
      </c>
      <c r="C168" s="1126"/>
      <c r="D168" s="1127"/>
      <c r="E168" s="1031" t="s">
        <v>14</v>
      </c>
      <c r="F168" s="1033"/>
      <c r="G168" s="1031" t="s">
        <v>14</v>
      </c>
      <c r="H168" s="1033"/>
      <c r="I168" s="1072">
        <f>I165+I166+I167</f>
        <v>0</v>
      </c>
      <c r="J168" s="1033"/>
    </row>
    <row r="169" spans="1:12" s="276" customFormat="1" ht="19.5" customHeight="1" x14ac:dyDescent="0.25">
      <c r="A169" s="1123" t="s">
        <v>1080</v>
      </c>
      <c r="B169" s="1123"/>
      <c r="C169" s="1123"/>
      <c r="D169" s="1123"/>
      <c r="E169" s="1123"/>
      <c r="F169" s="1123"/>
      <c r="G169" s="1123"/>
      <c r="H169" s="1123"/>
      <c r="I169" s="1123"/>
      <c r="J169" s="1123"/>
      <c r="K169" s="292"/>
    </row>
    <row r="170" spans="1:12" s="276" customFormat="1" ht="21.75" customHeight="1" x14ac:dyDescent="0.25">
      <c r="A170" s="324" t="s">
        <v>80</v>
      </c>
      <c r="B170" s="325"/>
      <c r="C170" s="328">
        <v>321</v>
      </c>
      <c r="D170" s="328"/>
      <c r="E170" s="328"/>
      <c r="F170" s="329"/>
      <c r="G170" s="329"/>
      <c r="H170" s="329"/>
      <c r="I170" s="329"/>
      <c r="J170" s="442"/>
      <c r="K170" s="292"/>
    </row>
    <row r="171" spans="1:12" s="276" customFormat="1" ht="23.25" customHeight="1" x14ac:dyDescent="0.25">
      <c r="A171" s="324" t="s">
        <v>81</v>
      </c>
      <c r="B171" s="325"/>
      <c r="C171" s="325"/>
      <c r="D171" s="1115" t="s">
        <v>195</v>
      </c>
      <c r="E171" s="1115"/>
      <c r="F171" s="1115"/>
      <c r="G171" s="1115"/>
      <c r="H171" s="1115"/>
      <c r="I171" s="1115"/>
      <c r="J171" s="1115"/>
      <c r="K171" s="292"/>
    </row>
    <row r="172" spans="1:12" s="276" customFormat="1" ht="19.5" customHeight="1" x14ac:dyDescent="0.25">
      <c r="A172" s="320" t="s">
        <v>1</v>
      </c>
      <c r="B172" s="1024" t="s">
        <v>44</v>
      </c>
      <c r="C172" s="1077"/>
      <c r="D172" s="1025"/>
      <c r="E172" s="1024" t="s">
        <v>45</v>
      </c>
      <c r="F172" s="1025"/>
      <c r="G172" s="1024" t="s">
        <v>46</v>
      </c>
      <c r="H172" s="1025"/>
      <c r="I172" s="1024" t="s">
        <v>102</v>
      </c>
      <c r="J172" s="1025"/>
      <c r="K172" s="292"/>
    </row>
    <row r="173" spans="1:12" s="276" customFormat="1" ht="14.25" customHeight="1" x14ac:dyDescent="0.25">
      <c r="A173" s="320">
        <v>1</v>
      </c>
      <c r="B173" s="1024">
        <v>2</v>
      </c>
      <c r="C173" s="1077"/>
      <c r="D173" s="1025"/>
      <c r="E173" s="1024">
        <v>3</v>
      </c>
      <c r="F173" s="1025"/>
      <c r="G173" s="1024">
        <v>4</v>
      </c>
      <c r="H173" s="1025"/>
      <c r="I173" s="1024">
        <v>5</v>
      </c>
      <c r="J173" s="1025"/>
      <c r="K173" s="292"/>
    </row>
    <row r="174" spans="1:12" s="276" customFormat="1" ht="45.75" customHeight="1" x14ac:dyDescent="0.25">
      <c r="A174" s="222" t="s">
        <v>70</v>
      </c>
      <c r="B174" s="1017" t="s">
        <v>1162</v>
      </c>
      <c r="C174" s="1018"/>
      <c r="D174" s="1019"/>
      <c r="E174" s="1026">
        <v>207</v>
      </c>
      <c r="F174" s="1027"/>
      <c r="G174" s="1026">
        <v>0</v>
      </c>
      <c r="H174" s="1027"/>
      <c r="I174" s="1118">
        <f>20*207*160</f>
        <v>662400</v>
      </c>
      <c r="J174" s="1119"/>
      <c r="K174" s="292"/>
    </row>
    <row r="175" spans="1:12" s="276" customFormat="1" ht="1.5" hidden="1" customHeight="1" x14ac:dyDescent="0.25">
      <c r="A175" s="317" t="s">
        <v>75</v>
      </c>
      <c r="B175" s="1026" t="s">
        <v>360</v>
      </c>
      <c r="C175" s="1052"/>
      <c r="D175" s="1027"/>
      <c r="E175" s="314"/>
      <c r="F175" s="315"/>
      <c r="G175" s="314"/>
      <c r="H175" s="315"/>
      <c r="I175" s="538"/>
      <c r="J175" s="539"/>
      <c r="K175" s="292"/>
    </row>
    <row r="176" spans="1:12" s="276" customFormat="1" ht="38.25" hidden="1" customHeight="1" x14ac:dyDescent="0.25">
      <c r="A176" s="317" t="s">
        <v>75</v>
      </c>
      <c r="B176" s="1214"/>
      <c r="C176" s="1215"/>
      <c r="D176" s="1216"/>
      <c r="E176" s="1026"/>
      <c r="F176" s="1027"/>
      <c r="G176" s="1026">
        <f>4*3</f>
        <v>12</v>
      </c>
      <c r="H176" s="1027"/>
      <c r="I176" s="1118"/>
      <c r="J176" s="1119"/>
      <c r="K176" s="292"/>
    </row>
    <row r="177" spans="1:12" s="276" customFormat="1" ht="18" customHeight="1" x14ac:dyDescent="0.25">
      <c r="A177" s="322"/>
      <c r="B177" s="1031" t="s">
        <v>13</v>
      </c>
      <c r="C177" s="1032"/>
      <c r="D177" s="1033"/>
      <c r="E177" s="1031" t="s">
        <v>14</v>
      </c>
      <c r="F177" s="1033"/>
      <c r="G177" s="1031" t="s">
        <v>14</v>
      </c>
      <c r="H177" s="1033"/>
      <c r="I177" s="1143">
        <f>I174+I176</f>
        <v>662400</v>
      </c>
      <c r="J177" s="1144"/>
      <c r="K177" s="292"/>
    </row>
    <row r="178" spans="1:12" s="276" customFormat="1" ht="18" customHeight="1" x14ac:dyDescent="0.25">
      <c r="A178" s="1130" t="s">
        <v>362</v>
      </c>
      <c r="B178" s="1130"/>
      <c r="C178" s="1130"/>
      <c r="D178" s="1130"/>
      <c r="E178" s="1130"/>
      <c r="F178" s="1130"/>
      <c r="G178" s="1130"/>
      <c r="H178" s="1130"/>
      <c r="I178" s="1130"/>
      <c r="J178" s="1130"/>
      <c r="K178" s="292"/>
    </row>
    <row r="179" spans="1:12" s="276" customFormat="1" ht="18" customHeight="1" x14ac:dyDescent="0.25">
      <c r="A179" s="324" t="s">
        <v>80</v>
      </c>
      <c r="B179" s="325"/>
      <c r="C179" s="328">
        <v>851</v>
      </c>
      <c r="D179" s="328">
        <v>852</v>
      </c>
      <c r="E179" s="328">
        <v>853</v>
      </c>
      <c r="F179" s="329"/>
      <c r="G179" s="329"/>
      <c r="H179" s="329"/>
      <c r="I179" s="329"/>
      <c r="J179" s="442"/>
      <c r="K179" s="292"/>
    </row>
    <row r="180" spans="1:12" s="276" customFormat="1" ht="18" customHeight="1" x14ac:dyDescent="0.25">
      <c r="A180" s="324" t="s">
        <v>81</v>
      </c>
      <c r="B180" s="325"/>
      <c r="C180" s="325"/>
      <c r="D180" s="1115" t="s">
        <v>82</v>
      </c>
      <c r="E180" s="1115"/>
      <c r="F180" s="1115"/>
      <c r="G180" s="1115"/>
      <c r="H180" s="1115"/>
      <c r="I180" s="331"/>
      <c r="J180" s="443"/>
      <c r="K180" s="292"/>
    </row>
    <row r="181" spans="1:12" s="276" customFormat="1" ht="30.75" customHeight="1" x14ac:dyDescent="0.2">
      <c r="A181" s="320" t="s">
        <v>1</v>
      </c>
      <c r="B181" s="1015" t="s">
        <v>15</v>
      </c>
      <c r="C181" s="1015"/>
      <c r="D181" s="1015"/>
      <c r="E181" s="1015" t="s">
        <v>47</v>
      </c>
      <c r="F181" s="1015"/>
      <c r="G181" s="1015" t="s">
        <v>48</v>
      </c>
      <c r="H181" s="1015"/>
      <c r="I181" s="1015" t="s">
        <v>103</v>
      </c>
      <c r="J181" s="1015"/>
      <c r="K181" s="1021" t="s">
        <v>1116</v>
      </c>
    </row>
    <row r="182" spans="1:12" s="276" customFormat="1" ht="18" customHeight="1" x14ac:dyDescent="0.2">
      <c r="A182" s="320">
        <v>1</v>
      </c>
      <c r="B182" s="1015">
        <v>2</v>
      </c>
      <c r="C182" s="1015"/>
      <c r="D182" s="1015"/>
      <c r="E182" s="1015">
        <v>3</v>
      </c>
      <c r="F182" s="1015"/>
      <c r="G182" s="1015">
        <v>4</v>
      </c>
      <c r="H182" s="1015"/>
      <c r="I182" s="1015">
        <v>5</v>
      </c>
      <c r="J182" s="1015"/>
      <c r="K182" s="1021"/>
    </row>
    <row r="183" spans="1:12" s="276" customFormat="1" ht="29.25" customHeight="1" x14ac:dyDescent="0.25">
      <c r="A183" s="1093" t="s">
        <v>70</v>
      </c>
      <c r="B183" s="1274" t="s">
        <v>289</v>
      </c>
      <c r="C183" s="1275"/>
      <c r="D183" s="546" t="s">
        <v>1090</v>
      </c>
      <c r="E183" s="1234"/>
      <c r="F183" s="1234"/>
      <c r="G183" s="1233">
        <v>2.1999999999999999E-2</v>
      </c>
      <c r="H183" s="1233"/>
      <c r="I183" s="1069">
        <v>68000</v>
      </c>
      <c r="J183" s="1069"/>
      <c r="K183" s="582" t="s">
        <v>1110</v>
      </c>
    </row>
    <row r="184" spans="1:12" s="276" customFormat="1" ht="36" customHeight="1" x14ac:dyDescent="0.25">
      <c r="A184" s="1246"/>
      <c r="B184" s="1275"/>
      <c r="C184" s="1275"/>
      <c r="D184" s="547" t="s">
        <v>1091</v>
      </c>
      <c r="E184" s="1234"/>
      <c r="F184" s="1234"/>
      <c r="G184" s="1233">
        <v>2.1999999999999999E-2</v>
      </c>
      <c r="H184" s="1233"/>
      <c r="I184" s="1069">
        <v>206000</v>
      </c>
      <c r="J184" s="1069"/>
      <c r="K184" s="582"/>
    </row>
    <row r="185" spans="1:12" s="276" customFormat="1" ht="31.5" hidden="1" customHeight="1" x14ac:dyDescent="0.25">
      <c r="A185" s="317" t="s">
        <v>75</v>
      </c>
      <c r="B185" s="1017" t="s">
        <v>291</v>
      </c>
      <c r="C185" s="1018"/>
      <c r="D185" s="1019"/>
      <c r="E185" s="1013">
        <v>0</v>
      </c>
      <c r="F185" s="1013"/>
      <c r="G185" s="1013">
        <v>0</v>
      </c>
      <c r="H185" s="1013"/>
      <c r="I185" s="1069">
        <v>0</v>
      </c>
      <c r="J185" s="1069"/>
      <c r="K185" s="292"/>
    </row>
    <row r="186" spans="1:12" s="276" customFormat="1" ht="46.5" hidden="1" customHeight="1" x14ac:dyDescent="0.25">
      <c r="A186" s="317" t="s">
        <v>77</v>
      </c>
      <c r="B186" s="1017" t="s">
        <v>292</v>
      </c>
      <c r="C186" s="1018"/>
      <c r="D186" s="1019"/>
      <c r="E186" s="1013">
        <v>0</v>
      </c>
      <c r="F186" s="1013"/>
      <c r="G186" s="1013">
        <v>0</v>
      </c>
      <c r="H186" s="1013"/>
      <c r="I186" s="1069">
        <v>0</v>
      </c>
      <c r="J186" s="1069"/>
      <c r="K186" s="292"/>
    </row>
    <row r="187" spans="1:12" s="276" customFormat="1" ht="18" hidden="1" customHeight="1" x14ac:dyDescent="0.25">
      <c r="A187" s="317" t="s">
        <v>86</v>
      </c>
      <c r="B187" s="1017" t="s">
        <v>290</v>
      </c>
      <c r="C187" s="1018"/>
      <c r="D187" s="1019"/>
      <c r="E187" s="1026">
        <v>0</v>
      </c>
      <c r="F187" s="1027"/>
      <c r="G187" s="1026">
        <v>0</v>
      </c>
      <c r="H187" s="1027"/>
      <c r="I187" s="1272">
        <v>0</v>
      </c>
      <c r="J187" s="1273"/>
      <c r="K187" s="304"/>
    </row>
    <row r="188" spans="1:12" s="276" customFormat="1" ht="18" customHeight="1" x14ac:dyDescent="0.25">
      <c r="A188" s="322"/>
      <c r="B188" s="1014" t="s">
        <v>13</v>
      </c>
      <c r="C188" s="1014"/>
      <c r="D188" s="1014"/>
      <c r="E188" s="1053" t="s">
        <v>74</v>
      </c>
      <c r="F188" s="1053"/>
      <c r="G188" s="1053" t="s">
        <v>14</v>
      </c>
      <c r="H188" s="1053"/>
      <c r="I188" s="1016">
        <f>SUM(I183:J187)</f>
        <v>274000</v>
      </c>
      <c r="J188" s="1053"/>
      <c r="K188" s="292"/>
    </row>
    <row r="189" spans="1:12" s="276" customFormat="1" ht="18" hidden="1" customHeight="1" x14ac:dyDescent="0.25">
      <c r="A189" s="1232"/>
      <c r="B189" s="1232"/>
      <c r="C189" s="1232"/>
      <c r="D189" s="1232"/>
      <c r="E189" s="1232"/>
      <c r="F189" s="1232"/>
      <c r="G189" s="1232"/>
      <c r="H189" s="1232"/>
      <c r="I189" s="1232"/>
      <c r="J189" s="1232"/>
      <c r="K189" s="292"/>
    </row>
    <row r="190" spans="1:12" ht="27" hidden="1" customHeight="1" x14ac:dyDescent="0.25">
      <c r="A190" s="1123" t="s">
        <v>85</v>
      </c>
      <c r="B190" s="1123"/>
      <c r="C190" s="1123"/>
      <c r="D190" s="1123"/>
      <c r="E190" s="1123"/>
      <c r="F190" s="1123"/>
      <c r="G190" s="1123"/>
      <c r="H190" s="1123"/>
      <c r="I190" s="1123"/>
      <c r="J190" s="1123"/>
      <c r="K190" s="402"/>
      <c r="L190" s="402"/>
    </row>
    <row r="191" spans="1:12" s="276" customFormat="1" ht="15.75" hidden="1" customHeight="1" x14ac:dyDescent="0.25">
      <c r="A191" s="324" t="s">
        <v>80</v>
      </c>
      <c r="B191" s="325"/>
      <c r="C191" s="328"/>
      <c r="D191" s="328"/>
      <c r="E191" s="328"/>
      <c r="F191" s="329"/>
      <c r="G191" s="329"/>
      <c r="H191" s="329"/>
      <c r="I191" s="329"/>
      <c r="J191" s="442"/>
      <c r="K191" s="294"/>
      <c r="L191" s="285"/>
    </row>
    <row r="192" spans="1:12" s="276" customFormat="1" hidden="1" x14ac:dyDescent="0.25">
      <c r="A192" s="324" t="s">
        <v>81</v>
      </c>
      <c r="B192" s="325"/>
      <c r="C192" s="325"/>
      <c r="D192" s="325"/>
      <c r="E192" s="330"/>
      <c r="F192" s="331"/>
      <c r="G192" s="331"/>
      <c r="H192" s="331"/>
      <c r="I192" s="331"/>
      <c r="J192" s="443"/>
      <c r="K192" s="292"/>
    </row>
    <row r="193" spans="1:13" ht="24.75" hidden="1" customHeight="1" x14ac:dyDescent="0.25">
      <c r="A193" s="320" t="s">
        <v>1</v>
      </c>
      <c r="B193" s="1015" t="s">
        <v>44</v>
      </c>
      <c r="C193" s="1015"/>
      <c r="D193" s="1015"/>
      <c r="E193" s="1015" t="s">
        <v>45</v>
      </c>
      <c r="F193" s="1015"/>
      <c r="G193" s="1015" t="s">
        <v>46</v>
      </c>
      <c r="H193" s="1015"/>
      <c r="I193" s="1015" t="s">
        <v>102</v>
      </c>
      <c r="J193" s="1015"/>
      <c r="K193" s="300"/>
      <c r="L193" s="279"/>
    </row>
    <row r="194" spans="1:13" ht="14.25" hidden="1" customHeight="1" x14ac:dyDescent="0.25">
      <c r="A194" s="320">
        <v>1</v>
      </c>
      <c r="B194" s="1015">
        <v>2</v>
      </c>
      <c r="C194" s="1015"/>
      <c r="D194" s="1015"/>
      <c r="E194" s="1015">
        <v>3</v>
      </c>
      <c r="F194" s="1015"/>
      <c r="G194" s="1015">
        <v>4</v>
      </c>
      <c r="H194" s="1015"/>
      <c r="I194" s="1015">
        <v>5</v>
      </c>
      <c r="J194" s="1015"/>
      <c r="K194" s="301"/>
      <c r="L194" s="286"/>
    </row>
    <row r="195" spans="1:13" ht="15" hidden="1" customHeight="1" x14ac:dyDescent="0.25">
      <c r="A195" s="317"/>
      <c r="B195" s="1026"/>
      <c r="C195" s="1052"/>
      <c r="D195" s="1027"/>
      <c r="E195" s="1026"/>
      <c r="F195" s="1027"/>
      <c r="G195" s="1026"/>
      <c r="H195" s="1027"/>
      <c r="I195" s="1026"/>
      <c r="J195" s="1027"/>
      <c r="K195" s="300"/>
      <c r="L195" s="279"/>
    </row>
    <row r="196" spans="1:13" ht="17.25" hidden="1" customHeight="1" x14ac:dyDescent="0.25">
      <c r="A196" s="322"/>
      <c r="B196" s="1014" t="s">
        <v>13</v>
      </c>
      <c r="C196" s="1014"/>
      <c r="D196" s="1014"/>
      <c r="E196" s="1053" t="s">
        <v>14</v>
      </c>
      <c r="F196" s="1053"/>
      <c r="G196" s="1053" t="s">
        <v>14</v>
      </c>
      <c r="H196" s="1053"/>
      <c r="I196" s="1053"/>
      <c r="J196" s="1053"/>
      <c r="K196" s="300"/>
      <c r="L196" s="279"/>
    </row>
    <row r="197" spans="1:13" ht="16.5" customHeight="1" x14ac:dyDescent="0.25">
      <c r="A197" s="1082" t="s">
        <v>91</v>
      </c>
      <c r="B197" s="1082"/>
      <c r="C197" s="1082"/>
      <c r="D197" s="1082"/>
      <c r="E197" s="1082"/>
      <c r="F197" s="1082"/>
      <c r="G197" s="1082"/>
      <c r="H197" s="1082"/>
      <c r="I197" s="1082"/>
      <c r="J197" s="1082"/>
      <c r="K197" s="300"/>
      <c r="L197" s="279"/>
    </row>
    <row r="198" spans="1:13" ht="18" customHeight="1" x14ac:dyDescent="0.25">
      <c r="A198" s="324" t="s">
        <v>80</v>
      </c>
      <c r="B198" s="325"/>
      <c r="C198" s="328">
        <v>244</v>
      </c>
      <c r="D198" s="328"/>
      <c r="E198" s="328"/>
      <c r="F198" s="329"/>
      <c r="G198" s="329"/>
      <c r="H198" s="329"/>
      <c r="I198" s="329"/>
      <c r="J198" s="442"/>
      <c r="K198" s="300"/>
      <c r="L198" s="279"/>
    </row>
    <row r="199" spans="1:13" ht="18" customHeight="1" x14ac:dyDescent="0.25">
      <c r="A199" s="324" t="s">
        <v>81</v>
      </c>
      <c r="B199" s="325"/>
      <c r="C199" s="325"/>
      <c r="D199" s="325"/>
      <c r="E199" s="330" t="s">
        <v>82</v>
      </c>
      <c r="F199" s="331"/>
      <c r="G199" s="330"/>
      <c r="H199" s="331"/>
      <c r="I199" s="331"/>
      <c r="J199" s="443"/>
      <c r="K199" s="300"/>
      <c r="L199" s="279"/>
    </row>
    <row r="200" spans="1:13" ht="18" customHeight="1" x14ac:dyDescent="0.25">
      <c r="A200" s="1055" t="s">
        <v>507</v>
      </c>
      <c r="B200" s="1055"/>
      <c r="C200" s="1055"/>
      <c r="D200" s="1055"/>
      <c r="E200" s="1055"/>
      <c r="F200" s="1055"/>
      <c r="G200" s="1055"/>
      <c r="H200" s="1055"/>
      <c r="I200" s="1055"/>
      <c r="J200" s="1055"/>
      <c r="K200" s="1021" t="s">
        <v>1115</v>
      </c>
      <c r="L200" s="279"/>
    </row>
    <row r="201" spans="1:13" ht="15.75" customHeight="1" x14ac:dyDescent="0.25">
      <c r="A201" s="320" t="s">
        <v>1</v>
      </c>
      <c r="B201" s="1015" t="s">
        <v>44</v>
      </c>
      <c r="C201" s="1015"/>
      <c r="D201" s="1015"/>
      <c r="E201" s="1015" t="s">
        <v>45</v>
      </c>
      <c r="F201" s="1015"/>
      <c r="G201" s="1015" t="s">
        <v>46</v>
      </c>
      <c r="H201" s="1015"/>
      <c r="I201" s="1015" t="s">
        <v>102</v>
      </c>
      <c r="J201" s="1015"/>
      <c r="K201" s="1021"/>
      <c r="L201" s="279"/>
    </row>
    <row r="202" spans="1:13" ht="12.75" customHeight="1" x14ac:dyDescent="0.25">
      <c r="A202" s="320">
        <v>1</v>
      </c>
      <c r="B202" s="1015">
        <v>2</v>
      </c>
      <c r="C202" s="1015"/>
      <c r="D202" s="1015"/>
      <c r="E202" s="1015">
        <v>3</v>
      </c>
      <c r="F202" s="1015"/>
      <c r="G202" s="1015">
        <v>4</v>
      </c>
      <c r="H202" s="1015"/>
      <c r="I202" s="1015">
        <v>5</v>
      </c>
      <c r="J202" s="1015"/>
      <c r="K202" s="1049" t="s">
        <v>1109</v>
      </c>
      <c r="L202" s="279"/>
    </row>
    <row r="203" spans="1:13" ht="21.75" customHeight="1" x14ac:dyDescent="0.25">
      <c r="A203" s="317" t="s">
        <v>70</v>
      </c>
      <c r="B203" s="1017" t="s">
        <v>1092</v>
      </c>
      <c r="C203" s="1018"/>
      <c r="D203" s="1019"/>
      <c r="E203" s="1026">
        <v>5000</v>
      </c>
      <c r="F203" s="1027"/>
      <c r="G203" s="1026">
        <v>1</v>
      </c>
      <c r="H203" s="1027"/>
      <c r="I203" s="1276">
        <v>3000</v>
      </c>
      <c r="J203" s="1277"/>
      <c r="K203" s="1049"/>
      <c r="L203" s="287"/>
    </row>
    <row r="204" spans="1:13" ht="33.75" hidden="1" customHeight="1" x14ac:dyDescent="0.25">
      <c r="A204" s="317" t="s">
        <v>75</v>
      </c>
      <c r="B204" s="1099" t="s">
        <v>487</v>
      </c>
      <c r="C204" s="1100"/>
      <c r="D204" s="1101"/>
      <c r="E204" s="1026">
        <f>1625-1625</f>
        <v>0</v>
      </c>
      <c r="F204" s="1027"/>
      <c r="G204" s="1026">
        <v>0</v>
      </c>
      <c r="H204" s="1027"/>
      <c r="I204" s="1276">
        <v>0</v>
      </c>
      <c r="J204" s="1277"/>
      <c r="K204" s="300"/>
      <c r="L204" s="287"/>
    </row>
    <row r="205" spans="1:13" ht="15" customHeight="1" x14ac:dyDescent="0.25">
      <c r="A205" s="317"/>
      <c r="B205" s="1014" t="s">
        <v>13</v>
      </c>
      <c r="C205" s="1014"/>
      <c r="D205" s="1014"/>
      <c r="E205" s="1053" t="s">
        <v>14</v>
      </c>
      <c r="F205" s="1053"/>
      <c r="G205" s="1053" t="s">
        <v>14</v>
      </c>
      <c r="H205" s="1053"/>
      <c r="I205" s="1278">
        <f>I203+I204</f>
        <v>3000</v>
      </c>
      <c r="J205" s="1278"/>
      <c r="K205" s="300"/>
      <c r="L205" s="279"/>
      <c r="M205" s="281"/>
    </row>
    <row r="206" spans="1:13" ht="29.25" customHeight="1" x14ac:dyDescent="0.25">
      <c r="A206" s="1082" t="s">
        <v>49</v>
      </c>
      <c r="B206" s="1082"/>
      <c r="C206" s="1082"/>
      <c r="D206" s="1082"/>
      <c r="E206" s="1082"/>
      <c r="F206" s="1082"/>
      <c r="G206" s="1082"/>
      <c r="H206" s="1082"/>
      <c r="I206" s="1082"/>
      <c r="J206" s="1082"/>
      <c r="K206" s="300"/>
      <c r="L206" s="279"/>
      <c r="M206" s="281"/>
    </row>
    <row r="207" spans="1:13" ht="19.5" customHeight="1" x14ac:dyDescent="0.25">
      <c r="A207" s="324" t="s">
        <v>80</v>
      </c>
      <c r="B207" s="325"/>
      <c r="C207" s="328" t="s">
        <v>751</v>
      </c>
      <c r="D207" s="328"/>
      <c r="E207" s="328"/>
      <c r="F207" s="329"/>
      <c r="G207" s="329"/>
      <c r="H207" s="329"/>
      <c r="I207" s="329"/>
      <c r="J207" s="442"/>
      <c r="K207" s="300"/>
      <c r="L207" s="279"/>
      <c r="M207" s="281"/>
    </row>
    <row r="208" spans="1:13" ht="17.25" customHeight="1" x14ac:dyDescent="0.25">
      <c r="A208" s="324" t="s">
        <v>81</v>
      </c>
      <c r="B208" s="325"/>
      <c r="C208" s="325"/>
      <c r="D208" s="325"/>
      <c r="E208" s="330" t="s">
        <v>82</v>
      </c>
      <c r="F208" s="331"/>
      <c r="G208" s="572" t="s">
        <v>195</v>
      </c>
      <c r="H208" s="573"/>
      <c r="I208" s="572" t="s">
        <v>744</v>
      </c>
      <c r="J208" s="574"/>
      <c r="K208" s="300"/>
      <c r="L208" s="279"/>
      <c r="M208" s="281"/>
    </row>
    <row r="209" spans="1:14" ht="17.25" customHeight="1" x14ac:dyDescent="0.25">
      <c r="A209" s="1082" t="s">
        <v>294</v>
      </c>
      <c r="B209" s="1082"/>
      <c r="C209" s="1082"/>
      <c r="D209" s="1082"/>
      <c r="E209" s="1082"/>
      <c r="F209" s="1082"/>
      <c r="G209" s="1082"/>
      <c r="H209" s="1082"/>
      <c r="I209" s="1082"/>
      <c r="J209" s="1082"/>
      <c r="K209" s="300"/>
      <c r="L209" s="279"/>
      <c r="M209" s="281"/>
    </row>
    <row r="210" spans="1:14" ht="38.25" customHeight="1" x14ac:dyDescent="0.25">
      <c r="A210" s="320" t="s">
        <v>1</v>
      </c>
      <c r="B210" s="1015" t="s">
        <v>15</v>
      </c>
      <c r="C210" s="1015"/>
      <c r="D210" s="1015"/>
      <c r="E210" s="320" t="s">
        <v>50</v>
      </c>
      <c r="F210" s="320" t="s">
        <v>51</v>
      </c>
      <c r="G210" s="1015" t="s">
        <v>52</v>
      </c>
      <c r="H210" s="1015"/>
      <c r="I210" s="1015" t="s">
        <v>104</v>
      </c>
      <c r="J210" s="1015"/>
      <c r="K210" s="300"/>
      <c r="L210" s="279"/>
      <c r="M210" s="281"/>
    </row>
    <row r="211" spans="1:14" ht="15" customHeight="1" x14ac:dyDescent="0.25">
      <c r="A211" s="320">
        <v>1</v>
      </c>
      <c r="B211" s="1015">
        <v>2</v>
      </c>
      <c r="C211" s="1015"/>
      <c r="D211" s="1015"/>
      <c r="E211" s="320">
        <v>3</v>
      </c>
      <c r="F211" s="320">
        <v>4</v>
      </c>
      <c r="G211" s="1015">
        <v>5</v>
      </c>
      <c r="H211" s="1015"/>
      <c r="I211" s="1015">
        <v>6</v>
      </c>
      <c r="J211" s="1015"/>
      <c r="K211" s="300"/>
      <c r="L211" s="279"/>
      <c r="M211" s="281"/>
    </row>
    <row r="212" spans="1:14" ht="14.25" customHeight="1" x14ac:dyDescent="0.25">
      <c r="A212" s="413">
        <v>1</v>
      </c>
      <c r="B212" s="1041" t="s">
        <v>341</v>
      </c>
      <c r="C212" s="1042"/>
      <c r="D212" s="1043"/>
      <c r="E212" s="336" t="s">
        <v>74</v>
      </c>
      <c r="F212" s="336" t="s">
        <v>74</v>
      </c>
      <c r="G212" s="1109" t="s">
        <v>74</v>
      </c>
      <c r="H212" s="1109"/>
      <c r="I212" s="1079">
        <f>I213+I214+I215+I216</f>
        <v>52000</v>
      </c>
      <c r="J212" s="1079"/>
      <c r="K212" s="300"/>
      <c r="L212" s="279"/>
      <c r="M212" s="281"/>
    </row>
    <row r="213" spans="1:14" ht="15" customHeight="1" x14ac:dyDescent="0.25">
      <c r="A213" s="317" t="s">
        <v>342</v>
      </c>
      <c r="B213" s="1040" t="s">
        <v>93</v>
      </c>
      <c r="C213" s="1040"/>
      <c r="D213" s="1040"/>
      <c r="E213" s="317">
        <v>6</v>
      </c>
      <c r="F213" s="317">
        <v>12</v>
      </c>
      <c r="G213" s="1221">
        <v>3200</v>
      </c>
      <c r="H213" s="1221"/>
      <c r="I213" s="1069">
        <f>F213*G213</f>
        <v>38400</v>
      </c>
      <c r="J213" s="1069"/>
      <c r="K213" s="302"/>
      <c r="L213" s="280"/>
      <c r="M213" s="281"/>
    </row>
    <row r="214" spans="1:14" x14ac:dyDescent="0.25">
      <c r="A214" s="317" t="s">
        <v>343</v>
      </c>
      <c r="B214" s="1040" t="s">
        <v>665</v>
      </c>
      <c r="C214" s="1040"/>
      <c r="D214" s="1040"/>
      <c r="E214" s="322"/>
      <c r="F214" s="322">
        <v>12</v>
      </c>
      <c r="G214" s="1070">
        <v>900</v>
      </c>
      <c r="H214" s="1070"/>
      <c r="I214" s="1069">
        <v>10600</v>
      </c>
      <c r="J214" s="1069"/>
      <c r="M214" s="281"/>
    </row>
    <row r="215" spans="1:14" ht="30" customHeight="1" x14ac:dyDescent="0.25">
      <c r="A215" s="317" t="s">
        <v>344</v>
      </c>
      <c r="B215" s="1040" t="s">
        <v>96</v>
      </c>
      <c r="C215" s="1040"/>
      <c r="D215" s="1040"/>
      <c r="E215" s="317">
        <v>1</v>
      </c>
      <c r="F215" s="317">
        <v>1</v>
      </c>
      <c r="G215" s="1078">
        <v>1000</v>
      </c>
      <c r="H215" s="1078"/>
      <c r="I215" s="1069">
        <v>3000</v>
      </c>
      <c r="J215" s="1069"/>
      <c r="M215" s="281"/>
    </row>
    <row r="216" spans="1:14" hidden="1" x14ac:dyDescent="0.25">
      <c r="A216" s="317" t="s">
        <v>264</v>
      </c>
      <c r="B216" s="1040" t="s">
        <v>199</v>
      </c>
      <c r="C216" s="1040"/>
      <c r="D216" s="1040"/>
      <c r="E216" s="317"/>
      <c r="F216" s="317"/>
      <c r="G216" s="1078"/>
      <c r="H216" s="1078"/>
      <c r="I216" s="1069"/>
      <c r="J216" s="1069"/>
      <c r="M216" s="281"/>
    </row>
    <row r="217" spans="1:14" hidden="1" x14ac:dyDescent="0.25">
      <c r="A217" s="413">
        <v>2</v>
      </c>
      <c r="B217" s="1041" t="s">
        <v>345</v>
      </c>
      <c r="C217" s="1042"/>
      <c r="D217" s="1043"/>
      <c r="E217" s="336" t="s">
        <v>74</v>
      </c>
      <c r="F217" s="336" t="s">
        <v>74</v>
      </c>
      <c r="G217" s="1109" t="s">
        <v>74</v>
      </c>
      <c r="H217" s="1109"/>
      <c r="I217" s="1079">
        <f>I218</f>
        <v>0</v>
      </c>
      <c r="J217" s="1079"/>
      <c r="M217" s="281"/>
    </row>
    <row r="218" spans="1:14" s="276" customFormat="1" ht="19.5" hidden="1" customHeight="1" x14ac:dyDescent="0.25">
      <c r="A218" s="317" t="s">
        <v>346</v>
      </c>
      <c r="B218" s="1040" t="s">
        <v>199</v>
      </c>
      <c r="C218" s="1040"/>
      <c r="D218" s="1040"/>
      <c r="E218" s="317">
        <v>1</v>
      </c>
      <c r="F218" s="317">
        <v>10</v>
      </c>
      <c r="G218" s="1078">
        <v>0</v>
      </c>
      <c r="H218" s="1078"/>
      <c r="I218" s="1069">
        <v>0</v>
      </c>
      <c r="J218" s="1069"/>
      <c r="K218" s="292"/>
    </row>
    <row r="219" spans="1:14" ht="16.5" customHeight="1" x14ac:dyDescent="0.25">
      <c r="A219" s="317"/>
      <c r="B219" s="1014" t="s">
        <v>325</v>
      </c>
      <c r="C219" s="1014"/>
      <c r="D219" s="1014"/>
      <c r="E219" s="322" t="s">
        <v>14</v>
      </c>
      <c r="F219" s="322" t="s">
        <v>14</v>
      </c>
      <c r="G219" s="1053" t="s">
        <v>14</v>
      </c>
      <c r="H219" s="1053"/>
      <c r="I219" s="1054">
        <f>I212+I217</f>
        <v>52000</v>
      </c>
      <c r="J219" s="1071"/>
      <c r="K219" s="303"/>
      <c r="N219" s="351"/>
    </row>
    <row r="220" spans="1:14" ht="12" hidden="1" customHeight="1" x14ac:dyDescent="0.25">
      <c r="A220" s="352"/>
      <c r="B220" s="325"/>
      <c r="C220" s="325"/>
      <c r="D220" s="325"/>
      <c r="E220" s="325"/>
      <c r="F220" s="325"/>
      <c r="G220" s="325"/>
      <c r="H220" s="325"/>
      <c r="I220" s="325"/>
      <c r="J220" s="441"/>
      <c r="M220" s="288"/>
    </row>
    <row r="221" spans="1:14" ht="18.75" hidden="1" customHeight="1" x14ac:dyDescent="0.25">
      <c r="A221" s="1082" t="s">
        <v>278</v>
      </c>
      <c r="B221" s="1082"/>
      <c r="C221" s="1082"/>
      <c r="D221" s="1082"/>
      <c r="E221" s="1082"/>
      <c r="F221" s="1082"/>
      <c r="G221" s="1082"/>
      <c r="H221" s="1082"/>
      <c r="I221" s="1082"/>
      <c r="J221" s="1082"/>
      <c r="K221" s="1021" t="s">
        <v>1113</v>
      </c>
      <c r="M221" s="288"/>
    </row>
    <row r="222" spans="1:14" ht="12.75" hidden="1" customHeight="1" x14ac:dyDescent="0.25">
      <c r="A222" s="320" t="s">
        <v>1</v>
      </c>
      <c r="B222" s="1015" t="s">
        <v>15</v>
      </c>
      <c r="C222" s="1015"/>
      <c r="D222" s="1015"/>
      <c r="E222" s="1015" t="s">
        <v>53</v>
      </c>
      <c r="F222" s="1015"/>
      <c r="G222" s="1015" t="s">
        <v>54</v>
      </c>
      <c r="H222" s="1015"/>
      <c r="I222" s="1015" t="s">
        <v>260</v>
      </c>
      <c r="J222" s="1015"/>
      <c r="K222" s="1021"/>
      <c r="M222" s="288"/>
    </row>
    <row r="223" spans="1:14" ht="15" hidden="1" customHeight="1" x14ac:dyDescent="0.25">
      <c r="A223" s="320">
        <v>1</v>
      </c>
      <c r="B223" s="1015">
        <v>2</v>
      </c>
      <c r="C223" s="1015"/>
      <c r="D223" s="1015"/>
      <c r="E223" s="1015">
        <v>3</v>
      </c>
      <c r="F223" s="1015"/>
      <c r="G223" s="1015">
        <v>4</v>
      </c>
      <c r="H223" s="1015"/>
      <c r="I223" s="1015">
        <v>5</v>
      </c>
      <c r="J223" s="1015"/>
      <c r="K223" s="1028" t="s">
        <v>1114</v>
      </c>
      <c r="M223" s="288"/>
    </row>
    <row r="224" spans="1:14" ht="16.5" hidden="1" customHeight="1" x14ac:dyDescent="0.25">
      <c r="A224" s="317">
        <v>1</v>
      </c>
      <c r="B224" s="1066" t="s">
        <v>611</v>
      </c>
      <c r="C224" s="1067"/>
      <c r="D224" s="1068"/>
      <c r="E224" s="1013">
        <v>0</v>
      </c>
      <c r="F224" s="1013"/>
      <c r="G224" s="1089">
        <v>0</v>
      </c>
      <c r="H224" s="1089"/>
      <c r="I224" s="1089">
        <f>E224*G224</f>
        <v>0</v>
      </c>
      <c r="J224" s="1089"/>
      <c r="K224" s="1029"/>
      <c r="M224" s="288"/>
    </row>
    <row r="225" spans="1:17" ht="15.75" hidden="1" customHeight="1" x14ac:dyDescent="0.25">
      <c r="A225" s="317"/>
      <c r="B225" s="1014" t="s">
        <v>13</v>
      </c>
      <c r="C225" s="1014"/>
      <c r="D225" s="1014"/>
      <c r="E225" s="1053" t="s">
        <v>74</v>
      </c>
      <c r="F225" s="1053"/>
      <c r="G225" s="1053" t="s">
        <v>74</v>
      </c>
      <c r="H225" s="1053"/>
      <c r="I225" s="1267">
        <f>I224</f>
        <v>0</v>
      </c>
      <c r="J225" s="1053"/>
      <c r="K225" s="1030"/>
    </row>
    <row r="226" spans="1:17" ht="24" customHeight="1" x14ac:dyDescent="0.25">
      <c r="A226" s="1056" t="s">
        <v>672</v>
      </c>
      <c r="B226" s="1056"/>
      <c r="C226" s="1056"/>
      <c r="D226" s="1056"/>
      <c r="E226" s="1056"/>
      <c r="F226" s="1056"/>
      <c r="G226" s="1056"/>
      <c r="H226" s="1056"/>
      <c r="I226" s="1056"/>
      <c r="J226" s="1056"/>
    </row>
    <row r="227" spans="1:17" s="276" customFormat="1" ht="25.5" customHeight="1" x14ac:dyDescent="0.2">
      <c r="A227" s="371" t="s">
        <v>1</v>
      </c>
      <c r="B227" s="1015" t="s">
        <v>44</v>
      </c>
      <c r="C227" s="1015"/>
      <c r="D227" s="1015"/>
      <c r="E227" s="371" t="s">
        <v>55</v>
      </c>
      <c r="F227" s="1015" t="s">
        <v>56</v>
      </c>
      <c r="G227" s="1015"/>
      <c r="H227" s="371" t="s">
        <v>57</v>
      </c>
      <c r="I227" s="1015" t="s">
        <v>104</v>
      </c>
      <c r="J227" s="1015"/>
      <c r="K227" s="1021" t="s">
        <v>650</v>
      </c>
    </row>
    <row r="228" spans="1:17" s="276" customFormat="1" ht="15.75" customHeight="1" x14ac:dyDescent="0.2">
      <c r="A228" s="371">
        <v>1</v>
      </c>
      <c r="B228" s="1015">
        <v>2</v>
      </c>
      <c r="C228" s="1015"/>
      <c r="D228" s="1015"/>
      <c r="E228" s="371">
        <v>3</v>
      </c>
      <c r="F228" s="1015">
        <v>4</v>
      </c>
      <c r="G228" s="1015"/>
      <c r="H228" s="371">
        <v>5</v>
      </c>
      <c r="I228" s="1015">
        <v>6</v>
      </c>
      <c r="J228" s="1015"/>
      <c r="K228" s="1021"/>
    </row>
    <row r="229" spans="1:17" s="378" customFormat="1" ht="30" customHeight="1" x14ac:dyDescent="0.25">
      <c r="A229" s="370">
        <v>1</v>
      </c>
      <c r="B229" s="1041" t="s">
        <v>523</v>
      </c>
      <c r="C229" s="1042"/>
      <c r="D229" s="1043"/>
      <c r="E229" s="377">
        <f>SUM(E230:E232)</f>
        <v>881</v>
      </c>
      <c r="F229" s="1072"/>
      <c r="G229" s="1073"/>
      <c r="H229" s="390">
        <f>F231/F230-100%</f>
        <v>9.6095617529880606E-2</v>
      </c>
      <c r="I229" s="1016">
        <f>I230+I231+I232</f>
        <v>57699.9</v>
      </c>
      <c r="J229" s="1016"/>
      <c r="K229" s="1046" t="s">
        <v>1108</v>
      </c>
      <c r="L229" s="419">
        <v>772</v>
      </c>
    </row>
    <row r="230" spans="1:17" ht="17.25" customHeight="1" x14ac:dyDescent="0.25">
      <c r="A230" s="1083"/>
      <c r="B230" s="1013" t="s">
        <v>1103</v>
      </c>
      <c r="C230" s="1013"/>
      <c r="D230" s="1013"/>
      <c r="E230" s="430">
        <f>101+74+89+88+96+32</f>
        <v>480</v>
      </c>
      <c r="F230" s="1044">
        <v>62.75</v>
      </c>
      <c r="G230" s="1045"/>
      <c r="H230" s="390">
        <f t="shared" ref="H230:H232" si="18">F232/F231-100%</f>
        <v>-1.4539110206457373E-4</v>
      </c>
      <c r="I230" s="1020">
        <f>E230*F230</f>
        <v>30120</v>
      </c>
      <c r="J230" s="1020"/>
      <c r="K230" s="1047"/>
      <c r="L230" s="282">
        <f>I230+I231+I234+I235</f>
        <v>137521.22</v>
      </c>
      <c r="O230" s="164">
        <v>57.21</v>
      </c>
      <c r="Q230" s="164">
        <v>55.33</v>
      </c>
    </row>
    <row r="231" spans="1:17" ht="17.25" customHeight="1" x14ac:dyDescent="0.25">
      <c r="A231" s="1087"/>
      <c r="B231" s="1013" t="s">
        <v>1149</v>
      </c>
      <c r="C231" s="1013"/>
      <c r="D231" s="1013"/>
      <c r="E231" s="377">
        <f>19+29+81+104+80</f>
        <v>313</v>
      </c>
      <c r="F231" s="1044">
        <v>68.78</v>
      </c>
      <c r="G231" s="1045"/>
      <c r="H231" s="390">
        <f t="shared" si="18"/>
        <v>-1</v>
      </c>
      <c r="I231" s="1020">
        <f>E231*F231</f>
        <v>21528.14</v>
      </c>
      <c r="J231" s="1020"/>
      <c r="K231" s="1047"/>
      <c r="O231" s="164">
        <f>O230*E229</f>
        <v>50402.01</v>
      </c>
    </row>
    <row r="232" spans="1:17" ht="15.75" customHeight="1" x14ac:dyDescent="0.25">
      <c r="A232" s="1088"/>
      <c r="B232" s="1031" t="s">
        <v>615</v>
      </c>
      <c r="C232" s="1032"/>
      <c r="D232" s="1033"/>
      <c r="E232" s="377">
        <v>88</v>
      </c>
      <c r="F232" s="1044">
        <v>68.77</v>
      </c>
      <c r="G232" s="1045"/>
      <c r="H232" s="390" t="e">
        <f t="shared" si="18"/>
        <v>#DIV/0!</v>
      </c>
      <c r="I232" s="1020">
        <f>E232*F232</f>
        <v>6051.7599999999993</v>
      </c>
      <c r="J232" s="1020"/>
      <c r="K232" s="1048"/>
    </row>
    <row r="233" spans="1:17" s="378" customFormat="1" ht="31.9" customHeight="1" x14ac:dyDescent="0.25">
      <c r="A233" s="370">
        <v>2</v>
      </c>
      <c r="B233" s="1041" t="s">
        <v>524</v>
      </c>
      <c r="C233" s="1042"/>
      <c r="D233" s="1043"/>
      <c r="E233" s="377">
        <f>SUM(E234:E236)</f>
        <v>40</v>
      </c>
      <c r="F233" s="1072"/>
      <c r="G233" s="1073"/>
      <c r="H233" s="390">
        <f>F235/F234-100%</f>
        <v>9.5993946562761057E-2</v>
      </c>
      <c r="I233" s="1111">
        <f>I234+I235+I236</f>
        <v>95954.12</v>
      </c>
      <c r="J233" s="1112"/>
      <c r="K233" s="1046" t="s">
        <v>1107</v>
      </c>
      <c r="L233" s="417">
        <v>33</v>
      </c>
    </row>
    <row r="234" spans="1:17" ht="17.25" customHeight="1" x14ac:dyDescent="0.25">
      <c r="A234" s="1083"/>
      <c r="B234" s="1026" t="s">
        <v>734</v>
      </c>
      <c r="C234" s="1052"/>
      <c r="D234" s="1027"/>
      <c r="E234" s="430">
        <f>4+2+4+5+4+3</f>
        <v>22</v>
      </c>
      <c r="F234" s="1044">
        <v>2299.52</v>
      </c>
      <c r="G234" s="1045"/>
      <c r="H234" s="391"/>
      <c r="I234" s="1020">
        <f>E234*F234</f>
        <v>50589.440000000002</v>
      </c>
      <c r="J234" s="1020"/>
      <c r="K234" s="1047"/>
      <c r="O234" s="164">
        <v>2108.31</v>
      </c>
    </row>
    <row r="235" spans="1:17" ht="16.5" customHeight="1" x14ac:dyDescent="0.25">
      <c r="A235" s="1087"/>
      <c r="B235" s="1013" t="s">
        <v>735</v>
      </c>
      <c r="C235" s="1013"/>
      <c r="D235" s="1013"/>
      <c r="E235" s="377">
        <f>2+1+3+4+4</f>
        <v>14</v>
      </c>
      <c r="F235" s="1044">
        <v>2520.2600000000002</v>
      </c>
      <c r="G235" s="1045"/>
      <c r="H235" s="391"/>
      <c r="I235" s="1020">
        <f>E235*F235</f>
        <v>35283.64</v>
      </c>
      <c r="J235" s="1020"/>
      <c r="K235" s="1047"/>
      <c r="O235" s="164">
        <f>O234*E233</f>
        <v>84332.4</v>
      </c>
    </row>
    <row r="236" spans="1:17" ht="19.5" customHeight="1" x14ac:dyDescent="0.25">
      <c r="A236" s="1088"/>
      <c r="B236" s="1031" t="s">
        <v>615</v>
      </c>
      <c r="C236" s="1032"/>
      <c r="D236" s="1033"/>
      <c r="E236" s="377">
        <v>4</v>
      </c>
      <c r="F236" s="1044">
        <v>2520.2600000000002</v>
      </c>
      <c r="G236" s="1045"/>
      <c r="H236" s="391"/>
      <c r="I236" s="1020">
        <f>E236*F236</f>
        <v>10081.040000000001</v>
      </c>
      <c r="J236" s="1020"/>
      <c r="K236" s="1048"/>
    </row>
    <row r="237" spans="1:17" s="378" customFormat="1" ht="22.5" customHeight="1" x14ac:dyDescent="0.25">
      <c r="A237" s="370">
        <v>3</v>
      </c>
      <c r="B237" s="1041" t="s">
        <v>153</v>
      </c>
      <c r="C237" s="1042"/>
      <c r="D237" s="1043"/>
      <c r="E237" s="377">
        <f>SUM(E238:E240)</f>
        <v>1174</v>
      </c>
      <c r="F237" s="1072"/>
      <c r="G237" s="1073"/>
      <c r="H237" s="390">
        <f>F239/F238-100%</f>
        <v>9.6095617529880606E-2</v>
      </c>
      <c r="I237" s="1016">
        <f>I238+I239+I240</f>
        <v>77345.239999999991</v>
      </c>
      <c r="J237" s="1016"/>
      <c r="K237" s="1046" t="s">
        <v>1108</v>
      </c>
      <c r="L237" s="418">
        <v>1068</v>
      </c>
      <c r="M237" s="380"/>
    </row>
    <row r="238" spans="1:17" ht="22.5" customHeight="1" x14ac:dyDescent="0.25">
      <c r="A238" s="1083"/>
      <c r="B238" s="1026" t="s">
        <v>1104</v>
      </c>
      <c r="C238" s="1052"/>
      <c r="D238" s="1027"/>
      <c r="E238" s="430">
        <f>45+95+122+127+140+35</f>
        <v>564</v>
      </c>
      <c r="F238" s="1044">
        <v>62.75</v>
      </c>
      <c r="G238" s="1045"/>
      <c r="H238" s="391"/>
      <c r="I238" s="1020">
        <f>E238*F238</f>
        <v>35391</v>
      </c>
      <c r="J238" s="1020"/>
      <c r="K238" s="1047"/>
      <c r="L238" s="282">
        <f>I238+I239+I242+I243</f>
        <v>207272.2</v>
      </c>
      <c r="O238" s="164">
        <v>57.21</v>
      </c>
      <c r="Q238" s="164">
        <v>55.33</v>
      </c>
    </row>
    <row r="239" spans="1:17" ht="25.5" customHeight="1" x14ac:dyDescent="0.25">
      <c r="A239" s="1087"/>
      <c r="B239" s="1013" t="s">
        <v>1150</v>
      </c>
      <c r="C239" s="1013"/>
      <c r="D239" s="1013"/>
      <c r="E239" s="377">
        <f>39+67+96+139+113</f>
        <v>454</v>
      </c>
      <c r="F239" s="1044">
        <v>68.78</v>
      </c>
      <c r="G239" s="1045"/>
      <c r="H239" s="391"/>
      <c r="I239" s="1020">
        <f>E239*F239</f>
        <v>31226.12</v>
      </c>
      <c r="J239" s="1020"/>
      <c r="K239" s="1047"/>
      <c r="O239" s="164">
        <f>O238*E237</f>
        <v>67164.540000000008</v>
      </c>
    </row>
    <row r="240" spans="1:17" ht="16.5" customHeight="1" x14ac:dyDescent="0.25">
      <c r="A240" s="1088"/>
      <c r="B240" s="1031" t="s">
        <v>615</v>
      </c>
      <c r="C240" s="1032"/>
      <c r="D240" s="1033"/>
      <c r="E240" s="377">
        <v>156</v>
      </c>
      <c r="F240" s="1044">
        <v>68.77</v>
      </c>
      <c r="G240" s="1045"/>
      <c r="H240" s="391"/>
      <c r="I240" s="1097">
        <f>E240*F240</f>
        <v>10728.119999999999</v>
      </c>
      <c r="J240" s="1098"/>
      <c r="K240" s="1048"/>
    </row>
    <row r="241" spans="1:17" s="378" customFormat="1" ht="17.25" customHeight="1" x14ac:dyDescent="0.25">
      <c r="A241" s="370">
        <v>4</v>
      </c>
      <c r="B241" s="1041" t="s">
        <v>154</v>
      </c>
      <c r="C241" s="1042"/>
      <c r="D241" s="1043"/>
      <c r="E241" s="377">
        <f>SUM(E242:E244)</f>
        <v>2028</v>
      </c>
      <c r="F241" s="1072"/>
      <c r="G241" s="1073"/>
      <c r="H241" s="390">
        <f>F243/F242-100%</f>
        <v>9.6033124081741583E-2</v>
      </c>
      <c r="I241" s="1016">
        <f>I242+I243+I244-1.86</f>
        <v>158952.60000000003</v>
      </c>
      <c r="J241" s="1016"/>
      <c r="K241" s="1046" t="s">
        <v>1106</v>
      </c>
      <c r="L241" s="417">
        <v>1825</v>
      </c>
    </row>
    <row r="242" spans="1:17" ht="15.75" customHeight="1" x14ac:dyDescent="0.25">
      <c r="A242" s="1083"/>
      <c r="B242" s="1026" t="s">
        <v>1105</v>
      </c>
      <c r="C242" s="1052"/>
      <c r="D242" s="1027"/>
      <c r="E242" s="430">
        <f>140+169+211+215+236+67</f>
        <v>1038</v>
      </c>
      <c r="F242" s="1044">
        <v>74.87</v>
      </c>
      <c r="G242" s="1045"/>
      <c r="H242" s="391"/>
      <c r="I242" s="1020">
        <f>E242*F242</f>
        <v>77715.06</v>
      </c>
      <c r="J242" s="1020"/>
      <c r="K242" s="1047"/>
      <c r="O242" s="164">
        <v>69.12</v>
      </c>
      <c r="Q242" s="164">
        <v>66.94</v>
      </c>
    </row>
    <row r="243" spans="1:17" ht="15" customHeight="1" x14ac:dyDescent="0.25">
      <c r="A243" s="1087"/>
      <c r="B243" s="1013" t="s">
        <v>1151</v>
      </c>
      <c r="C243" s="1013"/>
      <c r="D243" s="1013"/>
      <c r="E243" s="377">
        <f>58+96+177+243+193</f>
        <v>767</v>
      </c>
      <c r="F243" s="1044">
        <v>82.06</v>
      </c>
      <c r="G243" s="1045"/>
      <c r="H243" s="391"/>
      <c r="I243" s="1020">
        <f>E243*F243</f>
        <v>62940.020000000004</v>
      </c>
      <c r="J243" s="1020"/>
      <c r="K243" s="1047"/>
      <c r="O243" s="164">
        <f>O242*E241</f>
        <v>140175.36000000002</v>
      </c>
    </row>
    <row r="244" spans="1:17" ht="16.5" customHeight="1" x14ac:dyDescent="0.25">
      <c r="A244" s="1088"/>
      <c r="B244" s="1031" t="s">
        <v>615</v>
      </c>
      <c r="C244" s="1032"/>
      <c r="D244" s="1033"/>
      <c r="E244" s="377">
        <v>223</v>
      </c>
      <c r="F244" s="1044">
        <v>82.06</v>
      </c>
      <c r="G244" s="1045"/>
      <c r="H244" s="391"/>
      <c r="I244" s="1095">
        <f>E244*F244</f>
        <v>18299.38</v>
      </c>
      <c r="J244" s="1096"/>
      <c r="K244" s="1048"/>
    </row>
    <row r="245" spans="1:17" ht="0.75" hidden="1" customHeight="1" x14ac:dyDescent="0.25">
      <c r="A245" s="372"/>
      <c r="B245" s="1026"/>
      <c r="C245" s="1052"/>
      <c r="D245" s="1027"/>
      <c r="E245" s="425"/>
      <c r="F245" s="1044"/>
      <c r="G245" s="1045"/>
      <c r="H245" s="391"/>
      <c r="I245" s="1110">
        <f>E245*F245</f>
        <v>0</v>
      </c>
      <c r="J245" s="1110"/>
      <c r="K245" s="374"/>
    </row>
    <row r="246" spans="1:17" s="378" customFormat="1" ht="29.25" customHeight="1" x14ac:dyDescent="0.25">
      <c r="A246" s="370">
        <v>5</v>
      </c>
      <c r="B246" s="1041" t="s">
        <v>371</v>
      </c>
      <c r="C246" s="1042"/>
      <c r="D246" s="1043"/>
      <c r="E246" s="428">
        <f>E247+E248+E249</f>
        <v>150.70000000000002</v>
      </c>
      <c r="F246" s="1072"/>
      <c r="G246" s="1073"/>
      <c r="H246" s="390">
        <v>0</v>
      </c>
      <c r="I246" s="1016">
        <f>I247+I248+I249</f>
        <v>151048.13900000002</v>
      </c>
      <c r="J246" s="1016"/>
      <c r="K246" s="1046" t="s">
        <v>1141</v>
      </c>
      <c r="L246" s="417">
        <v>157</v>
      </c>
      <c r="N246" s="378">
        <v>121163.26</v>
      </c>
      <c r="O246" s="378">
        <v>735.9</v>
      </c>
    </row>
    <row r="247" spans="1:17" ht="28.5" customHeight="1" x14ac:dyDescent="0.25">
      <c r="A247" s="372"/>
      <c r="B247" s="1026" t="s">
        <v>1152</v>
      </c>
      <c r="C247" s="1052"/>
      <c r="D247" s="1027"/>
      <c r="E247" s="425">
        <f>11+12.1+13.2+13.2+13.2+12.1</f>
        <v>74.8</v>
      </c>
      <c r="F247" s="1044">
        <v>960.2</v>
      </c>
      <c r="G247" s="1045"/>
      <c r="H247" s="391"/>
      <c r="I247" s="1020">
        <f>E247*F247</f>
        <v>71822.960000000006</v>
      </c>
      <c r="J247" s="1020"/>
      <c r="K247" s="1047"/>
      <c r="O247" s="164">
        <f>O246*E246</f>
        <v>110900.13</v>
      </c>
    </row>
    <row r="248" spans="1:17" ht="30" customHeight="1" x14ac:dyDescent="0.25">
      <c r="A248" s="372"/>
      <c r="B248" s="1013" t="s">
        <v>1153</v>
      </c>
      <c r="C248" s="1013"/>
      <c r="D248" s="1013"/>
      <c r="E248" s="373">
        <f>9.9+9.9+14.3+14.3+13.2</f>
        <v>61.600000000000009</v>
      </c>
      <c r="F248" s="1044">
        <v>1043.81</v>
      </c>
      <c r="G248" s="1045"/>
      <c r="H248" s="391"/>
      <c r="I248" s="1020">
        <f>E248*F248</f>
        <v>64298.696000000004</v>
      </c>
      <c r="J248" s="1020"/>
      <c r="K248" s="1047"/>
    </row>
    <row r="249" spans="1:17" ht="24.75" customHeight="1" x14ac:dyDescent="0.25">
      <c r="A249" s="372"/>
      <c r="B249" s="1031" t="s">
        <v>615</v>
      </c>
      <c r="C249" s="1032"/>
      <c r="D249" s="1033"/>
      <c r="E249" s="373">
        <v>14.3</v>
      </c>
      <c r="F249" s="1044">
        <v>1043.81</v>
      </c>
      <c r="G249" s="1045"/>
      <c r="H249" s="372"/>
      <c r="I249" s="1020">
        <f>E249*F249</f>
        <v>14926.483</v>
      </c>
      <c r="J249" s="1020"/>
      <c r="K249" s="1048"/>
    </row>
    <row r="250" spans="1:17" ht="15" customHeight="1" x14ac:dyDescent="0.25">
      <c r="A250" s="372"/>
      <c r="B250" s="1014" t="s">
        <v>13</v>
      </c>
      <c r="C250" s="1014"/>
      <c r="D250" s="1014"/>
      <c r="E250" s="370" t="s">
        <v>14</v>
      </c>
      <c r="F250" s="1053" t="s">
        <v>14</v>
      </c>
      <c r="G250" s="1053"/>
      <c r="H250" s="370" t="s">
        <v>14</v>
      </c>
      <c r="I250" s="1054">
        <f>I229+I233+I237+I241+I246</f>
        <v>540999.99900000007</v>
      </c>
      <c r="J250" s="1054"/>
      <c r="M250" s="282"/>
      <c r="O250" s="164" t="e">
        <f>#REF!+O231+O235+O239+O243+#REF!+O247</f>
        <v>#REF!</v>
      </c>
    </row>
    <row r="251" spans="1:17" ht="24" customHeight="1" x14ac:dyDescent="0.25">
      <c r="A251" s="1056" t="s">
        <v>671</v>
      </c>
      <c r="B251" s="1056"/>
      <c r="C251" s="1056"/>
      <c r="D251" s="1056"/>
      <c r="E251" s="1056"/>
      <c r="F251" s="1056"/>
      <c r="G251" s="1056"/>
      <c r="H251" s="1056"/>
      <c r="I251" s="1056"/>
      <c r="J251" s="1056"/>
    </row>
    <row r="252" spans="1:17" s="276" customFormat="1" ht="25.5" customHeight="1" x14ac:dyDescent="0.2">
      <c r="A252" s="320" t="s">
        <v>1</v>
      </c>
      <c r="B252" s="1015" t="s">
        <v>44</v>
      </c>
      <c r="C252" s="1015"/>
      <c r="D252" s="1015"/>
      <c r="E252" s="320" t="s">
        <v>55</v>
      </c>
      <c r="F252" s="1015" t="s">
        <v>56</v>
      </c>
      <c r="G252" s="1015"/>
      <c r="H252" s="320" t="s">
        <v>57</v>
      </c>
      <c r="I252" s="1015" t="s">
        <v>104</v>
      </c>
      <c r="J252" s="1015"/>
      <c r="K252" s="1021" t="s">
        <v>650</v>
      </c>
    </row>
    <row r="253" spans="1:17" s="276" customFormat="1" ht="15.75" customHeight="1" x14ac:dyDescent="0.2">
      <c r="A253" s="320">
        <v>1</v>
      </c>
      <c r="B253" s="1015">
        <v>2</v>
      </c>
      <c r="C253" s="1015"/>
      <c r="D253" s="1015"/>
      <c r="E253" s="320">
        <v>3</v>
      </c>
      <c r="F253" s="1015">
        <v>4</v>
      </c>
      <c r="G253" s="1015"/>
      <c r="H253" s="320">
        <v>5</v>
      </c>
      <c r="I253" s="1015">
        <v>6</v>
      </c>
      <c r="J253" s="1015"/>
      <c r="K253" s="1021"/>
    </row>
    <row r="254" spans="1:17" s="378" customFormat="1" ht="16.5" customHeight="1" x14ac:dyDescent="0.25">
      <c r="A254" s="370">
        <v>1</v>
      </c>
      <c r="B254" s="1041" t="s">
        <v>151</v>
      </c>
      <c r="C254" s="1042"/>
      <c r="D254" s="1043"/>
      <c r="E254" s="377">
        <f>E255+E256+E257</f>
        <v>1103</v>
      </c>
      <c r="F254" s="1072"/>
      <c r="G254" s="1073"/>
      <c r="H254" s="390">
        <f>F256/F255-100%</f>
        <v>9.5993946562761057E-2</v>
      </c>
      <c r="I254" s="1016">
        <f>I255+I256+I257</f>
        <v>2650493.14</v>
      </c>
      <c r="J254" s="1016"/>
      <c r="K254" s="1046" t="s">
        <v>1107</v>
      </c>
      <c r="L254" s="417">
        <v>1159.0999999999999</v>
      </c>
      <c r="O254" s="378">
        <v>2108.31</v>
      </c>
    </row>
    <row r="255" spans="1:17" ht="15" customHeight="1" x14ac:dyDescent="0.25">
      <c r="A255" s="1083"/>
      <c r="B255" s="1013" t="s">
        <v>1102</v>
      </c>
      <c r="C255" s="1013"/>
      <c r="D255" s="1013"/>
      <c r="E255" s="377">
        <f>164+163+123+98+38</f>
        <v>586</v>
      </c>
      <c r="F255" s="1044">
        <v>2299.52</v>
      </c>
      <c r="G255" s="1045"/>
      <c r="H255" s="391"/>
      <c r="I255" s="1020">
        <f>E255*F255</f>
        <v>1347518.72</v>
      </c>
      <c r="J255" s="1020"/>
      <c r="K255" s="1047"/>
      <c r="L255" s="164">
        <v>1352117.76</v>
      </c>
      <c r="M255" s="282">
        <f>I255/E255</f>
        <v>2299.52</v>
      </c>
      <c r="O255" s="164">
        <f>O254*E254</f>
        <v>2325465.9300000002</v>
      </c>
      <c r="Q255" s="164">
        <v>2039.6</v>
      </c>
    </row>
    <row r="256" spans="1:17" ht="15.75" customHeight="1" x14ac:dyDescent="0.25">
      <c r="A256" s="1088"/>
      <c r="B256" s="1013" t="s">
        <v>1154</v>
      </c>
      <c r="C256" s="1013"/>
      <c r="D256" s="1013"/>
      <c r="E256" s="377">
        <f>27+88+160</f>
        <v>275</v>
      </c>
      <c r="F256" s="1044">
        <v>2520.2600000000002</v>
      </c>
      <c r="G256" s="1045"/>
      <c r="H256" s="391"/>
      <c r="I256" s="1020">
        <f>E256*F256</f>
        <v>693071.50000000012</v>
      </c>
      <c r="J256" s="1020"/>
      <c r="K256" s="1047"/>
    </row>
    <row r="257" spans="1:15" ht="18" customHeight="1" x14ac:dyDescent="0.25">
      <c r="A257" s="421"/>
      <c r="B257" s="1031" t="s">
        <v>615</v>
      </c>
      <c r="C257" s="1032"/>
      <c r="D257" s="1033"/>
      <c r="E257" s="377">
        <v>242</v>
      </c>
      <c r="F257" s="1044">
        <v>2520.2600000000002</v>
      </c>
      <c r="G257" s="1045"/>
      <c r="H257" s="391"/>
      <c r="I257" s="1020">
        <f>E257*F257</f>
        <v>609902.92000000004</v>
      </c>
      <c r="J257" s="1020"/>
      <c r="K257" s="1048"/>
    </row>
    <row r="258" spans="1:15" s="378" customFormat="1" ht="19.5" customHeight="1" x14ac:dyDescent="0.25">
      <c r="A258" s="370">
        <v>2</v>
      </c>
      <c r="B258" s="1041" t="s">
        <v>155</v>
      </c>
      <c r="C258" s="1042"/>
      <c r="D258" s="1043"/>
      <c r="E258" s="379">
        <f>E259+E260+E261</f>
        <v>124567.03</v>
      </c>
      <c r="F258" s="1072"/>
      <c r="G258" s="1073"/>
      <c r="H258" s="390">
        <f>F260/F259-100%</f>
        <v>0</v>
      </c>
      <c r="I258" s="1016">
        <f>I259+I260+I261</f>
        <v>1147506.86036</v>
      </c>
      <c r="J258" s="1016"/>
      <c r="K258" s="1046" t="s">
        <v>1112</v>
      </c>
      <c r="L258" s="417">
        <v>135301</v>
      </c>
      <c r="O258" s="378">
        <v>7.57</v>
      </c>
    </row>
    <row r="259" spans="1:15" ht="28.5" customHeight="1" x14ac:dyDescent="0.25">
      <c r="A259" s="317"/>
      <c r="B259" s="1013" t="s">
        <v>1111</v>
      </c>
      <c r="C259" s="1013"/>
      <c r="D259" s="1013"/>
      <c r="E259" s="530">
        <f>12252+11815+13048+13361+12126+4858</f>
        <v>67460</v>
      </c>
      <c r="F259" s="1090">
        <v>9.2119999999999997</v>
      </c>
      <c r="G259" s="1091"/>
      <c r="H259" s="391"/>
      <c r="I259" s="1092">
        <f>E259*F259</f>
        <v>621441.52</v>
      </c>
      <c r="J259" s="1092"/>
      <c r="K259" s="1047"/>
      <c r="M259" s="164">
        <v>1088991.56</v>
      </c>
      <c r="O259" s="164">
        <f>O258*E258</f>
        <v>942972.41710000008</v>
      </c>
    </row>
    <row r="260" spans="1:15" ht="14.25" customHeight="1" x14ac:dyDescent="0.25">
      <c r="A260" s="317"/>
      <c r="B260" s="1013" t="s">
        <v>1155</v>
      </c>
      <c r="C260" s="1013"/>
      <c r="D260" s="1013"/>
      <c r="E260" s="525">
        <f>2538+3244+8966+13789+15015</f>
        <v>43552</v>
      </c>
      <c r="F260" s="1090">
        <v>9.2119999999999997</v>
      </c>
      <c r="G260" s="1091"/>
      <c r="H260" s="317"/>
      <c r="I260" s="1020">
        <f>E260*F260</f>
        <v>401201.02399999998</v>
      </c>
      <c r="J260" s="1020"/>
      <c r="K260" s="1047"/>
    </row>
    <row r="261" spans="1:15" ht="18" customHeight="1" x14ac:dyDescent="0.25">
      <c r="A261" s="317"/>
      <c r="B261" s="1031" t="s">
        <v>615</v>
      </c>
      <c r="C261" s="1032"/>
      <c r="D261" s="1033"/>
      <c r="E261" s="525">
        <f>16760+43-3247.97</f>
        <v>13555.03</v>
      </c>
      <c r="F261" s="1090">
        <v>9.2119999999999997</v>
      </c>
      <c r="G261" s="1091"/>
      <c r="H261" s="317"/>
      <c r="I261" s="1020">
        <f>E261*F261-4.62</f>
        <v>124864.31636000001</v>
      </c>
      <c r="J261" s="1020"/>
      <c r="K261" s="1048"/>
    </row>
    <row r="262" spans="1:15" ht="15" customHeight="1" x14ac:dyDescent="0.25">
      <c r="A262" s="372"/>
      <c r="B262" s="1014" t="s">
        <v>13</v>
      </c>
      <c r="C262" s="1014"/>
      <c r="D262" s="1014"/>
      <c r="E262" s="370" t="s">
        <v>14</v>
      </c>
      <c r="F262" s="1053" t="s">
        <v>14</v>
      </c>
      <c r="G262" s="1053"/>
      <c r="H262" s="370" t="s">
        <v>14</v>
      </c>
      <c r="I262" s="1054">
        <f>I254+I258</f>
        <v>3798000.0003599999</v>
      </c>
      <c r="J262" s="1054"/>
      <c r="K262" s="393"/>
      <c r="M262" s="282"/>
      <c r="O262" s="164" t="e">
        <f>O255+#REF!+#REF!+#REF!+#REF!+O259+#REF!</f>
        <v>#REF!</v>
      </c>
    </row>
    <row r="263" spans="1:15" ht="16.5" customHeight="1" x14ac:dyDescent="0.25">
      <c r="A263" s="372"/>
      <c r="B263" s="1031" t="s">
        <v>673</v>
      </c>
      <c r="C263" s="1032"/>
      <c r="D263" s="1033"/>
      <c r="E263" s="370"/>
      <c r="F263" s="1031"/>
      <c r="G263" s="1033"/>
      <c r="H263" s="370"/>
      <c r="I263" s="1036">
        <f>I262+I250</f>
        <v>4338999.9993599998</v>
      </c>
      <c r="J263" s="1037"/>
      <c r="M263" s="282"/>
    </row>
    <row r="264" spans="1:15" s="276" customFormat="1" ht="19.5" hidden="1" customHeight="1" x14ac:dyDescent="0.25">
      <c r="A264" s="1074" t="s">
        <v>279</v>
      </c>
      <c r="B264" s="1074"/>
      <c r="C264" s="1074"/>
      <c r="D264" s="1074"/>
      <c r="E264" s="1074"/>
      <c r="F264" s="1074"/>
      <c r="G264" s="1074"/>
      <c r="H264" s="1074"/>
      <c r="I264" s="1074"/>
      <c r="J264" s="1074"/>
      <c r="K264" s="292"/>
    </row>
    <row r="265" spans="1:15" s="276" customFormat="1" ht="15" hidden="1" customHeight="1" x14ac:dyDescent="0.25">
      <c r="A265" s="320" t="s">
        <v>1</v>
      </c>
      <c r="B265" s="1015" t="s">
        <v>44</v>
      </c>
      <c r="C265" s="1015"/>
      <c r="D265" s="1015"/>
      <c r="E265" s="1015" t="s">
        <v>58</v>
      </c>
      <c r="F265" s="1015"/>
      <c r="G265" s="1015" t="s">
        <v>59</v>
      </c>
      <c r="H265" s="1015"/>
      <c r="I265" s="1015" t="s">
        <v>60</v>
      </c>
      <c r="J265" s="1015"/>
      <c r="K265" s="292"/>
    </row>
    <row r="266" spans="1:15" ht="15" hidden="1" customHeight="1" x14ac:dyDescent="0.25">
      <c r="A266" s="320">
        <v>1</v>
      </c>
      <c r="B266" s="1015">
        <v>2</v>
      </c>
      <c r="C266" s="1015"/>
      <c r="D266" s="1015"/>
      <c r="E266" s="1015">
        <v>3</v>
      </c>
      <c r="F266" s="1015"/>
      <c r="G266" s="1015">
        <v>4</v>
      </c>
      <c r="H266" s="1015"/>
      <c r="I266" s="1015">
        <v>5</v>
      </c>
      <c r="J266" s="1015"/>
    </row>
    <row r="267" spans="1:15" ht="15" hidden="1" customHeight="1" x14ac:dyDescent="0.25">
      <c r="A267" s="317"/>
      <c r="B267" s="1026"/>
      <c r="C267" s="1052"/>
      <c r="D267" s="1027"/>
      <c r="E267" s="1013"/>
      <c r="F267" s="1013"/>
      <c r="G267" s="1013"/>
      <c r="H267" s="1013"/>
      <c r="I267" s="1013"/>
      <c r="J267" s="1013"/>
    </row>
    <row r="268" spans="1:15" ht="15" hidden="1" customHeight="1" x14ac:dyDescent="0.25">
      <c r="A268" s="322"/>
      <c r="B268" s="1014" t="s">
        <v>13</v>
      </c>
      <c r="C268" s="1014"/>
      <c r="D268" s="1014"/>
      <c r="E268" s="1053" t="s">
        <v>14</v>
      </c>
      <c r="F268" s="1053"/>
      <c r="G268" s="1053" t="s">
        <v>14</v>
      </c>
      <c r="H268" s="1053"/>
      <c r="I268" s="1053"/>
      <c r="J268" s="1053"/>
    </row>
    <row r="269" spans="1:15" ht="15" hidden="1" customHeight="1" x14ac:dyDescent="0.25">
      <c r="A269" s="376"/>
      <c r="B269" s="375"/>
      <c r="C269" s="375"/>
      <c r="D269" s="375"/>
      <c r="E269" s="376"/>
      <c r="F269" s="376"/>
      <c r="G269" s="376"/>
      <c r="H269" s="376"/>
      <c r="I269" s="376"/>
      <c r="J269" s="444"/>
    </row>
    <row r="270" spans="1:15" ht="16.5" customHeight="1" x14ac:dyDescent="0.25">
      <c r="A270" s="1055" t="s">
        <v>275</v>
      </c>
      <c r="B270" s="1055"/>
      <c r="C270" s="1055"/>
      <c r="D270" s="1055"/>
      <c r="E270" s="1055"/>
      <c r="F270" s="1055"/>
      <c r="G270" s="1055"/>
      <c r="H270" s="1055"/>
      <c r="I270" s="1055"/>
      <c r="J270" s="1055"/>
    </row>
    <row r="271" spans="1:15" ht="15" customHeight="1" x14ac:dyDescent="0.25">
      <c r="A271" s="1075" t="s">
        <v>1</v>
      </c>
      <c r="B271" s="1134" t="s">
        <v>15</v>
      </c>
      <c r="C271" s="1135"/>
      <c r="D271" s="1136"/>
      <c r="E271" s="1075" t="s">
        <v>678</v>
      </c>
      <c r="F271" s="1075" t="s">
        <v>62</v>
      </c>
      <c r="G271" s="1015" t="s">
        <v>63</v>
      </c>
      <c r="H271" s="1015"/>
      <c r="I271" s="1015"/>
      <c r="J271" s="1015"/>
      <c r="K271" s="1021" t="s">
        <v>651</v>
      </c>
    </row>
    <row r="272" spans="1:15" ht="24" customHeight="1" x14ac:dyDescent="0.25">
      <c r="A272" s="1076"/>
      <c r="B272" s="1137"/>
      <c r="C272" s="1138"/>
      <c r="D272" s="1139"/>
      <c r="E272" s="1076"/>
      <c r="F272" s="1076"/>
      <c r="G272" s="320" t="s">
        <v>298</v>
      </c>
      <c r="H272" s="320" t="s">
        <v>295</v>
      </c>
      <c r="I272" s="536" t="s">
        <v>296</v>
      </c>
      <c r="J272" s="445" t="s">
        <v>297</v>
      </c>
      <c r="K272" s="1021"/>
    </row>
    <row r="273" spans="1:16" ht="11.25" customHeight="1" x14ac:dyDescent="0.25">
      <c r="A273" s="320">
        <v>1</v>
      </c>
      <c r="B273" s="1015">
        <v>2</v>
      </c>
      <c r="C273" s="1015"/>
      <c r="D273" s="1015"/>
      <c r="E273" s="320">
        <v>3</v>
      </c>
      <c r="F273" s="320">
        <v>4</v>
      </c>
      <c r="G273" s="1024">
        <v>5</v>
      </c>
      <c r="H273" s="1077"/>
      <c r="I273" s="1077"/>
      <c r="J273" s="1025"/>
      <c r="K273" s="1021"/>
    </row>
    <row r="274" spans="1:16" ht="49.5" customHeight="1" x14ac:dyDescent="0.3">
      <c r="A274" s="317">
        <v>1</v>
      </c>
      <c r="B274" s="1040" t="s">
        <v>332</v>
      </c>
      <c r="C274" s="1040"/>
      <c r="D274" s="1040"/>
      <c r="E274" s="317" t="s">
        <v>160</v>
      </c>
      <c r="F274" s="317">
        <v>12</v>
      </c>
      <c r="G274" s="317" t="s">
        <v>299</v>
      </c>
      <c r="H274" s="317">
        <v>12</v>
      </c>
      <c r="I274" s="163">
        <v>4000</v>
      </c>
      <c r="J274" s="446">
        <f>H274*I274</f>
        <v>48000</v>
      </c>
      <c r="K274" s="318" t="s">
        <v>1119</v>
      </c>
      <c r="L274" s="353">
        <v>36000</v>
      </c>
    </row>
    <row r="275" spans="1:16" ht="28.5" hidden="1" customHeight="1" x14ac:dyDescent="0.25">
      <c r="A275" s="317"/>
      <c r="B275" s="1040" t="s">
        <v>333</v>
      </c>
      <c r="C275" s="1040"/>
      <c r="D275" s="1040"/>
      <c r="E275" s="317" t="s">
        <v>160</v>
      </c>
      <c r="F275" s="317"/>
      <c r="G275" s="317"/>
      <c r="H275" s="317"/>
      <c r="I275" s="163"/>
      <c r="J275" s="446"/>
      <c r="K275" s="304"/>
    </row>
    <row r="276" spans="1:16" ht="19.5" customHeight="1" x14ac:dyDescent="0.25">
      <c r="A276" s="1093">
        <v>2</v>
      </c>
      <c r="B276" s="1249" t="s">
        <v>329</v>
      </c>
      <c r="C276" s="1250"/>
      <c r="D276" s="1251"/>
      <c r="E276" s="1083" t="s">
        <v>160</v>
      </c>
      <c r="F276" s="1083">
        <v>12</v>
      </c>
      <c r="G276" s="1083" t="s">
        <v>299</v>
      </c>
      <c r="H276" s="1083">
        <v>12</v>
      </c>
      <c r="I276" s="1107">
        <v>8440.91</v>
      </c>
      <c r="J276" s="1255">
        <f>H276*I276</f>
        <v>101290.92</v>
      </c>
      <c r="K276" s="1028" t="s">
        <v>1120</v>
      </c>
    </row>
    <row r="277" spans="1:16" ht="17.25" customHeight="1" x14ac:dyDescent="0.35">
      <c r="A277" s="1094"/>
      <c r="B277" s="1252"/>
      <c r="C277" s="1253"/>
      <c r="D277" s="1254"/>
      <c r="E277" s="1088"/>
      <c r="F277" s="1088"/>
      <c r="G277" s="1088"/>
      <c r="H277" s="1088"/>
      <c r="I277" s="1108"/>
      <c r="J277" s="1256"/>
      <c r="K277" s="1030"/>
      <c r="L277" s="309" t="s">
        <v>664</v>
      </c>
    </row>
    <row r="278" spans="1:16" ht="113.25" customHeight="1" x14ac:dyDescent="0.25">
      <c r="A278" s="317">
        <v>3</v>
      </c>
      <c r="B278" s="1040" t="s">
        <v>330</v>
      </c>
      <c r="C278" s="1040"/>
      <c r="D278" s="1040"/>
      <c r="E278" s="317" t="s">
        <v>1161</v>
      </c>
      <c r="F278" s="317">
        <v>12</v>
      </c>
      <c r="G278" s="317" t="s">
        <v>299</v>
      </c>
      <c r="H278" s="317">
        <v>12</v>
      </c>
      <c r="I278" s="163">
        <f>5*7271.1</f>
        <v>36355.5</v>
      </c>
      <c r="J278" s="446">
        <f>I278*12</f>
        <v>436266</v>
      </c>
      <c r="K278" s="304" t="s">
        <v>1172</v>
      </c>
      <c r="N278" s="164">
        <v>-18900</v>
      </c>
    </row>
    <row r="279" spans="1:16" ht="81.75" customHeight="1" x14ac:dyDescent="0.25">
      <c r="A279" s="317">
        <v>4</v>
      </c>
      <c r="B279" s="1040" t="s">
        <v>105</v>
      </c>
      <c r="C279" s="1040"/>
      <c r="D279" s="1040"/>
      <c r="E279" s="317" t="s">
        <v>688</v>
      </c>
      <c r="F279" s="317">
        <v>12</v>
      </c>
      <c r="G279" s="317" t="s">
        <v>299</v>
      </c>
      <c r="H279" s="317">
        <v>12</v>
      </c>
      <c r="I279" s="163">
        <v>15000</v>
      </c>
      <c r="J279" s="446">
        <f>I279*12</f>
        <v>180000</v>
      </c>
      <c r="K279" s="304" t="s">
        <v>1121</v>
      </c>
      <c r="L279" s="289"/>
      <c r="N279" s="164" t="s">
        <v>752</v>
      </c>
      <c r="P279" s="164">
        <f>248217.6-208859.5</f>
        <v>39358.100000000006</v>
      </c>
    </row>
    <row r="280" spans="1:16" ht="64.5" customHeight="1" x14ac:dyDescent="0.25">
      <c r="A280" s="317">
        <v>5</v>
      </c>
      <c r="B280" s="1040" t="s">
        <v>252</v>
      </c>
      <c r="C280" s="1040"/>
      <c r="D280" s="1040"/>
      <c r="E280" s="317" t="s">
        <v>160</v>
      </c>
      <c r="F280" s="317">
        <v>12</v>
      </c>
      <c r="G280" s="317" t="s">
        <v>299</v>
      </c>
      <c r="H280" s="317">
        <v>12</v>
      </c>
      <c r="I280" s="163">
        <v>4977.5</v>
      </c>
      <c r="J280" s="446">
        <f>H280*I280</f>
        <v>59730</v>
      </c>
      <c r="K280" s="321" t="s">
        <v>1122</v>
      </c>
      <c r="L280" s="438">
        <v>59730</v>
      </c>
      <c r="N280" s="164">
        <v>12</v>
      </c>
      <c r="O280" s="164">
        <f>L280/N280</f>
        <v>4977.5</v>
      </c>
    </row>
    <row r="281" spans="1:16" ht="17.25" customHeight="1" x14ac:dyDescent="0.25">
      <c r="A281" s="1083">
        <v>6</v>
      </c>
      <c r="B281" s="1057" t="s">
        <v>1168</v>
      </c>
      <c r="C281" s="1058"/>
      <c r="D281" s="1059"/>
      <c r="E281" s="1083" t="s">
        <v>1169</v>
      </c>
      <c r="F281" s="1083">
        <v>9</v>
      </c>
      <c r="G281" s="1083" t="s">
        <v>299</v>
      </c>
      <c r="H281" s="1083">
        <v>9</v>
      </c>
      <c r="I281" s="1107">
        <v>11000</v>
      </c>
      <c r="J281" s="1279">
        <f>H281*I281</f>
        <v>99000</v>
      </c>
      <c r="K281" s="1085"/>
    </row>
    <row r="282" spans="1:16" ht="15.75" customHeight="1" x14ac:dyDescent="0.25">
      <c r="A282" s="1084"/>
      <c r="B282" s="1060"/>
      <c r="C282" s="1061"/>
      <c r="D282" s="1062"/>
      <c r="E282" s="1088"/>
      <c r="F282" s="1088"/>
      <c r="G282" s="1088"/>
      <c r="H282" s="1088"/>
      <c r="I282" s="1108"/>
      <c r="J282" s="1280"/>
      <c r="K282" s="1086"/>
    </row>
    <row r="283" spans="1:16" ht="24" customHeight="1" x14ac:dyDescent="0.25">
      <c r="A283" s="317">
        <v>6</v>
      </c>
      <c r="B283" s="1040" t="s">
        <v>462</v>
      </c>
      <c r="C283" s="1040"/>
      <c r="D283" s="1040"/>
      <c r="E283" s="384" t="s">
        <v>160</v>
      </c>
      <c r="F283" s="317">
        <v>12</v>
      </c>
      <c r="G283" s="317" t="s">
        <v>299</v>
      </c>
      <c r="H283" s="317">
        <v>12</v>
      </c>
      <c r="I283" s="163">
        <v>1236</v>
      </c>
      <c r="J283" s="756">
        <f>H283*I283</f>
        <v>14832</v>
      </c>
      <c r="K283" s="400" t="s">
        <v>1123</v>
      </c>
      <c r="L283" s="164" t="s">
        <v>663</v>
      </c>
    </row>
    <row r="284" spans="1:16" ht="19.5" customHeight="1" x14ac:dyDescent="0.25">
      <c r="A284" s="317">
        <v>7</v>
      </c>
      <c r="B284" s="1017" t="s">
        <v>709</v>
      </c>
      <c r="C284" s="1018"/>
      <c r="D284" s="1019"/>
      <c r="E284" s="384" t="s">
        <v>677</v>
      </c>
      <c r="F284" s="317">
        <v>1</v>
      </c>
      <c r="G284" s="317" t="s">
        <v>640</v>
      </c>
      <c r="H284" s="317">
        <v>1</v>
      </c>
      <c r="I284" s="163">
        <v>70000</v>
      </c>
      <c r="J284" s="446">
        <f>H284*I284</f>
        <v>70000</v>
      </c>
      <c r="K284" s="305"/>
      <c r="L284" s="279">
        <v>70380</v>
      </c>
    </row>
    <row r="285" spans="1:16" ht="23.25" customHeight="1" x14ac:dyDescent="0.25">
      <c r="A285" s="317">
        <v>8</v>
      </c>
      <c r="B285" s="1040" t="s">
        <v>660</v>
      </c>
      <c r="C285" s="1040"/>
      <c r="D285" s="1040"/>
      <c r="E285" s="384" t="s">
        <v>677</v>
      </c>
      <c r="F285" s="317">
        <v>1</v>
      </c>
      <c r="G285" s="317" t="s">
        <v>661</v>
      </c>
      <c r="H285" s="317">
        <v>1</v>
      </c>
      <c r="I285" s="163">
        <v>40000</v>
      </c>
      <c r="J285" s="446">
        <f>I285</f>
        <v>40000</v>
      </c>
      <c r="K285" s="305"/>
      <c r="L285" s="279"/>
    </row>
    <row r="286" spans="1:16" ht="44.25" customHeight="1" x14ac:dyDescent="0.25">
      <c r="A286" s="317">
        <v>9</v>
      </c>
      <c r="B286" s="1040" t="s">
        <v>128</v>
      </c>
      <c r="C286" s="1040"/>
      <c r="D286" s="1040"/>
      <c r="E286" s="317" t="s">
        <v>677</v>
      </c>
      <c r="F286" s="317">
        <v>1</v>
      </c>
      <c r="G286" s="317" t="s">
        <v>299</v>
      </c>
      <c r="H286" s="317">
        <v>1</v>
      </c>
      <c r="I286" s="163">
        <v>0</v>
      </c>
      <c r="J286" s="446">
        <f>H286*I286</f>
        <v>0</v>
      </c>
      <c r="K286" s="304" t="s">
        <v>699</v>
      </c>
      <c r="L286" s="279"/>
    </row>
    <row r="287" spans="1:16" ht="21.75" hidden="1" customHeight="1" x14ac:dyDescent="0.25">
      <c r="A287" s="317">
        <v>11</v>
      </c>
      <c r="B287" s="1040" t="s">
        <v>337</v>
      </c>
      <c r="C287" s="1040"/>
      <c r="D287" s="1040"/>
      <c r="E287" s="317"/>
      <c r="F287" s="317">
        <v>0</v>
      </c>
      <c r="G287" s="317" t="s">
        <v>299</v>
      </c>
      <c r="H287" s="317">
        <v>0</v>
      </c>
      <c r="I287" s="163">
        <v>0</v>
      </c>
      <c r="J287" s="446">
        <v>0</v>
      </c>
      <c r="K287" s="304"/>
    </row>
    <row r="288" spans="1:16" x14ac:dyDescent="0.25">
      <c r="A288" s="317">
        <v>10</v>
      </c>
      <c r="B288" s="1017" t="s">
        <v>129</v>
      </c>
      <c r="C288" s="1080"/>
      <c r="D288" s="1081"/>
      <c r="E288" s="382" t="s">
        <v>677</v>
      </c>
      <c r="F288" s="317">
        <v>1</v>
      </c>
      <c r="G288" s="317" t="s">
        <v>299</v>
      </c>
      <c r="H288" s="317">
        <v>1</v>
      </c>
      <c r="I288" s="163">
        <v>10000</v>
      </c>
      <c r="J288" s="446">
        <f t="shared" ref="J288:J292" si="19">H288*I288</f>
        <v>10000</v>
      </c>
      <c r="K288" s="304" t="s">
        <v>699</v>
      </c>
    </row>
    <row r="289" spans="1:14" ht="36.75" customHeight="1" x14ac:dyDescent="0.25">
      <c r="A289" s="317">
        <v>11</v>
      </c>
      <c r="B289" s="1040" t="s">
        <v>601</v>
      </c>
      <c r="C289" s="1040"/>
      <c r="D289" s="1040"/>
      <c r="E289" s="382" t="s">
        <v>677</v>
      </c>
      <c r="F289" s="317">
        <v>1</v>
      </c>
      <c r="G289" s="317" t="s">
        <v>299</v>
      </c>
      <c r="H289" s="317">
        <v>1</v>
      </c>
      <c r="I289" s="163">
        <v>18000</v>
      </c>
      <c r="J289" s="446">
        <f t="shared" si="19"/>
        <v>18000</v>
      </c>
      <c r="K289" s="304" t="s">
        <v>699</v>
      </c>
    </row>
    <row r="290" spans="1:14" ht="55.5" hidden="1" customHeight="1" x14ac:dyDescent="0.25">
      <c r="A290" s="317">
        <v>12</v>
      </c>
      <c r="B290" s="1017" t="s">
        <v>736</v>
      </c>
      <c r="C290" s="1018"/>
      <c r="D290" s="1019"/>
      <c r="E290" s="395" t="s">
        <v>732</v>
      </c>
      <c r="F290" s="317">
        <v>1</v>
      </c>
      <c r="G290" s="317" t="s">
        <v>299</v>
      </c>
      <c r="H290" s="317">
        <v>1</v>
      </c>
      <c r="I290" s="163">
        <v>0</v>
      </c>
      <c r="J290" s="446">
        <f>I290*12</f>
        <v>0</v>
      </c>
      <c r="K290" s="304"/>
    </row>
    <row r="291" spans="1:14" ht="38.25" hidden="1" customHeight="1" x14ac:dyDescent="0.25">
      <c r="A291" s="317">
        <v>13</v>
      </c>
      <c r="B291" s="1017" t="s">
        <v>463</v>
      </c>
      <c r="C291" s="1018"/>
      <c r="D291" s="1019"/>
      <c r="E291" s="382" t="s">
        <v>677</v>
      </c>
      <c r="F291" s="317">
        <v>1</v>
      </c>
      <c r="G291" s="317" t="s">
        <v>299</v>
      </c>
      <c r="H291" s="317">
        <v>1</v>
      </c>
      <c r="I291" s="163">
        <v>0</v>
      </c>
      <c r="J291" s="446">
        <f t="shared" si="19"/>
        <v>0</v>
      </c>
      <c r="K291" s="399"/>
    </row>
    <row r="292" spans="1:14" ht="38.25" hidden="1" customHeight="1" x14ac:dyDescent="0.25">
      <c r="A292" s="317">
        <v>14</v>
      </c>
      <c r="B292" s="1017" t="s">
        <v>113</v>
      </c>
      <c r="C292" s="1018"/>
      <c r="D292" s="1019"/>
      <c r="E292" s="317" t="s">
        <v>677</v>
      </c>
      <c r="F292" s="317">
        <v>1</v>
      </c>
      <c r="G292" s="317" t="s">
        <v>299</v>
      </c>
      <c r="H292" s="317">
        <v>1</v>
      </c>
      <c r="I292" s="163">
        <v>0</v>
      </c>
      <c r="J292" s="446">
        <f t="shared" si="19"/>
        <v>0</v>
      </c>
      <c r="K292" s="399" t="s">
        <v>698</v>
      </c>
    </row>
    <row r="293" spans="1:14" ht="36" hidden="1" customHeight="1" x14ac:dyDescent="0.25">
      <c r="A293" s="317">
        <v>14</v>
      </c>
      <c r="B293" s="1017" t="s">
        <v>607</v>
      </c>
      <c r="C293" s="1018"/>
      <c r="D293" s="1019"/>
      <c r="E293" s="317" t="s">
        <v>606</v>
      </c>
      <c r="F293" s="317">
        <v>4</v>
      </c>
      <c r="G293" s="317" t="s">
        <v>299</v>
      </c>
      <c r="H293" s="317">
        <v>4</v>
      </c>
      <c r="I293" s="163">
        <v>0</v>
      </c>
      <c r="J293" s="446">
        <v>0</v>
      </c>
      <c r="K293" s="321" t="s">
        <v>1124</v>
      </c>
      <c r="L293" s="164">
        <v>40000</v>
      </c>
      <c r="N293" s="164">
        <v>40000</v>
      </c>
    </row>
    <row r="294" spans="1:14" ht="47.25" hidden="1" customHeight="1" x14ac:dyDescent="0.25">
      <c r="A294" s="317">
        <v>18</v>
      </c>
      <c r="B294" s="1017" t="s">
        <v>636</v>
      </c>
      <c r="C294" s="1018"/>
      <c r="D294" s="1019"/>
      <c r="E294" s="398" t="s">
        <v>160</v>
      </c>
      <c r="F294" s="317">
        <v>12</v>
      </c>
      <c r="G294" s="317" t="s">
        <v>299</v>
      </c>
      <c r="H294" s="317">
        <v>12</v>
      </c>
      <c r="I294" s="163">
        <v>0</v>
      </c>
      <c r="J294" s="446">
        <f t="shared" ref="J294:J299" si="20">H294*I294</f>
        <v>0</v>
      </c>
      <c r="K294" s="293"/>
      <c r="N294" s="164" t="s">
        <v>605</v>
      </c>
    </row>
    <row r="295" spans="1:14" ht="36" customHeight="1" x14ac:dyDescent="0.25">
      <c r="A295" s="317">
        <v>12</v>
      </c>
      <c r="B295" s="1017" t="s">
        <v>637</v>
      </c>
      <c r="C295" s="1018"/>
      <c r="D295" s="1019"/>
      <c r="E295" s="317" t="s">
        <v>676</v>
      </c>
      <c r="F295" s="317">
        <v>2</v>
      </c>
      <c r="G295" s="317" t="s">
        <v>299</v>
      </c>
      <c r="H295" s="317">
        <v>3</v>
      </c>
      <c r="I295" s="163">
        <v>2405</v>
      </c>
      <c r="J295" s="446">
        <f>I295*F295</f>
        <v>4810</v>
      </c>
      <c r="K295" s="396" t="s">
        <v>1125</v>
      </c>
      <c r="L295" s="308"/>
      <c r="N295" s="164">
        <v>5760</v>
      </c>
    </row>
    <row r="296" spans="1:14" ht="53.25" hidden="1" customHeight="1" x14ac:dyDescent="0.25">
      <c r="A296" s="317">
        <v>20</v>
      </c>
      <c r="B296" s="1017" t="s">
        <v>697</v>
      </c>
      <c r="C296" s="1018"/>
      <c r="D296" s="1019"/>
      <c r="E296" s="317" t="s">
        <v>700</v>
      </c>
      <c r="F296" s="317">
        <v>7</v>
      </c>
      <c r="G296" s="317" t="s">
        <v>299</v>
      </c>
      <c r="H296" s="317">
        <v>7</v>
      </c>
      <c r="I296" s="163">
        <v>0</v>
      </c>
      <c r="J296" s="446">
        <f t="shared" si="20"/>
        <v>0</v>
      </c>
      <c r="K296" s="321" t="s">
        <v>635</v>
      </c>
    </row>
    <row r="297" spans="1:14" ht="52.5" hidden="1" customHeight="1" x14ac:dyDescent="0.25">
      <c r="A297" s="317">
        <v>21</v>
      </c>
      <c r="B297" s="1017" t="s">
        <v>638</v>
      </c>
      <c r="C297" s="1018"/>
      <c r="D297" s="1019"/>
      <c r="E297" s="398" t="s">
        <v>160</v>
      </c>
      <c r="F297" s="317">
        <v>12</v>
      </c>
      <c r="G297" s="317" t="s">
        <v>299</v>
      </c>
      <c r="H297" s="317">
        <v>12</v>
      </c>
      <c r="I297" s="163">
        <v>0</v>
      </c>
      <c r="J297" s="446">
        <f t="shared" si="20"/>
        <v>0</v>
      </c>
      <c r="K297" s="321"/>
    </row>
    <row r="298" spans="1:14" ht="48" hidden="1" customHeight="1" x14ac:dyDescent="0.25">
      <c r="A298" s="317">
        <v>22</v>
      </c>
      <c r="B298" s="1017" t="s">
        <v>639</v>
      </c>
      <c r="C298" s="1018"/>
      <c r="D298" s="1019"/>
      <c r="E298" s="398" t="s">
        <v>160</v>
      </c>
      <c r="F298" s="317">
        <v>12</v>
      </c>
      <c r="G298" s="317" t="s">
        <v>299</v>
      </c>
      <c r="H298" s="317">
        <v>12</v>
      </c>
      <c r="I298" s="163">
        <v>0</v>
      </c>
      <c r="J298" s="446">
        <f t="shared" si="20"/>
        <v>0</v>
      </c>
      <c r="K298" s="321"/>
    </row>
    <row r="299" spans="1:14" ht="38.25" hidden="1" customHeight="1" x14ac:dyDescent="0.25">
      <c r="A299" s="317">
        <v>23</v>
      </c>
      <c r="B299" s="1017" t="s">
        <v>701</v>
      </c>
      <c r="C299" s="1018"/>
      <c r="D299" s="1019"/>
      <c r="E299" s="317" t="s">
        <v>713</v>
      </c>
      <c r="F299" s="317">
        <v>1</v>
      </c>
      <c r="G299" s="317" t="s">
        <v>299</v>
      </c>
      <c r="H299" s="317">
        <v>1</v>
      </c>
      <c r="I299" s="163">
        <v>0</v>
      </c>
      <c r="J299" s="446">
        <f t="shared" si="20"/>
        <v>0</v>
      </c>
      <c r="K299" s="321" t="s">
        <v>714</v>
      </c>
    </row>
    <row r="300" spans="1:14" ht="0.75" customHeight="1" x14ac:dyDescent="0.25">
      <c r="A300" s="317">
        <v>16</v>
      </c>
      <c r="B300" s="1017"/>
      <c r="C300" s="1018"/>
      <c r="D300" s="1019"/>
      <c r="E300" s="317"/>
      <c r="F300" s="317">
        <v>1</v>
      </c>
      <c r="G300" s="317" t="s">
        <v>299</v>
      </c>
      <c r="H300" s="317">
        <v>1</v>
      </c>
      <c r="I300" s="163"/>
      <c r="J300" s="446"/>
      <c r="K300" s="321"/>
    </row>
    <row r="301" spans="1:14" ht="38.25" customHeight="1" x14ac:dyDescent="0.25">
      <c r="A301" s="464">
        <v>13</v>
      </c>
      <c r="B301" s="1017" t="s">
        <v>766</v>
      </c>
      <c r="C301" s="1018"/>
      <c r="D301" s="1019"/>
      <c r="E301" s="529" t="s">
        <v>677</v>
      </c>
      <c r="F301" s="529">
        <v>1</v>
      </c>
      <c r="G301" s="529" t="s">
        <v>299</v>
      </c>
      <c r="H301" s="529">
        <v>1</v>
      </c>
      <c r="I301" s="163">
        <f>2500+571.08</f>
        <v>3071.08</v>
      </c>
      <c r="J301" s="446">
        <f>I301</f>
        <v>3071.08</v>
      </c>
      <c r="K301" s="531" t="s">
        <v>1126</v>
      </c>
    </row>
    <row r="302" spans="1:14" ht="38.25" customHeight="1" x14ac:dyDescent="0.25">
      <c r="A302" s="464">
        <v>14</v>
      </c>
      <c r="B302" s="1017" t="s">
        <v>697</v>
      </c>
      <c r="C302" s="1018"/>
      <c r="D302" s="1019"/>
      <c r="E302" s="464" t="s">
        <v>700</v>
      </c>
      <c r="F302" s="464">
        <v>7</v>
      </c>
      <c r="G302" s="464" t="s">
        <v>1134</v>
      </c>
      <c r="H302" s="464">
        <v>7</v>
      </c>
      <c r="I302" s="163">
        <v>0</v>
      </c>
      <c r="J302" s="446">
        <f>H302*I302</f>
        <v>0</v>
      </c>
      <c r="K302" s="465" t="s">
        <v>635</v>
      </c>
    </row>
    <row r="303" spans="1:14" ht="63.75" customHeight="1" x14ac:dyDescent="0.25">
      <c r="A303" s="317">
        <v>15</v>
      </c>
      <c r="B303" s="1017" t="s">
        <v>1136</v>
      </c>
      <c r="C303" s="1018"/>
      <c r="D303" s="1019"/>
      <c r="E303" s="317" t="s">
        <v>160</v>
      </c>
      <c r="F303" s="317">
        <v>12</v>
      </c>
      <c r="G303" s="317" t="s">
        <v>299</v>
      </c>
      <c r="H303" s="317">
        <v>12</v>
      </c>
      <c r="I303" s="163">
        <v>0</v>
      </c>
      <c r="J303" s="446">
        <v>0</v>
      </c>
      <c r="K303" s="577" t="s">
        <v>1135</v>
      </c>
    </row>
    <row r="304" spans="1:14" x14ac:dyDescent="0.25">
      <c r="A304" s="322"/>
      <c r="B304" s="1014" t="s">
        <v>13</v>
      </c>
      <c r="C304" s="1014"/>
      <c r="D304" s="1014"/>
      <c r="E304" s="322" t="s">
        <v>14</v>
      </c>
      <c r="F304" s="322" t="s">
        <v>14</v>
      </c>
      <c r="G304" s="1140">
        <f>SUM(J274:J303)</f>
        <v>1085000</v>
      </c>
      <c r="H304" s="1141"/>
      <c r="I304" s="1141"/>
      <c r="J304" s="1141"/>
    </row>
    <row r="305" spans="1:14" ht="17.25" customHeight="1" x14ac:dyDescent="0.25">
      <c r="A305" s="1056" t="s">
        <v>280</v>
      </c>
      <c r="B305" s="1056"/>
      <c r="C305" s="1056"/>
      <c r="D305" s="1056"/>
      <c r="E305" s="1056"/>
      <c r="F305" s="1056"/>
      <c r="G305" s="1056"/>
      <c r="H305" s="1056"/>
      <c r="I305" s="1056"/>
      <c r="J305" s="1056"/>
    </row>
    <row r="306" spans="1:14" ht="17.25" customHeight="1" x14ac:dyDescent="0.25">
      <c r="A306" s="1075" t="s">
        <v>1</v>
      </c>
      <c r="B306" s="1134" t="s">
        <v>15</v>
      </c>
      <c r="C306" s="1135"/>
      <c r="D306" s="1136"/>
      <c r="E306" s="1134" t="s">
        <v>64</v>
      </c>
      <c r="F306" s="1136"/>
      <c r="G306" s="1015" t="s">
        <v>65</v>
      </c>
      <c r="H306" s="1015"/>
      <c r="I306" s="1015"/>
      <c r="J306" s="1015"/>
      <c r="K306" s="1021" t="s">
        <v>652</v>
      </c>
    </row>
    <row r="307" spans="1:14" ht="27.75" customHeight="1" x14ac:dyDescent="0.25">
      <c r="A307" s="1076"/>
      <c r="B307" s="1137"/>
      <c r="C307" s="1138"/>
      <c r="D307" s="1139"/>
      <c r="E307" s="1137"/>
      <c r="F307" s="1139"/>
      <c r="G307" s="320" t="s">
        <v>298</v>
      </c>
      <c r="H307" s="320" t="s">
        <v>295</v>
      </c>
      <c r="I307" s="535" t="s">
        <v>296</v>
      </c>
      <c r="J307" s="445" t="s">
        <v>297</v>
      </c>
      <c r="K307" s="1021"/>
    </row>
    <row r="308" spans="1:14" ht="14.25" customHeight="1" x14ac:dyDescent="0.25">
      <c r="A308" s="320">
        <v>1</v>
      </c>
      <c r="B308" s="1015">
        <v>2</v>
      </c>
      <c r="C308" s="1015"/>
      <c r="D308" s="1015"/>
      <c r="E308" s="1024">
        <v>3</v>
      </c>
      <c r="F308" s="1025"/>
      <c r="G308" s="1015">
        <v>4</v>
      </c>
      <c r="H308" s="1015"/>
      <c r="I308" s="1015"/>
      <c r="J308" s="1015"/>
      <c r="K308" s="1021"/>
    </row>
    <row r="309" spans="1:14" ht="30" customHeight="1" x14ac:dyDescent="0.25">
      <c r="A309" s="383" t="s">
        <v>70</v>
      </c>
      <c r="B309" s="1041" t="s">
        <v>347</v>
      </c>
      <c r="C309" s="1042"/>
      <c r="D309" s="1043"/>
      <c r="E309" s="1038" t="s">
        <v>74</v>
      </c>
      <c r="F309" s="1039"/>
      <c r="G309" s="336" t="s">
        <v>74</v>
      </c>
      <c r="H309" s="336" t="s">
        <v>74</v>
      </c>
      <c r="I309" s="385" t="s">
        <v>74</v>
      </c>
      <c r="J309" s="447">
        <f>SUM(J310:J332)</f>
        <v>2953000</v>
      </c>
      <c r="K309" s="1021"/>
    </row>
    <row r="310" spans="1:14" ht="36" customHeight="1" x14ac:dyDescent="0.25">
      <c r="A310" s="317" t="s">
        <v>27</v>
      </c>
      <c r="B310" s="1040" t="s">
        <v>464</v>
      </c>
      <c r="C310" s="1040"/>
      <c r="D310" s="1040"/>
      <c r="E310" s="1026">
        <v>1</v>
      </c>
      <c r="F310" s="1027"/>
      <c r="G310" s="317" t="s">
        <v>299</v>
      </c>
      <c r="H310" s="317" t="s">
        <v>1093</v>
      </c>
      <c r="I310" s="161">
        <v>215</v>
      </c>
      <c r="J310" s="446">
        <f>366*24*215</f>
        <v>1888560</v>
      </c>
      <c r="K310" s="304" t="s">
        <v>1099</v>
      </c>
      <c r="L310" s="164">
        <v>482370</v>
      </c>
    </row>
    <row r="311" spans="1:14" s="276" customFormat="1" ht="38.25" customHeight="1" x14ac:dyDescent="0.35">
      <c r="A311" s="311" t="s">
        <v>29</v>
      </c>
      <c r="B311" s="1017" t="s">
        <v>323</v>
      </c>
      <c r="C311" s="1080"/>
      <c r="D311" s="1081"/>
      <c r="E311" s="1317">
        <v>1</v>
      </c>
      <c r="F311" s="1318"/>
      <c r="G311" s="317" t="s">
        <v>299</v>
      </c>
      <c r="H311" s="317" t="s">
        <v>1093</v>
      </c>
      <c r="I311" s="161">
        <v>19.399999999999999</v>
      </c>
      <c r="J311" s="756">
        <f>366*24*19.4</f>
        <v>170409.59999999998</v>
      </c>
      <c r="K311" s="400" t="s">
        <v>1100</v>
      </c>
      <c r="L311" s="354">
        <v>77784.2</v>
      </c>
    </row>
    <row r="312" spans="1:14" ht="61.5" customHeight="1" x14ac:dyDescent="0.35">
      <c r="A312" s="317" t="s">
        <v>31</v>
      </c>
      <c r="B312" s="1040" t="s">
        <v>738</v>
      </c>
      <c r="C312" s="1040"/>
      <c r="D312" s="1040"/>
      <c r="E312" s="1026">
        <v>1</v>
      </c>
      <c r="F312" s="1027"/>
      <c r="G312" s="317" t="s">
        <v>299</v>
      </c>
      <c r="H312" s="317">
        <v>12</v>
      </c>
      <c r="I312" s="161">
        <v>6200</v>
      </c>
      <c r="J312" s="756">
        <f>H312*I312</f>
        <v>74400</v>
      </c>
      <c r="K312" s="304" t="s">
        <v>1127</v>
      </c>
      <c r="L312" s="354">
        <v>68200</v>
      </c>
    </row>
    <row r="313" spans="1:14" ht="33" customHeight="1" x14ac:dyDescent="0.35">
      <c r="A313" s="317" t="s">
        <v>264</v>
      </c>
      <c r="B313" s="1040" t="s">
        <v>739</v>
      </c>
      <c r="C313" s="1040"/>
      <c r="D313" s="1040"/>
      <c r="E313" s="1026" t="s">
        <v>741</v>
      </c>
      <c r="F313" s="1027"/>
      <c r="G313" s="317" t="s">
        <v>299</v>
      </c>
      <c r="H313" s="317">
        <v>12</v>
      </c>
      <c r="I313" s="161">
        <v>2750</v>
      </c>
      <c r="J313" s="756">
        <f>H313*I313</f>
        <v>33000</v>
      </c>
      <c r="K313" s="304" t="s">
        <v>1160</v>
      </c>
      <c r="L313" s="354" t="s">
        <v>740</v>
      </c>
    </row>
    <row r="314" spans="1:14" ht="19.5" customHeight="1" x14ac:dyDescent="0.25">
      <c r="A314" s="317" t="s">
        <v>265</v>
      </c>
      <c r="B314" s="1040" t="s">
        <v>137</v>
      </c>
      <c r="C314" s="1040"/>
      <c r="D314" s="1040"/>
      <c r="E314" s="1026">
        <v>1</v>
      </c>
      <c r="F314" s="1027"/>
      <c r="G314" s="317" t="s">
        <v>149</v>
      </c>
      <c r="H314" s="317">
        <v>85</v>
      </c>
      <c r="I314" s="161">
        <f>J314/H314</f>
        <v>8141.6474117647058</v>
      </c>
      <c r="J314" s="446">
        <v>692040.03</v>
      </c>
      <c r="K314" s="304" t="s">
        <v>1137</v>
      </c>
      <c r="L314" s="282"/>
      <c r="N314" s="164">
        <v>373</v>
      </c>
    </row>
    <row r="315" spans="1:14" ht="41.25" hidden="1" customHeight="1" x14ac:dyDescent="0.25">
      <c r="A315" s="317" t="s">
        <v>276</v>
      </c>
      <c r="B315" s="1040" t="s">
        <v>465</v>
      </c>
      <c r="C315" s="1040"/>
      <c r="D315" s="1040"/>
      <c r="E315" s="1026">
        <v>1</v>
      </c>
      <c r="F315" s="1027"/>
      <c r="G315" s="317" t="s">
        <v>299</v>
      </c>
      <c r="H315" s="317">
        <v>0</v>
      </c>
      <c r="I315" s="161">
        <v>0</v>
      </c>
      <c r="J315" s="446">
        <v>0</v>
      </c>
      <c r="K315" s="304"/>
    </row>
    <row r="316" spans="1:14" ht="51.75" customHeight="1" x14ac:dyDescent="0.25">
      <c r="A316" s="317" t="s">
        <v>276</v>
      </c>
      <c r="B316" s="1040" t="s">
        <v>326</v>
      </c>
      <c r="C316" s="1040"/>
      <c r="D316" s="1040"/>
      <c r="E316" s="1026">
        <v>1</v>
      </c>
      <c r="F316" s="1027"/>
      <c r="G316" s="317" t="s">
        <v>149</v>
      </c>
      <c r="H316" s="317">
        <v>7</v>
      </c>
      <c r="I316" s="161">
        <v>300</v>
      </c>
      <c r="J316" s="446">
        <f t="shared" ref="J316:J325" si="21">H316*I316</f>
        <v>2100</v>
      </c>
      <c r="K316" s="304" t="s">
        <v>1142</v>
      </c>
    </row>
    <row r="317" spans="1:14" ht="41.25" customHeight="1" x14ac:dyDescent="0.25">
      <c r="A317" s="317" t="s">
        <v>277</v>
      </c>
      <c r="B317" s="1040" t="s">
        <v>338</v>
      </c>
      <c r="C317" s="1040"/>
      <c r="D317" s="1040"/>
      <c r="E317" s="1026">
        <v>1</v>
      </c>
      <c r="F317" s="1027"/>
      <c r="G317" s="317" t="s">
        <v>149</v>
      </c>
      <c r="H317" s="317">
        <v>2</v>
      </c>
      <c r="I317" s="161">
        <v>1500</v>
      </c>
      <c r="J317" s="446">
        <f>H317*I317</f>
        <v>3000</v>
      </c>
      <c r="K317" s="304" t="s">
        <v>1143</v>
      </c>
    </row>
    <row r="318" spans="1:14" ht="32.25" customHeight="1" x14ac:dyDescent="0.25">
      <c r="A318" s="317" t="s">
        <v>334</v>
      </c>
      <c r="B318" s="1017" t="s">
        <v>1095</v>
      </c>
      <c r="C318" s="1018"/>
      <c r="D318" s="1019"/>
      <c r="E318" s="1026">
        <v>1</v>
      </c>
      <c r="F318" s="1027"/>
      <c r="G318" s="317" t="s">
        <v>149</v>
      </c>
      <c r="H318" s="397">
        <v>2</v>
      </c>
      <c r="I318" s="161">
        <v>1500</v>
      </c>
      <c r="J318" s="446">
        <f t="shared" si="21"/>
        <v>3000</v>
      </c>
      <c r="K318" s="304" t="s">
        <v>1144</v>
      </c>
    </row>
    <row r="319" spans="1:14" ht="51.75" hidden="1" customHeight="1" x14ac:dyDescent="0.25">
      <c r="A319" s="317" t="s">
        <v>367</v>
      </c>
      <c r="B319" s="1017" t="s">
        <v>630</v>
      </c>
      <c r="C319" s="1018"/>
      <c r="D319" s="1019"/>
      <c r="E319" s="1026">
        <v>1</v>
      </c>
      <c r="F319" s="1027"/>
      <c r="G319" s="317" t="s">
        <v>631</v>
      </c>
      <c r="H319" s="317">
        <v>11</v>
      </c>
      <c r="I319" s="161">
        <v>0</v>
      </c>
      <c r="J319" s="446">
        <f t="shared" si="21"/>
        <v>0</v>
      </c>
      <c r="K319" s="304" t="s">
        <v>1171</v>
      </c>
    </row>
    <row r="320" spans="1:14" ht="51.75" customHeight="1" x14ac:dyDescent="0.25">
      <c r="A320" s="397" t="s">
        <v>348</v>
      </c>
      <c r="B320" s="1017" t="s">
        <v>690</v>
      </c>
      <c r="C320" s="1018"/>
      <c r="D320" s="1019"/>
      <c r="E320" s="1026">
        <v>1</v>
      </c>
      <c r="F320" s="1027"/>
      <c r="G320" s="397" t="s">
        <v>631</v>
      </c>
      <c r="H320" s="397">
        <v>10</v>
      </c>
      <c r="I320" s="161">
        <v>2000</v>
      </c>
      <c r="J320" s="446">
        <f t="shared" si="21"/>
        <v>20000</v>
      </c>
      <c r="K320" s="304" t="s">
        <v>1148</v>
      </c>
    </row>
    <row r="321" spans="1:12" ht="51.75" hidden="1" customHeight="1" x14ac:dyDescent="0.25">
      <c r="A321" s="397" t="s">
        <v>369</v>
      </c>
      <c r="B321" s="1017" t="s">
        <v>691</v>
      </c>
      <c r="C321" s="1018"/>
      <c r="D321" s="1019"/>
      <c r="E321" s="1026">
        <v>1</v>
      </c>
      <c r="F321" s="1027"/>
      <c r="G321" s="397" t="s">
        <v>631</v>
      </c>
      <c r="H321" s="397">
        <v>0</v>
      </c>
      <c r="I321" s="161">
        <v>0</v>
      </c>
      <c r="J321" s="446">
        <f t="shared" si="21"/>
        <v>0</v>
      </c>
      <c r="K321" s="304" t="s">
        <v>695</v>
      </c>
    </row>
    <row r="322" spans="1:12" ht="51.75" hidden="1" customHeight="1" x14ac:dyDescent="0.25">
      <c r="A322" s="397" t="s">
        <v>632</v>
      </c>
      <c r="B322" s="1017" t="s">
        <v>692</v>
      </c>
      <c r="C322" s="1018"/>
      <c r="D322" s="1019"/>
      <c r="E322" s="1026">
        <v>1</v>
      </c>
      <c r="F322" s="1027"/>
      <c r="G322" s="397" t="s">
        <v>631</v>
      </c>
      <c r="H322" s="397">
        <v>0</v>
      </c>
      <c r="I322" s="161">
        <v>0</v>
      </c>
      <c r="J322" s="446">
        <f t="shared" si="21"/>
        <v>0</v>
      </c>
      <c r="K322" s="304" t="s">
        <v>694</v>
      </c>
    </row>
    <row r="323" spans="1:12" ht="51.75" customHeight="1" x14ac:dyDescent="0.25">
      <c r="A323" s="397" t="s">
        <v>367</v>
      </c>
      <c r="B323" s="1017" t="s">
        <v>693</v>
      </c>
      <c r="C323" s="1018"/>
      <c r="D323" s="1019"/>
      <c r="E323" s="1026">
        <v>1</v>
      </c>
      <c r="F323" s="1027"/>
      <c r="G323" s="397" t="s">
        <v>149</v>
      </c>
      <c r="H323" s="397">
        <v>2</v>
      </c>
      <c r="I323" s="161">
        <v>1500</v>
      </c>
      <c r="J323" s="446">
        <f t="shared" si="21"/>
        <v>3000</v>
      </c>
      <c r="K323" s="304" t="s">
        <v>1147</v>
      </c>
    </row>
    <row r="324" spans="1:12" ht="51.75" customHeight="1" x14ac:dyDescent="0.25">
      <c r="A324" s="528" t="s">
        <v>368</v>
      </c>
      <c r="B324" s="1017" t="s">
        <v>1096</v>
      </c>
      <c r="C324" s="1018"/>
      <c r="D324" s="1019"/>
      <c r="E324" s="1026">
        <v>1</v>
      </c>
      <c r="F324" s="1027"/>
      <c r="G324" s="528" t="s">
        <v>149</v>
      </c>
      <c r="H324" s="528">
        <v>50</v>
      </c>
      <c r="I324" s="161">
        <v>500</v>
      </c>
      <c r="J324" s="446">
        <f t="shared" si="21"/>
        <v>25000</v>
      </c>
      <c r="K324" s="304" t="s">
        <v>1145</v>
      </c>
    </row>
    <row r="325" spans="1:12" ht="51.75" hidden="1" customHeight="1" x14ac:dyDescent="0.25">
      <c r="A325" s="528" t="s">
        <v>633</v>
      </c>
      <c r="B325" s="1017" t="s">
        <v>692</v>
      </c>
      <c r="C325" s="1018"/>
      <c r="D325" s="1019"/>
      <c r="E325" s="1026">
        <v>1</v>
      </c>
      <c r="F325" s="1027"/>
      <c r="G325" s="528" t="s">
        <v>149</v>
      </c>
      <c r="H325" s="528">
        <v>0</v>
      </c>
      <c r="I325" s="161">
        <v>0</v>
      </c>
      <c r="J325" s="446">
        <f t="shared" si="21"/>
        <v>0</v>
      </c>
      <c r="K325" s="304" t="s">
        <v>1146</v>
      </c>
    </row>
    <row r="326" spans="1:12" ht="43.5" customHeight="1" x14ac:dyDescent="0.25">
      <c r="A326" s="317" t="s">
        <v>369</v>
      </c>
      <c r="B326" s="1040" t="s">
        <v>466</v>
      </c>
      <c r="C326" s="1040"/>
      <c r="D326" s="1040"/>
      <c r="E326" s="1026">
        <v>1</v>
      </c>
      <c r="F326" s="1027"/>
      <c r="G326" s="317" t="s">
        <v>299</v>
      </c>
      <c r="H326" s="317">
        <v>1</v>
      </c>
      <c r="I326" s="161">
        <v>15000</v>
      </c>
      <c r="J326" s="446">
        <f t="shared" ref="J326:J327" si="22">H326*I326</f>
        <v>15000</v>
      </c>
      <c r="K326" s="304" t="s">
        <v>677</v>
      </c>
    </row>
    <row r="327" spans="1:12" ht="28.5" customHeight="1" x14ac:dyDescent="0.25">
      <c r="A327" s="317" t="s">
        <v>632</v>
      </c>
      <c r="B327" s="1040" t="s">
        <v>468</v>
      </c>
      <c r="C327" s="1040"/>
      <c r="D327" s="1040"/>
      <c r="E327" s="1026">
        <v>1</v>
      </c>
      <c r="F327" s="1027"/>
      <c r="G327" s="317" t="s">
        <v>299</v>
      </c>
      <c r="H327" s="159">
        <v>1</v>
      </c>
      <c r="I327" s="161">
        <v>7000</v>
      </c>
      <c r="J327" s="446">
        <f t="shared" si="22"/>
        <v>7000</v>
      </c>
      <c r="K327" s="304" t="s">
        <v>677</v>
      </c>
    </row>
    <row r="328" spans="1:12" ht="29.25" hidden="1" customHeight="1" x14ac:dyDescent="0.25">
      <c r="A328" s="317" t="s">
        <v>1097</v>
      </c>
      <c r="B328" s="1017" t="s">
        <v>585</v>
      </c>
      <c r="C328" s="1018"/>
      <c r="D328" s="1019"/>
      <c r="E328" s="1026"/>
      <c r="F328" s="1027"/>
      <c r="G328" s="317"/>
      <c r="H328" s="317"/>
      <c r="I328" s="161">
        <v>0</v>
      </c>
      <c r="J328" s="446">
        <f>I328</f>
        <v>0</v>
      </c>
      <c r="K328" s="304" t="s">
        <v>1165</v>
      </c>
    </row>
    <row r="329" spans="1:12" ht="47.25" customHeight="1" x14ac:dyDescent="0.25">
      <c r="A329" s="317" t="s">
        <v>633</v>
      </c>
      <c r="B329" s="1040" t="s">
        <v>467</v>
      </c>
      <c r="C329" s="1040"/>
      <c r="D329" s="1040"/>
      <c r="E329" s="1026">
        <v>1</v>
      </c>
      <c r="F329" s="1027"/>
      <c r="G329" s="317" t="s">
        <v>299</v>
      </c>
      <c r="H329" s="317">
        <v>1</v>
      </c>
      <c r="I329" s="161">
        <f>5000+790.37-500</f>
        <v>5290.37</v>
      </c>
      <c r="J329" s="446">
        <f>I329</f>
        <v>5290.37</v>
      </c>
      <c r="K329" s="304" t="s">
        <v>677</v>
      </c>
    </row>
    <row r="330" spans="1:12" ht="47.25" customHeight="1" x14ac:dyDescent="0.25">
      <c r="A330" s="317" t="s">
        <v>634</v>
      </c>
      <c r="B330" s="1017" t="s">
        <v>728</v>
      </c>
      <c r="C330" s="1018"/>
      <c r="D330" s="1019"/>
      <c r="E330" s="1026">
        <v>1</v>
      </c>
      <c r="F330" s="1027"/>
      <c r="G330" s="317" t="s">
        <v>299</v>
      </c>
      <c r="H330" s="317">
        <v>7</v>
      </c>
      <c r="I330" s="161">
        <v>1600</v>
      </c>
      <c r="J330" s="446">
        <f>H330*I330</f>
        <v>11200</v>
      </c>
      <c r="K330" s="304" t="s">
        <v>1129</v>
      </c>
    </row>
    <row r="331" spans="1:12" ht="51" hidden="1" customHeight="1" x14ac:dyDescent="0.25">
      <c r="A331" s="317" t="s">
        <v>689</v>
      </c>
      <c r="B331" s="1017" t="s">
        <v>656</v>
      </c>
      <c r="C331" s="1018"/>
      <c r="D331" s="1019"/>
      <c r="E331" s="1026">
        <v>1</v>
      </c>
      <c r="F331" s="1027"/>
      <c r="G331" s="317" t="s">
        <v>299</v>
      </c>
      <c r="H331" s="317">
        <v>1</v>
      </c>
      <c r="I331" s="161">
        <v>0</v>
      </c>
      <c r="J331" s="446">
        <f>H331*I331</f>
        <v>0</v>
      </c>
      <c r="K331" s="304" t="s">
        <v>659</v>
      </c>
    </row>
    <row r="332" spans="1:12" ht="35.25" hidden="1" customHeight="1" x14ac:dyDescent="0.25">
      <c r="A332" s="317" t="s">
        <v>696</v>
      </c>
      <c r="B332" s="1017" t="s">
        <v>642</v>
      </c>
      <c r="C332" s="1018"/>
      <c r="D332" s="1019"/>
      <c r="E332" s="1026">
        <v>1</v>
      </c>
      <c r="F332" s="1027"/>
      <c r="G332" s="317" t="s">
        <v>299</v>
      </c>
      <c r="H332" s="317">
        <v>1</v>
      </c>
      <c r="I332" s="161">
        <v>0</v>
      </c>
      <c r="J332" s="446">
        <f>H332*I332</f>
        <v>0</v>
      </c>
      <c r="K332" s="304" t="s">
        <v>658</v>
      </c>
    </row>
    <row r="333" spans="1:12" ht="30" customHeight="1" x14ac:dyDescent="0.25">
      <c r="A333" s="383" t="s">
        <v>75</v>
      </c>
      <c r="B333" s="1041" t="s">
        <v>347</v>
      </c>
      <c r="C333" s="1042"/>
      <c r="D333" s="1043"/>
      <c r="E333" s="1038" t="s">
        <v>74</v>
      </c>
      <c r="F333" s="1039"/>
      <c r="G333" s="336" t="s">
        <v>74</v>
      </c>
      <c r="H333" s="336" t="s">
        <v>74</v>
      </c>
      <c r="I333" s="385" t="s">
        <v>74</v>
      </c>
      <c r="J333" s="448">
        <f>J334+J335+J336</f>
        <v>4997100</v>
      </c>
      <c r="L333" s="282">
        <f>J333+J337+950000</f>
        <v>29972200</v>
      </c>
    </row>
    <row r="334" spans="1:12" ht="84.75" customHeight="1" x14ac:dyDescent="0.25">
      <c r="A334" s="317" t="s">
        <v>34</v>
      </c>
      <c r="B334" s="1040" t="s">
        <v>470</v>
      </c>
      <c r="C334" s="1040"/>
      <c r="D334" s="1040"/>
      <c r="E334" s="1026">
        <v>2</v>
      </c>
      <c r="F334" s="1027"/>
      <c r="G334" s="317" t="s">
        <v>149</v>
      </c>
      <c r="H334" s="534" t="s">
        <v>1157</v>
      </c>
      <c r="I334" s="386" t="s">
        <v>1159</v>
      </c>
      <c r="J334" s="446">
        <f>4997100-549300</f>
        <v>4447800</v>
      </c>
    </row>
    <row r="335" spans="1:12" ht="167.25" customHeight="1" x14ac:dyDescent="0.25">
      <c r="A335" s="317" t="s">
        <v>36</v>
      </c>
      <c r="B335" s="1040" t="s">
        <v>541</v>
      </c>
      <c r="C335" s="1040"/>
      <c r="D335" s="1040"/>
      <c r="E335" s="1026">
        <v>2</v>
      </c>
      <c r="F335" s="1027"/>
      <c r="G335" s="317" t="s">
        <v>149</v>
      </c>
      <c r="H335" s="534" t="s">
        <v>1181</v>
      </c>
      <c r="I335" s="386" t="s">
        <v>1182</v>
      </c>
      <c r="J335" s="446">
        <v>549300</v>
      </c>
      <c r="K335" s="296">
        <f>J335+J339+J340</f>
        <v>5990500</v>
      </c>
    </row>
    <row r="336" spans="1:12" ht="0.75" customHeight="1" x14ac:dyDescent="0.25">
      <c r="A336" s="317"/>
      <c r="B336" s="1040"/>
      <c r="C336" s="1040"/>
      <c r="D336" s="1040"/>
      <c r="E336" s="1026"/>
      <c r="F336" s="1027"/>
      <c r="G336" s="317"/>
      <c r="H336" s="317"/>
      <c r="I336" s="161"/>
      <c r="J336" s="446"/>
    </row>
    <row r="337" spans="1:14" ht="30" customHeight="1" x14ac:dyDescent="0.25">
      <c r="A337" s="383" t="s">
        <v>77</v>
      </c>
      <c r="B337" s="1041" t="s">
        <v>620</v>
      </c>
      <c r="C337" s="1042"/>
      <c r="D337" s="1043"/>
      <c r="E337" s="1038" t="s">
        <v>74</v>
      </c>
      <c r="F337" s="1039"/>
      <c r="G337" s="336" t="s">
        <v>74</v>
      </c>
      <c r="H337" s="336" t="s">
        <v>74</v>
      </c>
      <c r="I337" s="385" t="s">
        <v>74</v>
      </c>
      <c r="J337" s="448">
        <f>J338+J339+J340</f>
        <v>24025100</v>
      </c>
    </row>
    <row r="338" spans="1:14" ht="55.5" customHeight="1" x14ac:dyDescent="0.25">
      <c r="A338" s="317" t="s">
        <v>374</v>
      </c>
      <c r="B338" s="1040" t="s">
        <v>471</v>
      </c>
      <c r="C338" s="1040"/>
      <c r="D338" s="1040"/>
      <c r="E338" s="1026">
        <v>2</v>
      </c>
      <c r="F338" s="1027"/>
      <c r="G338" s="384" t="s">
        <v>149</v>
      </c>
      <c r="H338" s="534" t="s">
        <v>1158</v>
      </c>
      <c r="I338" s="386" t="s">
        <v>1163</v>
      </c>
      <c r="J338" s="446">
        <f>19246300-I174</f>
        <v>18583900</v>
      </c>
      <c r="K338" s="296">
        <f>J338+J339+I174</f>
        <v>22511100</v>
      </c>
    </row>
    <row r="339" spans="1:14" ht="136.5" customHeight="1" x14ac:dyDescent="0.25">
      <c r="A339" s="317" t="s">
        <v>503</v>
      </c>
      <c r="B339" s="1040" t="s">
        <v>621</v>
      </c>
      <c r="C339" s="1040"/>
      <c r="D339" s="1040"/>
      <c r="E339" s="1026">
        <v>2</v>
      </c>
      <c r="F339" s="1027"/>
      <c r="G339" s="384" t="s">
        <v>149</v>
      </c>
      <c r="H339" s="614" t="s">
        <v>1183</v>
      </c>
      <c r="I339" s="386" t="s">
        <v>1185</v>
      </c>
      <c r="J339" s="446">
        <f>135*150*90.47+(70*150*135.16)+13602.5</f>
        <v>3264800</v>
      </c>
    </row>
    <row r="340" spans="1:14" ht="150.75" customHeight="1" x14ac:dyDescent="0.25">
      <c r="A340" s="317" t="s">
        <v>619</v>
      </c>
      <c r="B340" s="1040" t="s">
        <v>622</v>
      </c>
      <c r="C340" s="1040"/>
      <c r="D340" s="1040"/>
      <c r="E340" s="1026">
        <v>2</v>
      </c>
      <c r="F340" s="1027"/>
      <c r="G340" s="384" t="s">
        <v>149</v>
      </c>
      <c r="H340" s="614" t="s">
        <v>1184</v>
      </c>
      <c r="I340" s="386" t="s">
        <v>1186</v>
      </c>
      <c r="J340" s="446">
        <f>136*150*60.31+(70*150*90.1)+26</f>
        <v>2176400</v>
      </c>
      <c r="K340" s="296">
        <f>J340+J339+J335</f>
        <v>5990500</v>
      </c>
      <c r="L340" s="323"/>
      <c r="N340" s="282"/>
    </row>
    <row r="341" spans="1:14" ht="30" customHeight="1" x14ac:dyDescent="0.25">
      <c r="A341" s="383" t="s">
        <v>86</v>
      </c>
      <c r="B341" s="1041" t="s">
        <v>349</v>
      </c>
      <c r="C341" s="1042"/>
      <c r="D341" s="1043"/>
      <c r="E341" s="1038" t="s">
        <v>74</v>
      </c>
      <c r="F341" s="1039"/>
      <c r="G341" s="336" t="s">
        <v>74</v>
      </c>
      <c r="H341" s="336" t="s">
        <v>74</v>
      </c>
      <c r="I341" s="416" t="s">
        <v>74</v>
      </c>
      <c r="J341" s="448">
        <f>J342+J343+J345+J344</f>
        <v>0</v>
      </c>
    </row>
    <row r="342" spans="1:14" ht="30" customHeight="1" x14ac:dyDescent="0.25">
      <c r="A342" s="429" t="s">
        <v>473</v>
      </c>
      <c r="B342" s="1017" t="s">
        <v>472</v>
      </c>
      <c r="C342" s="1018"/>
      <c r="D342" s="1019"/>
      <c r="E342" s="1034">
        <v>1</v>
      </c>
      <c r="F342" s="1035"/>
      <c r="G342" s="432" t="s">
        <v>149</v>
      </c>
      <c r="H342" s="432">
        <v>0</v>
      </c>
      <c r="I342" s="436">
        <v>0</v>
      </c>
      <c r="J342" s="449">
        <v>0</v>
      </c>
    </row>
    <row r="343" spans="1:14" ht="30" hidden="1" customHeight="1" x14ac:dyDescent="0.25">
      <c r="A343" s="429" t="s">
        <v>474</v>
      </c>
      <c r="B343" s="1017" t="s">
        <v>477</v>
      </c>
      <c r="C343" s="1018"/>
      <c r="D343" s="1019"/>
      <c r="E343" s="1034">
        <v>1</v>
      </c>
      <c r="F343" s="1035"/>
      <c r="G343" s="432" t="s">
        <v>299</v>
      </c>
      <c r="H343" s="432">
        <v>0</v>
      </c>
      <c r="I343" s="436">
        <v>0</v>
      </c>
      <c r="J343" s="446">
        <v>0</v>
      </c>
    </row>
    <row r="344" spans="1:14" ht="36.75" hidden="1" customHeight="1" x14ac:dyDescent="0.25">
      <c r="A344" s="429" t="s">
        <v>602</v>
      </c>
      <c r="B344" s="1017" t="s">
        <v>603</v>
      </c>
      <c r="C344" s="1018"/>
      <c r="D344" s="1019"/>
      <c r="E344" s="1034">
        <v>1</v>
      </c>
      <c r="F344" s="1035"/>
      <c r="G344" s="432" t="s">
        <v>299</v>
      </c>
      <c r="H344" s="432">
        <v>0</v>
      </c>
      <c r="I344" s="436">
        <v>0</v>
      </c>
      <c r="J344" s="446">
        <v>0</v>
      </c>
    </row>
    <row r="345" spans="1:14" ht="36.75" hidden="1" customHeight="1" x14ac:dyDescent="0.25">
      <c r="A345" s="429" t="s">
        <v>580</v>
      </c>
      <c r="B345" s="1017" t="s">
        <v>581</v>
      </c>
      <c r="C345" s="1018"/>
      <c r="D345" s="1019"/>
      <c r="E345" s="1034">
        <v>1</v>
      </c>
      <c r="F345" s="1035"/>
      <c r="G345" s="432" t="s">
        <v>299</v>
      </c>
      <c r="H345" s="432">
        <v>0</v>
      </c>
      <c r="I345" s="436">
        <v>0</v>
      </c>
      <c r="J345" s="446">
        <v>0</v>
      </c>
    </row>
    <row r="346" spans="1:14" ht="59.25" customHeight="1" x14ac:dyDescent="0.25">
      <c r="A346" s="431" t="s">
        <v>87</v>
      </c>
      <c r="B346" s="1041" t="s">
        <v>475</v>
      </c>
      <c r="C346" s="1042"/>
      <c r="D346" s="1043"/>
      <c r="E346" s="1038" t="s">
        <v>74</v>
      </c>
      <c r="F346" s="1039"/>
      <c r="G346" s="336" t="s">
        <v>74</v>
      </c>
      <c r="H346" s="336" t="s">
        <v>74</v>
      </c>
      <c r="I346" s="416" t="s">
        <v>74</v>
      </c>
      <c r="J346" s="450">
        <f>J347</f>
        <v>96860</v>
      </c>
    </row>
    <row r="347" spans="1:14" ht="30" customHeight="1" x14ac:dyDescent="0.25">
      <c r="A347" s="429" t="s">
        <v>476</v>
      </c>
      <c r="B347" s="1017" t="s">
        <v>613</v>
      </c>
      <c r="C347" s="1018"/>
      <c r="D347" s="1019"/>
      <c r="E347" s="1034">
        <v>1</v>
      </c>
      <c r="F347" s="1035"/>
      <c r="G347" s="432" t="s">
        <v>299</v>
      </c>
      <c r="H347" s="432">
        <v>1</v>
      </c>
      <c r="I347" s="436">
        <v>0</v>
      </c>
      <c r="J347" s="449">
        <v>96860</v>
      </c>
    </row>
    <row r="348" spans="1:14" ht="54.75" hidden="1" customHeight="1" x14ac:dyDescent="0.25">
      <c r="A348" s="431" t="s">
        <v>97</v>
      </c>
      <c r="B348" s="1041" t="s">
        <v>479</v>
      </c>
      <c r="C348" s="1042"/>
      <c r="D348" s="1043"/>
      <c r="E348" s="1034" t="s">
        <v>74</v>
      </c>
      <c r="F348" s="1035"/>
      <c r="G348" s="432" t="s">
        <v>74</v>
      </c>
      <c r="H348" s="432" t="s">
        <v>74</v>
      </c>
      <c r="I348" s="436" t="s">
        <v>74</v>
      </c>
      <c r="J348" s="449">
        <f>J349+J350+J351+J352</f>
        <v>0</v>
      </c>
    </row>
    <row r="349" spans="1:14" ht="30" hidden="1" customHeight="1" x14ac:dyDescent="0.25">
      <c r="A349" s="429" t="s">
        <v>480</v>
      </c>
      <c r="B349" s="1099" t="s">
        <v>484</v>
      </c>
      <c r="C349" s="1100"/>
      <c r="D349" s="1101"/>
      <c r="E349" s="1034">
        <v>2</v>
      </c>
      <c r="F349" s="1035"/>
      <c r="G349" s="432" t="s">
        <v>299</v>
      </c>
      <c r="H349" s="432">
        <v>2</v>
      </c>
      <c r="I349" s="436"/>
      <c r="J349" s="446"/>
    </row>
    <row r="350" spans="1:14" ht="30" hidden="1" customHeight="1" x14ac:dyDescent="0.25">
      <c r="A350" s="429" t="s">
        <v>481</v>
      </c>
      <c r="B350" s="1099" t="s">
        <v>485</v>
      </c>
      <c r="C350" s="1100"/>
      <c r="D350" s="1101"/>
      <c r="E350" s="1034">
        <v>2</v>
      </c>
      <c r="F350" s="1035"/>
      <c r="G350" s="432" t="s">
        <v>299</v>
      </c>
      <c r="H350" s="432">
        <v>2</v>
      </c>
      <c r="I350" s="436"/>
      <c r="J350" s="446"/>
    </row>
    <row r="351" spans="1:14" ht="30" hidden="1" customHeight="1" x14ac:dyDescent="0.25">
      <c r="A351" s="429" t="s">
        <v>482</v>
      </c>
      <c r="B351" s="1099" t="s">
        <v>486</v>
      </c>
      <c r="C351" s="1100"/>
      <c r="D351" s="1101"/>
      <c r="E351" s="1034">
        <v>2</v>
      </c>
      <c r="F351" s="1035"/>
      <c r="G351" s="432" t="s">
        <v>299</v>
      </c>
      <c r="H351" s="432">
        <v>4</v>
      </c>
      <c r="I351" s="436"/>
      <c r="J351" s="446"/>
    </row>
    <row r="352" spans="1:14" ht="36" hidden="1" customHeight="1" x14ac:dyDescent="0.25">
      <c r="A352" s="429"/>
      <c r="B352" s="1257"/>
      <c r="C352" s="1257"/>
      <c r="D352" s="1257"/>
      <c r="E352" s="1026"/>
      <c r="F352" s="1027"/>
      <c r="G352" s="429"/>
      <c r="H352" s="429"/>
      <c r="I352" s="437"/>
      <c r="J352" s="446"/>
    </row>
    <row r="353" spans="1:11" ht="27.75" customHeight="1" x14ac:dyDescent="0.25">
      <c r="A353" s="293"/>
      <c r="B353" s="1283" t="s">
        <v>325</v>
      </c>
      <c r="C353" s="1283"/>
      <c r="D353" s="1283"/>
      <c r="E353" s="1268" t="s">
        <v>14</v>
      </c>
      <c r="F353" s="1269"/>
      <c r="G353" s="1140">
        <f>J309+J333+J337+J341+J346+J348</f>
        <v>32072060</v>
      </c>
      <c r="H353" s="1141"/>
      <c r="I353" s="1141"/>
      <c r="J353" s="1141"/>
    </row>
    <row r="354" spans="1:11" ht="30" hidden="1" customHeight="1" x14ac:dyDescent="0.25">
      <c r="A354" s="1074" t="s">
        <v>375</v>
      </c>
      <c r="B354" s="1074"/>
      <c r="C354" s="1074"/>
      <c r="D354" s="1074"/>
      <c r="E354" s="1074"/>
      <c r="F354" s="1074"/>
      <c r="G354" s="1074"/>
      <c r="H354" s="1074"/>
      <c r="I354" s="1074"/>
      <c r="J354" s="1074"/>
    </row>
    <row r="355" spans="1:11" ht="30" hidden="1" customHeight="1" x14ac:dyDescent="0.25">
      <c r="A355" s="427" t="s">
        <v>1</v>
      </c>
      <c r="B355" s="1015" t="s">
        <v>44</v>
      </c>
      <c r="C355" s="1015"/>
      <c r="D355" s="1015"/>
      <c r="E355" s="1015" t="s">
        <v>58</v>
      </c>
      <c r="F355" s="1015"/>
      <c r="G355" s="1024" t="s">
        <v>66</v>
      </c>
      <c r="H355" s="1025"/>
      <c r="I355" s="1015" t="s">
        <v>60</v>
      </c>
      <c r="J355" s="1015"/>
    </row>
    <row r="356" spans="1:11" ht="13.5" hidden="1" customHeight="1" x14ac:dyDescent="0.25">
      <c r="A356" s="427">
        <v>1</v>
      </c>
      <c r="B356" s="1015">
        <v>2</v>
      </c>
      <c r="C356" s="1015"/>
      <c r="D356" s="1015"/>
      <c r="E356" s="1015">
        <v>3</v>
      </c>
      <c r="F356" s="1015"/>
      <c r="G356" s="1015">
        <v>4</v>
      </c>
      <c r="H356" s="1015"/>
      <c r="I356" s="1015">
        <v>5</v>
      </c>
      <c r="J356" s="1015"/>
    </row>
    <row r="357" spans="1:11" ht="30" hidden="1" customHeight="1" x14ac:dyDescent="0.25">
      <c r="A357" s="429" t="s">
        <v>27</v>
      </c>
      <c r="B357" s="1017" t="s">
        <v>702</v>
      </c>
      <c r="C357" s="1018"/>
      <c r="D357" s="1019"/>
      <c r="E357" s="1013">
        <v>1</v>
      </c>
      <c r="F357" s="1013"/>
      <c r="G357" s="1089">
        <v>0</v>
      </c>
      <c r="H357" s="1089"/>
      <c r="I357" s="1089">
        <f>G357</f>
        <v>0</v>
      </c>
      <c r="J357" s="1089"/>
    </row>
    <row r="358" spans="1:11" ht="25.5" hidden="1" customHeight="1" x14ac:dyDescent="0.25">
      <c r="A358" s="431"/>
      <c r="B358" s="1014" t="s">
        <v>13</v>
      </c>
      <c r="C358" s="1014"/>
      <c r="D358" s="1014"/>
      <c r="E358" s="1053" t="s">
        <v>14</v>
      </c>
      <c r="F358" s="1053"/>
      <c r="G358" s="1053" t="s">
        <v>14</v>
      </c>
      <c r="H358" s="1053"/>
      <c r="I358" s="1267">
        <f>I357</f>
        <v>0</v>
      </c>
      <c r="J358" s="1267"/>
    </row>
    <row r="359" spans="1:11" ht="15.75" customHeight="1" x14ac:dyDescent="0.25">
      <c r="A359" s="1055" t="s">
        <v>376</v>
      </c>
      <c r="B359" s="1055"/>
      <c r="C359" s="1055"/>
      <c r="D359" s="1055"/>
      <c r="E359" s="1055"/>
      <c r="F359" s="1055"/>
      <c r="G359" s="1055"/>
      <c r="H359" s="1055"/>
      <c r="I359" s="1055"/>
      <c r="J359" s="1055"/>
    </row>
    <row r="360" spans="1:11" ht="17.25" customHeight="1" x14ac:dyDescent="0.25">
      <c r="A360" s="427" t="s">
        <v>1</v>
      </c>
      <c r="B360" s="1024" t="s">
        <v>15</v>
      </c>
      <c r="C360" s="1077"/>
      <c r="D360" s="1025"/>
      <c r="E360" s="1024" t="s">
        <v>58</v>
      </c>
      <c r="F360" s="1025"/>
      <c r="G360" s="1024" t="s">
        <v>66</v>
      </c>
      <c r="H360" s="1025"/>
      <c r="I360" s="1024" t="s">
        <v>260</v>
      </c>
      <c r="J360" s="1025"/>
    </row>
    <row r="361" spans="1:11" ht="16.5" customHeight="1" x14ac:dyDescent="0.25">
      <c r="A361" s="427">
        <v>1</v>
      </c>
      <c r="B361" s="1024">
        <v>2</v>
      </c>
      <c r="C361" s="1077"/>
      <c r="D361" s="1025"/>
      <c r="E361" s="1024">
        <v>3</v>
      </c>
      <c r="F361" s="1025"/>
      <c r="G361" s="1024">
        <v>4</v>
      </c>
      <c r="H361" s="1025"/>
      <c r="I361" s="1024">
        <v>5</v>
      </c>
      <c r="J361" s="1025"/>
    </row>
    <row r="362" spans="1:11" ht="30" customHeight="1" x14ac:dyDescent="0.25">
      <c r="A362" s="429" t="s">
        <v>70</v>
      </c>
      <c r="B362" s="1017" t="s">
        <v>170</v>
      </c>
      <c r="C362" s="1018"/>
      <c r="D362" s="1019"/>
      <c r="E362" s="1022"/>
      <c r="F362" s="1023"/>
      <c r="G362" s="1026"/>
      <c r="H362" s="1027"/>
      <c r="I362" s="1132">
        <f>I363</f>
        <v>0</v>
      </c>
      <c r="J362" s="1133"/>
    </row>
    <row r="363" spans="1:11" ht="17.25" customHeight="1" x14ac:dyDescent="0.25">
      <c r="A363" s="429" t="s">
        <v>27</v>
      </c>
      <c r="B363" s="1263" t="s">
        <v>327</v>
      </c>
      <c r="C363" s="1264"/>
      <c r="D363" s="1265"/>
      <c r="E363" s="434" t="s">
        <v>300</v>
      </c>
      <c r="F363" s="434">
        <v>4</v>
      </c>
      <c r="G363" s="1044" t="s">
        <v>256</v>
      </c>
      <c r="H363" s="1045"/>
      <c r="I363" s="1132"/>
      <c r="J363" s="1133"/>
    </row>
    <row r="364" spans="1:11" ht="30" customHeight="1" x14ac:dyDescent="0.25">
      <c r="A364" s="431" t="s">
        <v>70</v>
      </c>
      <c r="B364" s="1041" t="s">
        <v>182</v>
      </c>
      <c r="C364" s="1042"/>
      <c r="D364" s="1043"/>
      <c r="E364" s="387" t="s">
        <v>74</v>
      </c>
      <c r="F364" s="387" t="s">
        <v>74</v>
      </c>
      <c r="G364" s="1038" t="s">
        <v>74</v>
      </c>
      <c r="H364" s="1039"/>
      <c r="I364" s="1230">
        <f>I365+I368+I366+I370+I367+I369</f>
        <v>1200000</v>
      </c>
      <c r="J364" s="1301"/>
    </row>
    <row r="365" spans="1:11" s="276" customFormat="1" ht="58.5" customHeight="1" x14ac:dyDescent="0.25">
      <c r="A365" s="429" t="s">
        <v>27</v>
      </c>
      <c r="B365" s="1099" t="s">
        <v>556</v>
      </c>
      <c r="C365" s="1100"/>
      <c r="D365" s="1101"/>
      <c r="E365" s="434" t="s">
        <v>301</v>
      </c>
      <c r="F365" s="430">
        <v>812</v>
      </c>
      <c r="G365" s="1044" t="s">
        <v>74</v>
      </c>
      <c r="H365" s="1045"/>
      <c r="I365" s="1132">
        <v>0</v>
      </c>
      <c r="J365" s="1133"/>
      <c r="K365" s="292"/>
    </row>
    <row r="366" spans="1:11" s="276" customFormat="1" ht="30" customHeight="1" x14ac:dyDescent="0.25">
      <c r="A366" s="429" t="s">
        <v>29</v>
      </c>
      <c r="B366" s="1099" t="s">
        <v>557</v>
      </c>
      <c r="C366" s="1100"/>
      <c r="D366" s="1101"/>
      <c r="E366" s="434" t="s">
        <v>301</v>
      </c>
      <c r="F366" s="430">
        <v>812</v>
      </c>
      <c r="G366" s="1044" t="s">
        <v>74</v>
      </c>
      <c r="H366" s="1045"/>
      <c r="I366" s="1281">
        <v>0</v>
      </c>
      <c r="J366" s="1282"/>
      <c r="K366" s="292"/>
    </row>
    <row r="367" spans="1:11" s="276" customFormat="1" ht="30" customHeight="1" x14ac:dyDescent="0.25">
      <c r="A367" s="429" t="s">
        <v>31</v>
      </c>
      <c r="B367" s="1099" t="s">
        <v>554</v>
      </c>
      <c r="C367" s="1100"/>
      <c r="D367" s="1101"/>
      <c r="E367" s="434" t="s">
        <v>301</v>
      </c>
      <c r="F367" s="430">
        <v>812</v>
      </c>
      <c r="G367" s="1044" t="s">
        <v>74</v>
      </c>
      <c r="H367" s="1045"/>
      <c r="I367" s="1247">
        <v>0</v>
      </c>
      <c r="J367" s="1248"/>
      <c r="K367" s="292"/>
    </row>
    <row r="368" spans="1:11" s="276" customFormat="1" ht="30" customHeight="1" x14ac:dyDescent="0.25">
      <c r="A368" s="429" t="s">
        <v>264</v>
      </c>
      <c r="B368" s="1099" t="s">
        <v>558</v>
      </c>
      <c r="C368" s="1100"/>
      <c r="D368" s="1101"/>
      <c r="E368" s="434" t="s">
        <v>301</v>
      </c>
      <c r="F368" s="430">
        <v>812</v>
      </c>
      <c r="G368" s="1044" t="s">
        <v>74</v>
      </c>
      <c r="H368" s="1045"/>
      <c r="I368" s="1247">
        <v>1200000</v>
      </c>
      <c r="J368" s="1248"/>
      <c r="K368" s="292"/>
    </row>
    <row r="369" spans="1:11" s="276" customFormat="1" ht="30" customHeight="1" x14ac:dyDescent="0.25">
      <c r="A369" s="429" t="s">
        <v>265</v>
      </c>
      <c r="B369" s="1099" t="s">
        <v>555</v>
      </c>
      <c r="C369" s="1100"/>
      <c r="D369" s="1101"/>
      <c r="E369" s="434" t="s">
        <v>488</v>
      </c>
      <c r="F369" s="355">
        <v>35</v>
      </c>
      <c r="G369" s="1044" t="s">
        <v>74</v>
      </c>
      <c r="H369" s="1045"/>
      <c r="I369" s="1247">
        <v>0</v>
      </c>
      <c r="J369" s="1248"/>
      <c r="K369" s="292"/>
    </row>
    <row r="370" spans="1:11" ht="48.75" customHeight="1" x14ac:dyDescent="0.25">
      <c r="A370" s="429" t="s">
        <v>276</v>
      </c>
      <c r="B370" s="1099" t="s">
        <v>559</v>
      </c>
      <c r="C370" s="1100"/>
      <c r="D370" s="1101"/>
      <c r="E370" s="434" t="s">
        <v>488</v>
      </c>
      <c r="F370" s="355">
        <v>35</v>
      </c>
      <c r="G370" s="1044" t="s">
        <v>74</v>
      </c>
      <c r="H370" s="1045"/>
      <c r="I370" s="1281">
        <v>0</v>
      </c>
      <c r="J370" s="1282"/>
    </row>
    <row r="371" spans="1:11" s="378" customFormat="1" ht="30" hidden="1" customHeight="1" x14ac:dyDescent="0.25">
      <c r="A371" s="431" t="s">
        <v>70</v>
      </c>
      <c r="B371" s="1041" t="s">
        <v>170</v>
      </c>
      <c r="C371" s="1042"/>
      <c r="D371" s="1043"/>
      <c r="E371" s="1038"/>
      <c r="F371" s="1039"/>
      <c r="G371" s="1038"/>
      <c r="H371" s="1039"/>
      <c r="I371" s="1302">
        <f>SUM(I372:J391)</f>
        <v>0</v>
      </c>
      <c r="J371" s="1303"/>
      <c r="K371" s="394"/>
    </row>
    <row r="372" spans="1:11" ht="30" hidden="1" customHeight="1" x14ac:dyDescent="0.25">
      <c r="A372" s="429" t="s">
        <v>27</v>
      </c>
      <c r="B372" s="1040" t="s">
        <v>626</v>
      </c>
      <c r="C372" s="1040"/>
      <c r="D372" s="1040"/>
      <c r="E372" s="434">
        <v>1</v>
      </c>
      <c r="F372" s="430" t="s">
        <v>300</v>
      </c>
      <c r="G372" s="1196">
        <v>0</v>
      </c>
      <c r="H372" s="1196"/>
      <c r="I372" s="1240">
        <f>E372*G372</f>
        <v>0</v>
      </c>
      <c r="J372" s="1133"/>
    </row>
    <row r="373" spans="1:11" ht="30" hidden="1" customHeight="1" x14ac:dyDescent="0.25">
      <c r="A373" s="429" t="s">
        <v>29</v>
      </c>
      <c r="B373" s="1040" t="s">
        <v>627</v>
      </c>
      <c r="C373" s="1040"/>
      <c r="D373" s="1040"/>
      <c r="E373" s="434">
        <v>1</v>
      </c>
      <c r="F373" s="430" t="s">
        <v>300</v>
      </c>
      <c r="G373" s="1196">
        <v>0</v>
      </c>
      <c r="H373" s="1196"/>
      <c r="I373" s="1240">
        <f t="shared" ref="I373:I381" si="23">E373*G373</f>
        <v>0</v>
      </c>
      <c r="J373" s="1133"/>
    </row>
    <row r="374" spans="1:11" ht="30" hidden="1" customHeight="1" x14ac:dyDescent="0.25">
      <c r="A374" s="429" t="s">
        <v>31</v>
      </c>
      <c r="B374" s="1017" t="s">
        <v>628</v>
      </c>
      <c r="C374" s="1018"/>
      <c r="D374" s="1019"/>
      <c r="E374" s="434">
        <v>2</v>
      </c>
      <c r="F374" s="430" t="s">
        <v>300</v>
      </c>
      <c r="G374" s="1044">
        <v>0</v>
      </c>
      <c r="H374" s="1045"/>
      <c r="I374" s="1240">
        <f t="shared" si="23"/>
        <v>0</v>
      </c>
      <c r="J374" s="1133"/>
    </row>
    <row r="375" spans="1:11" ht="30" hidden="1" customHeight="1" x14ac:dyDescent="0.25">
      <c r="A375" s="429" t="s">
        <v>264</v>
      </c>
      <c r="B375" s="1017" t="s">
        <v>629</v>
      </c>
      <c r="C375" s="1018"/>
      <c r="D375" s="1019"/>
      <c r="E375" s="434">
        <v>1</v>
      </c>
      <c r="F375" s="430" t="s">
        <v>300</v>
      </c>
      <c r="G375" s="1044">
        <v>0</v>
      </c>
      <c r="H375" s="1045"/>
      <c r="I375" s="1240">
        <f t="shared" si="23"/>
        <v>0</v>
      </c>
      <c r="J375" s="1133"/>
    </row>
    <row r="376" spans="1:11" ht="115.5" hidden="1" customHeight="1" x14ac:dyDescent="0.25">
      <c r="A376" s="429" t="s">
        <v>265</v>
      </c>
      <c r="B376" s="1017" t="s">
        <v>704</v>
      </c>
      <c r="C376" s="1018"/>
      <c r="D376" s="1019"/>
      <c r="E376" s="434">
        <v>1</v>
      </c>
      <c r="F376" s="430" t="s">
        <v>300</v>
      </c>
      <c r="G376" s="1044">
        <v>0</v>
      </c>
      <c r="H376" s="1045"/>
      <c r="I376" s="1240">
        <f t="shared" si="23"/>
        <v>0</v>
      </c>
      <c r="J376" s="1133"/>
    </row>
    <row r="377" spans="1:11" ht="114.75" hidden="1" customHeight="1" x14ac:dyDescent="0.25">
      <c r="A377" s="429" t="s">
        <v>276</v>
      </c>
      <c r="B377" s="1017" t="s">
        <v>705</v>
      </c>
      <c r="C377" s="1018"/>
      <c r="D377" s="1019"/>
      <c r="E377" s="434">
        <v>1</v>
      </c>
      <c r="F377" s="430" t="s">
        <v>300</v>
      </c>
      <c r="G377" s="1044">
        <v>0</v>
      </c>
      <c r="H377" s="1045"/>
      <c r="I377" s="1240">
        <f t="shared" si="23"/>
        <v>0</v>
      </c>
      <c r="J377" s="1133"/>
    </row>
    <row r="378" spans="1:11" ht="30" hidden="1" customHeight="1" x14ac:dyDescent="0.25">
      <c r="A378" s="429" t="s">
        <v>277</v>
      </c>
      <c r="B378" s="1017" t="s">
        <v>706</v>
      </c>
      <c r="C378" s="1018"/>
      <c r="D378" s="1019"/>
      <c r="E378" s="434">
        <v>8</v>
      </c>
      <c r="F378" s="430" t="s">
        <v>300</v>
      </c>
      <c r="G378" s="1044">
        <v>0</v>
      </c>
      <c r="H378" s="1045"/>
      <c r="I378" s="1240">
        <f t="shared" si="23"/>
        <v>0</v>
      </c>
      <c r="J378" s="1133"/>
    </row>
    <row r="379" spans="1:11" ht="30" hidden="1" customHeight="1" x14ac:dyDescent="0.25">
      <c r="A379" s="429" t="s">
        <v>334</v>
      </c>
      <c r="B379" s="1017" t="s">
        <v>707</v>
      </c>
      <c r="C379" s="1018"/>
      <c r="D379" s="1019"/>
      <c r="E379" s="434">
        <v>2</v>
      </c>
      <c r="F379" s="430" t="s">
        <v>300</v>
      </c>
      <c r="G379" s="1044">
        <v>0</v>
      </c>
      <c r="H379" s="1045"/>
      <c r="I379" s="1240">
        <f t="shared" si="23"/>
        <v>0</v>
      </c>
      <c r="J379" s="1133"/>
    </row>
    <row r="380" spans="1:11" ht="30" hidden="1" customHeight="1" x14ac:dyDescent="0.25">
      <c r="A380" s="429" t="s">
        <v>348</v>
      </c>
      <c r="B380" s="1017" t="s">
        <v>708</v>
      </c>
      <c r="C380" s="1018"/>
      <c r="D380" s="1019"/>
      <c r="E380" s="434">
        <v>1</v>
      </c>
      <c r="F380" s="430" t="s">
        <v>300</v>
      </c>
      <c r="G380" s="1044">
        <v>0</v>
      </c>
      <c r="H380" s="1045"/>
      <c r="I380" s="1240">
        <f t="shared" si="23"/>
        <v>0</v>
      </c>
      <c r="J380" s="1133"/>
    </row>
    <row r="381" spans="1:11" ht="30" hidden="1" customHeight="1" x14ac:dyDescent="0.25">
      <c r="A381" s="429" t="s">
        <v>367</v>
      </c>
      <c r="B381" s="1017" t="s">
        <v>685</v>
      </c>
      <c r="C381" s="1018"/>
      <c r="D381" s="1019"/>
      <c r="E381" s="434">
        <v>6</v>
      </c>
      <c r="F381" s="430" t="s">
        <v>300</v>
      </c>
      <c r="G381" s="1044">
        <v>0</v>
      </c>
      <c r="H381" s="1045"/>
      <c r="I381" s="1240">
        <f t="shared" si="23"/>
        <v>0</v>
      </c>
      <c r="J381" s="1133"/>
    </row>
    <row r="382" spans="1:11" ht="30" hidden="1" customHeight="1" x14ac:dyDescent="0.25">
      <c r="A382" s="356" t="s">
        <v>368</v>
      </c>
      <c r="B382" s="1040" t="s">
        <v>686</v>
      </c>
      <c r="C382" s="1040"/>
      <c r="D382" s="1040"/>
      <c r="E382" s="434">
        <v>1</v>
      </c>
      <c r="F382" s="430" t="s">
        <v>300</v>
      </c>
      <c r="G382" s="1196">
        <v>0</v>
      </c>
      <c r="H382" s="1196"/>
      <c r="I382" s="1240">
        <f>G382</f>
        <v>0</v>
      </c>
      <c r="J382" s="1133"/>
    </row>
    <row r="383" spans="1:11" ht="30" hidden="1" customHeight="1" x14ac:dyDescent="0.25">
      <c r="A383" s="356"/>
      <c r="B383" s="1026"/>
      <c r="C383" s="1052"/>
      <c r="D383" s="1027"/>
      <c r="E383" s="1311"/>
      <c r="F383" s="1311"/>
      <c r="G383" s="1044"/>
      <c r="H383" s="1045"/>
      <c r="I383" s="1261"/>
      <c r="J383" s="1262"/>
    </row>
    <row r="384" spans="1:11" ht="30" hidden="1" customHeight="1" x14ac:dyDescent="0.25">
      <c r="A384" s="356" t="s">
        <v>369</v>
      </c>
      <c r="B384" s="1017" t="s">
        <v>1130</v>
      </c>
      <c r="C384" s="1018"/>
      <c r="D384" s="1019"/>
      <c r="E384" s="434">
        <v>95</v>
      </c>
      <c r="F384" s="434" t="s">
        <v>300</v>
      </c>
      <c r="G384" s="1044">
        <v>0</v>
      </c>
      <c r="H384" s="1045"/>
      <c r="I384" s="1261">
        <f>E384*G384</f>
        <v>0</v>
      </c>
      <c r="J384" s="1262"/>
    </row>
    <row r="385" spans="1:11" ht="30" hidden="1" customHeight="1" x14ac:dyDescent="0.25">
      <c r="A385" s="356" t="s">
        <v>632</v>
      </c>
      <c r="B385" s="1017" t="s">
        <v>1131</v>
      </c>
      <c r="C385" s="1018"/>
      <c r="D385" s="1019"/>
      <c r="E385" s="434">
        <v>1</v>
      </c>
      <c r="F385" s="434" t="s">
        <v>300</v>
      </c>
      <c r="G385" s="1044">
        <v>0</v>
      </c>
      <c r="H385" s="1045"/>
      <c r="I385" s="1261">
        <f>G385</f>
        <v>0</v>
      </c>
      <c r="J385" s="1262"/>
    </row>
    <row r="386" spans="1:11" ht="30" hidden="1" customHeight="1" x14ac:dyDescent="0.25">
      <c r="A386" s="356" t="s">
        <v>633</v>
      </c>
      <c r="B386" s="1017" t="s">
        <v>643</v>
      </c>
      <c r="C386" s="1018"/>
      <c r="D386" s="1019"/>
      <c r="E386" s="434">
        <v>7</v>
      </c>
      <c r="F386" s="434" t="s">
        <v>300</v>
      </c>
      <c r="G386" s="1044">
        <v>0</v>
      </c>
      <c r="H386" s="1045"/>
      <c r="I386" s="1261">
        <f>E386*G386</f>
        <v>0</v>
      </c>
      <c r="J386" s="1262"/>
    </row>
    <row r="387" spans="1:11" ht="30" hidden="1" customHeight="1" x14ac:dyDescent="0.25">
      <c r="A387" s="356" t="s">
        <v>634</v>
      </c>
      <c r="B387" s="1040" t="s">
        <v>644</v>
      </c>
      <c r="C387" s="1040"/>
      <c r="D387" s="1040"/>
      <c r="E387" s="434">
        <v>1</v>
      </c>
      <c r="F387" s="434" t="s">
        <v>300</v>
      </c>
      <c r="G387" s="1196">
        <v>0</v>
      </c>
      <c r="H387" s="1196"/>
      <c r="I387" s="1291">
        <f t="shared" ref="I387:I391" si="24">E387*G387</f>
        <v>0</v>
      </c>
      <c r="J387" s="1291"/>
    </row>
    <row r="388" spans="1:11" ht="30" hidden="1" customHeight="1" x14ac:dyDescent="0.25">
      <c r="A388" s="356" t="s">
        <v>641</v>
      </c>
      <c r="B388" s="1017" t="s">
        <v>645</v>
      </c>
      <c r="C388" s="1018"/>
      <c r="D388" s="1019"/>
      <c r="E388" s="434">
        <v>10</v>
      </c>
      <c r="F388" s="434" t="s">
        <v>300</v>
      </c>
      <c r="G388" s="1044">
        <v>0</v>
      </c>
      <c r="H388" s="1045"/>
      <c r="I388" s="1261">
        <f t="shared" si="24"/>
        <v>0</v>
      </c>
      <c r="J388" s="1262"/>
    </row>
    <row r="389" spans="1:11" ht="30" hidden="1" customHeight="1" x14ac:dyDescent="0.25">
      <c r="A389" s="356" t="s">
        <v>1097</v>
      </c>
      <c r="B389" s="1017" t="s">
        <v>703</v>
      </c>
      <c r="C389" s="1018"/>
      <c r="D389" s="1019"/>
      <c r="E389" s="434">
        <v>1</v>
      </c>
      <c r="F389" s="434" t="s">
        <v>300</v>
      </c>
      <c r="G389" s="1044">
        <v>0</v>
      </c>
      <c r="H389" s="1045"/>
      <c r="I389" s="1261">
        <f t="shared" si="24"/>
        <v>0</v>
      </c>
      <c r="J389" s="1262"/>
    </row>
    <row r="390" spans="1:11" ht="30" hidden="1" customHeight="1" x14ac:dyDescent="0.25">
      <c r="A390" s="356" t="s">
        <v>1132</v>
      </c>
      <c r="B390" s="1017" t="s">
        <v>647</v>
      </c>
      <c r="C390" s="1018"/>
      <c r="D390" s="1019"/>
      <c r="E390" s="434">
        <v>2</v>
      </c>
      <c r="F390" s="434" t="s">
        <v>300</v>
      </c>
      <c r="G390" s="1044">
        <v>0</v>
      </c>
      <c r="H390" s="1045"/>
      <c r="I390" s="1261">
        <f t="shared" si="24"/>
        <v>0</v>
      </c>
      <c r="J390" s="1262"/>
    </row>
    <row r="391" spans="1:11" ht="30" hidden="1" customHeight="1" x14ac:dyDescent="0.25">
      <c r="A391" s="356" t="s">
        <v>1133</v>
      </c>
      <c r="B391" s="1017" t="s">
        <v>648</v>
      </c>
      <c r="C391" s="1018"/>
      <c r="D391" s="1019"/>
      <c r="E391" s="434">
        <v>1</v>
      </c>
      <c r="F391" s="434" t="s">
        <v>300</v>
      </c>
      <c r="G391" s="1044">
        <v>0</v>
      </c>
      <c r="H391" s="1045"/>
      <c r="I391" s="1261">
        <f t="shared" si="24"/>
        <v>0</v>
      </c>
      <c r="J391" s="1262"/>
    </row>
    <row r="392" spans="1:11" ht="17.25" customHeight="1" x14ac:dyDescent="0.25">
      <c r="A392" s="429"/>
      <c r="B392" s="1014" t="s">
        <v>13</v>
      </c>
      <c r="C392" s="1014"/>
      <c r="D392" s="1014"/>
      <c r="E392" s="1304" t="s">
        <v>74</v>
      </c>
      <c r="F392" s="1305"/>
      <c r="G392" s="1053" t="s">
        <v>14</v>
      </c>
      <c r="H392" s="1053"/>
      <c r="I392" s="1266">
        <f>I364</f>
        <v>1200000</v>
      </c>
      <c r="J392" s="1266"/>
    </row>
    <row r="393" spans="1:11" ht="21.75" customHeight="1" x14ac:dyDescent="0.25">
      <c r="A393" s="1313" t="s">
        <v>377</v>
      </c>
      <c r="B393" s="1313"/>
      <c r="C393" s="1313"/>
      <c r="D393" s="1313"/>
      <c r="E393" s="1313"/>
      <c r="F393" s="1313"/>
      <c r="G393" s="1313"/>
      <c r="H393" s="1313"/>
      <c r="I393" s="1313"/>
      <c r="J393" s="1313"/>
    </row>
    <row r="394" spans="1:11" ht="21.75" customHeight="1" x14ac:dyDescent="0.25">
      <c r="A394" s="1055" t="s">
        <v>489</v>
      </c>
      <c r="B394" s="1055"/>
      <c r="C394" s="1055"/>
      <c r="D394" s="1055"/>
      <c r="E394" s="1055"/>
      <c r="F394" s="1055"/>
      <c r="G394" s="1055"/>
      <c r="H394" s="1055"/>
      <c r="I394" s="1055"/>
      <c r="J394" s="1055"/>
    </row>
    <row r="395" spans="1:11" ht="21.75" customHeight="1" x14ac:dyDescent="0.25">
      <c r="A395" s="427" t="s">
        <v>1</v>
      </c>
      <c r="B395" s="1015" t="s">
        <v>15</v>
      </c>
      <c r="C395" s="1015"/>
      <c r="D395" s="1015"/>
      <c r="E395" s="1015" t="s">
        <v>58</v>
      </c>
      <c r="F395" s="1015"/>
      <c r="G395" s="1015" t="s">
        <v>66</v>
      </c>
      <c r="H395" s="1015"/>
      <c r="I395" s="1015" t="s">
        <v>260</v>
      </c>
      <c r="J395" s="1015"/>
      <c r="K395" s="1021" t="s">
        <v>623</v>
      </c>
    </row>
    <row r="396" spans="1:11" ht="21.75" customHeight="1" x14ac:dyDescent="0.25">
      <c r="A396" s="427">
        <v>1</v>
      </c>
      <c r="B396" s="1015">
        <v>2</v>
      </c>
      <c r="C396" s="1015"/>
      <c r="D396" s="1015"/>
      <c r="E396" s="1015">
        <v>3</v>
      </c>
      <c r="F396" s="1015"/>
      <c r="G396" s="1015">
        <v>4</v>
      </c>
      <c r="H396" s="1015"/>
      <c r="I396" s="1015">
        <v>5</v>
      </c>
      <c r="J396" s="1015"/>
      <c r="K396" s="1021"/>
    </row>
    <row r="397" spans="1:11" ht="39.75" customHeight="1" x14ac:dyDescent="0.25">
      <c r="A397" s="431" t="s">
        <v>70</v>
      </c>
      <c r="B397" s="1041" t="s">
        <v>172</v>
      </c>
      <c r="C397" s="1042"/>
      <c r="D397" s="1043"/>
      <c r="E397" s="389"/>
      <c r="F397" s="389"/>
      <c r="G397" s="1031"/>
      <c r="H397" s="1033"/>
      <c r="I397" s="1292">
        <f>SUM(I398:J399)</f>
        <v>15000</v>
      </c>
      <c r="J397" s="1301"/>
      <c r="K397" s="1028" t="s">
        <v>1128</v>
      </c>
    </row>
    <row r="398" spans="1:11" ht="35.25" customHeight="1" x14ac:dyDescent="0.25">
      <c r="A398" s="429" t="s">
        <v>27</v>
      </c>
      <c r="B398" s="1245" t="s">
        <v>173</v>
      </c>
      <c r="C398" s="1245"/>
      <c r="D398" s="1245"/>
      <c r="E398" s="434" t="s">
        <v>301</v>
      </c>
      <c r="F398" s="430">
        <v>812</v>
      </c>
      <c r="G398" s="1196" t="s">
        <v>256</v>
      </c>
      <c r="H398" s="1196"/>
      <c r="I398" s="1240">
        <v>15000</v>
      </c>
      <c r="J398" s="1133"/>
      <c r="K398" s="1029"/>
    </row>
    <row r="399" spans="1:11" ht="21.75" hidden="1" customHeight="1" x14ac:dyDescent="0.25">
      <c r="A399" s="356" t="s">
        <v>27</v>
      </c>
      <c r="B399" s="1263"/>
      <c r="C399" s="1264"/>
      <c r="D399" s="1265"/>
      <c r="E399" s="434"/>
      <c r="F399" s="357"/>
      <c r="G399" s="1196"/>
      <c r="H399" s="1196"/>
      <c r="I399" s="1240"/>
      <c r="J399" s="1133"/>
      <c r="K399" s="1029"/>
    </row>
    <row r="400" spans="1:11" ht="21.75" customHeight="1" x14ac:dyDescent="0.25">
      <c r="A400" s="429"/>
      <c r="B400" s="1014" t="s">
        <v>13</v>
      </c>
      <c r="C400" s="1014"/>
      <c r="D400" s="1014"/>
      <c r="E400" s="1243" t="s">
        <v>74</v>
      </c>
      <c r="F400" s="1244"/>
      <c r="G400" s="1053" t="s">
        <v>14</v>
      </c>
      <c r="H400" s="1053"/>
      <c r="I400" s="1054">
        <f>I397</f>
        <v>15000</v>
      </c>
      <c r="J400" s="1071"/>
      <c r="K400" s="1030"/>
    </row>
    <row r="401" spans="1:12" x14ac:dyDescent="0.25">
      <c r="A401" s="1300" t="s">
        <v>490</v>
      </c>
      <c r="B401" s="1300"/>
      <c r="C401" s="1300"/>
      <c r="D401" s="1300"/>
      <c r="E401" s="1300"/>
      <c r="F401" s="1300"/>
      <c r="G401" s="1300"/>
      <c r="H401" s="1300"/>
      <c r="I401" s="1300"/>
      <c r="J401" s="1300"/>
    </row>
    <row r="402" spans="1:12" ht="15" customHeight="1" x14ac:dyDescent="0.25">
      <c r="A402" s="427" t="s">
        <v>1</v>
      </c>
      <c r="B402" s="1015" t="s">
        <v>15</v>
      </c>
      <c r="C402" s="1015"/>
      <c r="D402" s="1015"/>
      <c r="E402" s="1015" t="s">
        <v>58</v>
      </c>
      <c r="F402" s="1015"/>
      <c r="G402" s="1015" t="s">
        <v>66</v>
      </c>
      <c r="H402" s="1015"/>
      <c r="I402" s="1015" t="s">
        <v>260</v>
      </c>
      <c r="J402" s="1015"/>
    </row>
    <row r="403" spans="1:12" x14ac:dyDescent="0.25">
      <c r="A403" s="427">
        <v>1</v>
      </c>
      <c r="B403" s="1015">
        <v>2</v>
      </c>
      <c r="C403" s="1015"/>
      <c r="D403" s="1015"/>
      <c r="E403" s="1015">
        <v>3</v>
      </c>
      <c r="F403" s="1015"/>
      <c r="G403" s="1015">
        <v>4</v>
      </c>
      <c r="H403" s="1015"/>
      <c r="I403" s="1015">
        <v>5</v>
      </c>
      <c r="J403" s="1015"/>
    </row>
    <row r="404" spans="1:12" ht="30.75" hidden="1" customHeight="1" x14ac:dyDescent="0.25">
      <c r="A404" s="429" t="s">
        <v>70</v>
      </c>
      <c r="B404" s="1017" t="s">
        <v>172</v>
      </c>
      <c r="C404" s="1018"/>
      <c r="D404" s="1019"/>
      <c r="E404" s="434"/>
      <c r="F404" s="434"/>
      <c r="G404" s="1026"/>
      <c r="H404" s="1027"/>
      <c r="I404" s="1240">
        <f>SUM(I405:J406)</f>
        <v>0</v>
      </c>
      <c r="J404" s="1133"/>
      <c r="K404" s="306"/>
      <c r="L404" s="290"/>
    </row>
    <row r="405" spans="1:12" hidden="1" x14ac:dyDescent="0.25">
      <c r="A405" s="429" t="s">
        <v>27</v>
      </c>
      <c r="B405" s="1245" t="s">
        <v>173</v>
      </c>
      <c r="C405" s="1245"/>
      <c r="D405" s="1245"/>
      <c r="E405" s="434" t="s">
        <v>301</v>
      </c>
      <c r="F405" s="430"/>
      <c r="G405" s="1196" t="s">
        <v>256</v>
      </c>
      <c r="H405" s="1196"/>
      <c r="I405" s="1240"/>
      <c r="J405" s="1133"/>
      <c r="K405" s="306"/>
      <c r="L405" s="290"/>
    </row>
    <row r="406" spans="1:12" hidden="1" x14ac:dyDescent="0.25">
      <c r="A406" s="356" t="s">
        <v>27</v>
      </c>
      <c r="B406" s="1263"/>
      <c r="C406" s="1264"/>
      <c r="D406" s="1265"/>
      <c r="E406" s="434"/>
      <c r="F406" s="357"/>
      <c r="G406" s="1196"/>
      <c r="H406" s="1196"/>
      <c r="I406" s="1240"/>
      <c r="J406" s="1133"/>
    </row>
    <row r="407" spans="1:12" s="363" customFormat="1" ht="15" customHeight="1" x14ac:dyDescent="0.25">
      <c r="A407" s="429"/>
      <c r="B407" s="1014" t="s">
        <v>13</v>
      </c>
      <c r="C407" s="1014"/>
      <c r="D407" s="1014"/>
      <c r="E407" s="1243" t="s">
        <v>74</v>
      </c>
      <c r="F407" s="1244"/>
      <c r="G407" s="1053" t="s">
        <v>14</v>
      </c>
      <c r="H407" s="1053"/>
      <c r="I407" s="1016">
        <f>I404</f>
        <v>0</v>
      </c>
      <c r="J407" s="1053"/>
      <c r="K407" s="362"/>
    </row>
    <row r="408" spans="1:12" s="363" customFormat="1" ht="15" customHeight="1" x14ac:dyDescent="0.25">
      <c r="A408" s="1055" t="s">
        <v>491</v>
      </c>
      <c r="B408" s="1055"/>
      <c r="C408" s="1055"/>
      <c r="D408" s="1055"/>
      <c r="E408" s="1055"/>
      <c r="F408" s="1055"/>
      <c r="G408" s="1055"/>
      <c r="H408" s="1055"/>
      <c r="I408" s="1055"/>
      <c r="J408" s="1055"/>
      <c r="K408" s="362"/>
    </row>
    <row r="409" spans="1:12" s="363" customFormat="1" ht="15" customHeight="1" x14ac:dyDescent="0.2">
      <c r="A409" s="427" t="s">
        <v>1</v>
      </c>
      <c r="B409" s="1015" t="s">
        <v>15</v>
      </c>
      <c r="C409" s="1015"/>
      <c r="D409" s="1015"/>
      <c r="E409" s="1015" t="s">
        <v>58</v>
      </c>
      <c r="F409" s="1015"/>
      <c r="G409" s="1015" t="s">
        <v>66</v>
      </c>
      <c r="H409" s="1015"/>
      <c r="I409" s="1015" t="s">
        <v>260</v>
      </c>
      <c r="J409" s="1015"/>
      <c r="K409" s="1298" t="s">
        <v>654</v>
      </c>
    </row>
    <row r="410" spans="1:12" s="363" customFormat="1" ht="15" customHeight="1" x14ac:dyDescent="0.2">
      <c r="A410" s="427">
        <v>1</v>
      </c>
      <c r="B410" s="1015">
        <v>2</v>
      </c>
      <c r="C410" s="1015"/>
      <c r="D410" s="1015"/>
      <c r="E410" s="1015">
        <v>3</v>
      </c>
      <c r="F410" s="1015"/>
      <c r="G410" s="1015">
        <v>4</v>
      </c>
      <c r="H410" s="1015"/>
      <c r="I410" s="1015">
        <v>5</v>
      </c>
      <c r="J410" s="1015"/>
      <c r="K410" s="1298"/>
    </row>
    <row r="411" spans="1:12" s="363" customFormat="1" ht="39.75" customHeight="1" x14ac:dyDescent="0.25">
      <c r="A411" s="429" t="s">
        <v>70</v>
      </c>
      <c r="B411" s="1017" t="s">
        <v>172</v>
      </c>
      <c r="C411" s="1018"/>
      <c r="D411" s="1019"/>
      <c r="E411" s="434"/>
      <c r="F411" s="434"/>
      <c r="G411" s="1026"/>
      <c r="H411" s="1027"/>
      <c r="I411" s="1240">
        <f>SUM(I412:J413)</f>
        <v>10000</v>
      </c>
      <c r="J411" s="1133"/>
      <c r="K411" s="1314" t="s">
        <v>1089</v>
      </c>
    </row>
    <row r="412" spans="1:12" s="363" customFormat="1" ht="51" customHeight="1" x14ac:dyDescent="0.25">
      <c r="A412" s="429" t="s">
        <v>27</v>
      </c>
      <c r="B412" s="1245" t="s">
        <v>493</v>
      </c>
      <c r="C412" s="1245"/>
      <c r="D412" s="1245"/>
      <c r="E412" s="586" t="s">
        <v>1164</v>
      </c>
      <c r="F412" s="430">
        <v>3</v>
      </c>
      <c r="G412" s="1196" t="s">
        <v>256</v>
      </c>
      <c r="H412" s="1196"/>
      <c r="I412" s="1240">
        <v>10000</v>
      </c>
      <c r="J412" s="1133"/>
      <c r="K412" s="1315"/>
    </row>
    <row r="413" spans="1:12" s="364" customFormat="1" ht="15" hidden="1" customHeight="1" x14ac:dyDescent="0.25">
      <c r="A413" s="356" t="s">
        <v>27</v>
      </c>
      <c r="B413" s="1263"/>
      <c r="C413" s="1264"/>
      <c r="D413" s="1265"/>
      <c r="E413" s="434"/>
      <c r="F413" s="357"/>
      <c r="G413" s="1196"/>
      <c r="H413" s="1196"/>
      <c r="I413" s="1240"/>
      <c r="J413" s="1133"/>
      <c r="K413" s="1315"/>
    </row>
    <row r="414" spans="1:12" s="363" customFormat="1" ht="18" customHeight="1" x14ac:dyDescent="0.25">
      <c r="A414" s="429"/>
      <c r="B414" s="1014" t="s">
        <v>13</v>
      </c>
      <c r="C414" s="1014"/>
      <c r="D414" s="1014"/>
      <c r="E414" s="1243" t="s">
        <v>74</v>
      </c>
      <c r="F414" s="1244"/>
      <c r="G414" s="1053" t="s">
        <v>14</v>
      </c>
      <c r="H414" s="1053"/>
      <c r="I414" s="1054">
        <f>I411</f>
        <v>10000</v>
      </c>
      <c r="J414" s="1071"/>
      <c r="K414" s="1316"/>
    </row>
    <row r="415" spans="1:12" s="364" customFormat="1" ht="15" customHeight="1" x14ac:dyDescent="0.25">
      <c r="A415" s="1300" t="s">
        <v>492</v>
      </c>
      <c r="B415" s="1300"/>
      <c r="C415" s="1300"/>
      <c r="D415" s="1300"/>
      <c r="E415" s="1300"/>
      <c r="F415" s="1300"/>
      <c r="G415" s="1300"/>
      <c r="H415" s="1300"/>
      <c r="I415" s="1300"/>
      <c r="J415" s="1300"/>
      <c r="K415" s="362"/>
    </row>
    <row r="416" spans="1:12" s="364" customFormat="1" ht="15" customHeight="1" x14ac:dyDescent="0.25">
      <c r="A416" s="427" t="s">
        <v>1</v>
      </c>
      <c r="B416" s="1015" t="s">
        <v>15</v>
      </c>
      <c r="C416" s="1015"/>
      <c r="D416" s="1015"/>
      <c r="E416" s="1015" t="s">
        <v>58</v>
      </c>
      <c r="F416" s="1015"/>
      <c r="G416" s="1015" t="s">
        <v>66</v>
      </c>
      <c r="H416" s="1015"/>
      <c r="I416" s="1015" t="s">
        <v>260</v>
      </c>
      <c r="J416" s="1015"/>
      <c r="K416" s="1310" t="s">
        <v>653</v>
      </c>
    </row>
    <row r="417" spans="1:11" s="364" customFormat="1" ht="15" customHeight="1" x14ac:dyDescent="0.25">
      <c r="A417" s="427">
        <v>1</v>
      </c>
      <c r="B417" s="1015">
        <v>2</v>
      </c>
      <c r="C417" s="1015"/>
      <c r="D417" s="1015"/>
      <c r="E417" s="1015">
        <v>3</v>
      </c>
      <c r="F417" s="1015"/>
      <c r="G417" s="1015">
        <v>4</v>
      </c>
      <c r="H417" s="1015"/>
      <c r="I417" s="1015">
        <v>5</v>
      </c>
      <c r="J417" s="1015"/>
      <c r="K417" s="1310"/>
    </row>
    <row r="418" spans="1:11" s="364" customFormat="1" ht="38.25" hidden="1" customHeight="1" x14ac:dyDescent="0.25">
      <c r="A418" s="429" t="s">
        <v>70</v>
      </c>
      <c r="B418" s="1017" t="s">
        <v>172</v>
      </c>
      <c r="C418" s="1018"/>
      <c r="D418" s="1019"/>
      <c r="E418" s="434"/>
      <c r="F418" s="434"/>
      <c r="G418" s="1026"/>
      <c r="H418" s="1027"/>
      <c r="I418" s="1240">
        <f>SUM(I419:J420)</f>
        <v>0</v>
      </c>
      <c r="J418" s="1133"/>
      <c r="K418" s="1299" t="s">
        <v>624</v>
      </c>
    </row>
    <row r="419" spans="1:11" s="364" customFormat="1" ht="38.25" hidden="1" customHeight="1" x14ac:dyDescent="0.25">
      <c r="A419" s="429" t="s">
        <v>27</v>
      </c>
      <c r="B419" s="1245" t="s">
        <v>625</v>
      </c>
      <c r="C419" s="1245"/>
      <c r="D419" s="1245"/>
      <c r="E419" s="434" t="s">
        <v>301</v>
      </c>
      <c r="F419" s="430">
        <v>812</v>
      </c>
      <c r="G419" s="1196" t="s">
        <v>256</v>
      </c>
      <c r="H419" s="1196"/>
      <c r="I419" s="1240">
        <v>0</v>
      </c>
      <c r="J419" s="1133"/>
      <c r="K419" s="1299"/>
    </row>
    <row r="420" spans="1:11" s="364" customFormat="1" ht="15" hidden="1" customHeight="1" x14ac:dyDescent="0.25">
      <c r="A420" s="356" t="s">
        <v>27</v>
      </c>
      <c r="B420" s="1263"/>
      <c r="C420" s="1264"/>
      <c r="D420" s="1265"/>
      <c r="E420" s="434"/>
      <c r="F420" s="357"/>
      <c r="G420" s="1196"/>
      <c r="H420" s="1196"/>
      <c r="I420" s="1240"/>
      <c r="J420" s="1133"/>
      <c r="K420" s="1299"/>
    </row>
    <row r="421" spans="1:11" s="364" customFormat="1" ht="15" customHeight="1" x14ac:dyDescent="0.25">
      <c r="A421" s="429"/>
      <c r="B421" s="1014" t="s">
        <v>13</v>
      </c>
      <c r="C421" s="1014"/>
      <c r="D421" s="1014"/>
      <c r="E421" s="1243" t="s">
        <v>74</v>
      </c>
      <c r="F421" s="1244"/>
      <c r="G421" s="1053" t="s">
        <v>14</v>
      </c>
      <c r="H421" s="1053"/>
      <c r="I421" s="1016">
        <f>I418</f>
        <v>0</v>
      </c>
      <c r="J421" s="1053"/>
      <c r="K421" s="362"/>
    </row>
    <row r="422" spans="1:11" s="364" customFormat="1" ht="15" customHeight="1" x14ac:dyDescent="0.25">
      <c r="A422" s="1055" t="s">
        <v>495</v>
      </c>
      <c r="B422" s="1055"/>
      <c r="C422" s="1055"/>
      <c r="D422" s="1055"/>
      <c r="E422" s="1055"/>
      <c r="F422" s="1055"/>
      <c r="G422" s="1055"/>
      <c r="H422" s="1055"/>
      <c r="I422" s="1055"/>
      <c r="J422" s="1055"/>
      <c r="K422" s="362"/>
    </row>
    <row r="423" spans="1:11" s="364" customFormat="1" ht="15" customHeight="1" x14ac:dyDescent="0.25">
      <c r="A423" s="427" t="s">
        <v>1</v>
      </c>
      <c r="B423" s="1015" t="s">
        <v>15</v>
      </c>
      <c r="C423" s="1015"/>
      <c r="D423" s="1015"/>
      <c r="E423" s="1015" t="s">
        <v>58</v>
      </c>
      <c r="F423" s="1015"/>
      <c r="G423" s="1015" t="s">
        <v>66</v>
      </c>
      <c r="H423" s="1015"/>
      <c r="I423" s="1015" t="s">
        <v>260</v>
      </c>
      <c r="J423" s="1015"/>
      <c r="K423" s="1298" t="s">
        <v>654</v>
      </c>
    </row>
    <row r="424" spans="1:11" s="364" customFormat="1" ht="15" customHeight="1" x14ac:dyDescent="0.25">
      <c r="A424" s="427">
        <v>1</v>
      </c>
      <c r="B424" s="1015">
        <v>2</v>
      </c>
      <c r="C424" s="1015"/>
      <c r="D424" s="1015"/>
      <c r="E424" s="1015">
        <v>3</v>
      </c>
      <c r="F424" s="1015"/>
      <c r="G424" s="1015">
        <v>4</v>
      </c>
      <c r="H424" s="1015"/>
      <c r="I424" s="1015">
        <v>5</v>
      </c>
      <c r="J424" s="1015"/>
      <c r="K424" s="1298"/>
    </row>
    <row r="425" spans="1:11" s="364" customFormat="1" ht="36" customHeight="1" x14ac:dyDescent="0.25">
      <c r="A425" s="429" t="s">
        <v>70</v>
      </c>
      <c r="B425" s="1017" t="s">
        <v>172</v>
      </c>
      <c r="C425" s="1018"/>
      <c r="D425" s="1019"/>
      <c r="E425" s="434"/>
      <c r="F425" s="434"/>
      <c r="G425" s="1026"/>
      <c r="H425" s="1027"/>
      <c r="I425" s="1240">
        <v>53000</v>
      </c>
      <c r="J425" s="1133"/>
      <c r="K425" s="1299" t="s">
        <v>1094</v>
      </c>
    </row>
    <row r="426" spans="1:11" s="364" customFormat="1" ht="18.75" customHeight="1" x14ac:dyDescent="0.25">
      <c r="A426" s="429" t="s">
        <v>27</v>
      </c>
      <c r="B426" s="1245" t="s">
        <v>494</v>
      </c>
      <c r="C426" s="1245"/>
      <c r="D426" s="1245"/>
      <c r="E426" s="434" t="s">
        <v>301</v>
      </c>
      <c r="F426" s="430">
        <v>812</v>
      </c>
      <c r="G426" s="1196" t="s">
        <v>256</v>
      </c>
      <c r="H426" s="1196"/>
      <c r="I426" s="1289">
        <f>I425</f>
        <v>53000</v>
      </c>
      <c r="J426" s="1312"/>
      <c r="K426" s="1299"/>
    </row>
    <row r="427" spans="1:11" s="364" customFormat="1" ht="15" hidden="1" x14ac:dyDescent="0.25">
      <c r="A427" s="356" t="s">
        <v>27</v>
      </c>
      <c r="B427" s="1263" t="s">
        <v>649</v>
      </c>
      <c r="C427" s="1264"/>
      <c r="D427" s="1265"/>
      <c r="E427" s="434"/>
      <c r="F427" s="357"/>
      <c r="G427" s="1196"/>
      <c r="H427" s="1196"/>
      <c r="I427" s="1240">
        <v>0</v>
      </c>
      <c r="J427" s="1133"/>
      <c r="K427" s="1299"/>
    </row>
    <row r="428" spans="1:11" s="363" customFormat="1" x14ac:dyDescent="0.25">
      <c r="A428" s="1056" t="s">
        <v>496</v>
      </c>
      <c r="B428" s="1056"/>
      <c r="C428" s="1056"/>
      <c r="D428" s="1056"/>
      <c r="E428" s="1056"/>
      <c r="F428" s="1056"/>
      <c r="G428" s="1056"/>
      <c r="H428" s="1056"/>
      <c r="I428" s="1056"/>
      <c r="J428" s="1056"/>
      <c r="K428" s="362"/>
    </row>
    <row r="429" spans="1:11" s="363" customFormat="1" ht="12.75" x14ac:dyDescent="0.2">
      <c r="A429" s="427" t="s">
        <v>1</v>
      </c>
      <c r="B429" s="1015" t="s">
        <v>15</v>
      </c>
      <c r="C429" s="1015"/>
      <c r="D429" s="1015"/>
      <c r="E429" s="1015" t="s">
        <v>58</v>
      </c>
      <c r="F429" s="1015"/>
      <c r="G429" s="1015" t="s">
        <v>66</v>
      </c>
      <c r="H429" s="1015"/>
      <c r="I429" s="1015" t="s">
        <v>260</v>
      </c>
      <c r="J429" s="1015"/>
      <c r="K429" s="1298" t="s">
        <v>655</v>
      </c>
    </row>
    <row r="430" spans="1:11" s="363" customFormat="1" ht="12.75" x14ac:dyDescent="0.2">
      <c r="A430" s="427">
        <v>1</v>
      </c>
      <c r="B430" s="1015">
        <v>2</v>
      </c>
      <c r="C430" s="1015"/>
      <c r="D430" s="1015"/>
      <c r="E430" s="1015">
        <v>3</v>
      </c>
      <c r="F430" s="1015"/>
      <c r="G430" s="1015">
        <v>4</v>
      </c>
      <c r="H430" s="1015"/>
      <c r="I430" s="1015">
        <v>5</v>
      </c>
      <c r="J430" s="1015"/>
      <c r="K430" s="1298"/>
    </row>
    <row r="431" spans="1:11" s="363" customFormat="1" ht="46.5" customHeight="1" x14ac:dyDescent="0.25">
      <c r="A431" s="431">
        <v>1</v>
      </c>
      <c r="B431" s="1041" t="s">
        <v>172</v>
      </c>
      <c r="C431" s="1042"/>
      <c r="D431" s="1043"/>
      <c r="E431" s="389"/>
      <c r="F431" s="389"/>
      <c r="G431" s="1031"/>
      <c r="H431" s="1033"/>
      <c r="I431" s="1229">
        <f>I432+I433+I435+I434+I453</f>
        <v>280000</v>
      </c>
      <c r="J431" s="1230"/>
      <c r="K431" s="583" t="s">
        <v>657</v>
      </c>
    </row>
    <row r="432" spans="1:11" s="363" customFormat="1" ht="20.25" customHeight="1" x14ac:dyDescent="0.25">
      <c r="A432" s="429" t="s">
        <v>27</v>
      </c>
      <c r="B432" s="1245" t="s">
        <v>497</v>
      </c>
      <c r="C432" s="1245"/>
      <c r="D432" s="1245"/>
      <c r="E432" s="434" t="s">
        <v>301</v>
      </c>
      <c r="F432" s="430">
        <v>812</v>
      </c>
      <c r="G432" s="1196"/>
      <c r="H432" s="1196"/>
      <c r="I432" s="1222">
        <v>110000</v>
      </c>
      <c r="J432" s="1132"/>
      <c r="K432" s="583"/>
    </row>
    <row r="433" spans="1:12" s="363" customFormat="1" ht="21.75" customHeight="1" x14ac:dyDescent="0.25">
      <c r="A433" s="429" t="s">
        <v>29</v>
      </c>
      <c r="B433" s="1245" t="s">
        <v>498</v>
      </c>
      <c r="C433" s="1245"/>
      <c r="D433" s="1245"/>
      <c r="E433" s="434" t="s">
        <v>301</v>
      </c>
      <c r="F433" s="430">
        <v>812</v>
      </c>
      <c r="G433" s="1196"/>
      <c r="H433" s="1196"/>
      <c r="I433" s="1222">
        <v>120000</v>
      </c>
      <c r="J433" s="1132"/>
      <c r="K433" s="583"/>
    </row>
    <row r="434" spans="1:12" s="363" customFormat="1" ht="15" customHeight="1" x14ac:dyDescent="0.25">
      <c r="A434" s="429" t="s">
        <v>31</v>
      </c>
      <c r="B434" s="1263" t="s">
        <v>646</v>
      </c>
      <c r="C434" s="1264"/>
      <c r="D434" s="1265"/>
      <c r="E434" s="434"/>
      <c r="F434" s="430"/>
      <c r="G434" s="1044"/>
      <c r="H434" s="1045"/>
      <c r="I434" s="1291">
        <f>10000-10000</f>
        <v>0</v>
      </c>
      <c r="J434" s="1261"/>
      <c r="K434" s="583"/>
    </row>
    <row r="435" spans="1:12" s="363" customFormat="1" ht="15" customHeight="1" x14ac:dyDescent="0.25">
      <c r="A435" s="429" t="s">
        <v>264</v>
      </c>
      <c r="B435" s="1263" t="s">
        <v>1140</v>
      </c>
      <c r="C435" s="1264"/>
      <c r="D435" s="1265"/>
      <c r="E435" s="434"/>
      <c r="F435" s="430"/>
      <c r="G435" s="1044"/>
      <c r="H435" s="1045"/>
      <c r="I435" s="1291">
        <v>50000</v>
      </c>
      <c r="J435" s="1261"/>
      <c r="K435" s="583"/>
    </row>
    <row r="436" spans="1:12" s="363" customFormat="1" ht="28.5" customHeight="1" x14ac:dyDescent="0.25">
      <c r="A436" s="388" t="s">
        <v>75</v>
      </c>
      <c r="B436" s="1041" t="s">
        <v>187</v>
      </c>
      <c r="C436" s="1042"/>
      <c r="D436" s="1043"/>
      <c r="E436" s="389"/>
      <c r="F436" s="377"/>
      <c r="G436" s="1294"/>
      <c r="H436" s="1294"/>
      <c r="I436" s="1229">
        <f>I437+I438</f>
        <v>800000</v>
      </c>
      <c r="J436" s="1230"/>
      <c r="K436" s="583"/>
    </row>
    <row r="437" spans="1:12" s="363" customFormat="1" ht="48.75" customHeight="1" x14ac:dyDescent="0.25">
      <c r="A437" s="356" t="s">
        <v>34</v>
      </c>
      <c r="B437" s="1295" t="s">
        <v>499</v>
      </c>
      <c r="C437" s="1296"/>
      <c r="D437" s="1297"/>
      <c r="E437" s="434" t="s">
        <v>301</v>
      </c>
      <c r="F437" s="430">
        <v>812</v>
      </c>
      <c r="G437" s="1196"/>
      <c r="H437" s="1196"/>
      <c r="I437" s="1222">
        <v>300000</v>
      </c>
      <c r="J437" s="1132"/>
      <c r="K437" s="583"/>
    </row>
    <row r="438" spans="1:12" s="363" customFormat="1" ht="58.5" customHeight="1" x14ac:dyDescent="0.25">
      <c r="A438" s="356" t="s">
        <v>36</v>
      </c>
      <c r="B438" s="1295" t="s">
        <v>500</v>
      </c>
      <c r="C438" s="1296"/>
      <c r="D438" s="1297"/>
      <c r="E438" s="434" t="s">
        <v>301</v>
      </c>
      <c r="F438" s="430">
        <v>812</v>
      </c>
      <c r="G438" s="1196"/>
      <c r="H438" s="1196"/>
      <c r="I438" s="1222">
        <v>500000</v>
      </c>
      <c r="J438" s="1132"/>
      <c r="K438" s="583"/>
    </row>
    <row r="439" spans="1:12" s="363" customFormat="1" ht="25.5" hidden="1" customHeight="1" x14ac:dyDescent="0.25">
      <c r="A439" s="585" t="s">
        <v>77</v>
      </c>
      <c r="B439" s="1041" t="s">
        <v>479</v>
      </c>
      <c r="C439" s="1042"/>
      <c r="D439" s="1042"/>
      <c r="E439" s="1042"/>
      <c r="F439" s="1042"/>
      <c r="G439" s="1042"/>
      <c r="H439" s="1042"/>
      <c r="I439" s="1042"/>
      <c r="J439" s="1043"/>
      <c r="K439" s="583"/>
    </row>
    <row r="440" spans="1:12" s="363" customFormat="1" ht="48" hidden="1" customHeight="1" x14ac:dyDescent="0.25">
      <c r="A440" s="356" t="s">
        <v>374</v>
      </c>
      <c r="B440" s="1099"/>
      <c r="C440" s="1100"/>
      <c r="D440" s="1101"/>
      <c r="E440" s="434"/>
      <c r="F440" s="430"/>
      <c r="G440" s="1044"/>
      <c r="H440" s="1045"/>
      <c r="I440" s="1291"/>
      <c r="J440" s="1261"/>
      <c r="K440" s="583"/>
    </row>
    <row r="441" spans="1:12" ht="32.25" customHeight="1" x14ac:dyDescent="0.25">
      <c r="A441" s="431" t="s">
        <v>77</v>
      </c>
      <c r="B441" s="1031" t="s">
        <v>532</v>
      </c>
      <c r="C441" s="1032"/>
      <c r="D441" s="1032"/>
      <c r="E441" s="1032"/>
      <c r="F441" s="1032"/>
      <c r="G441" s="1032"/>
      <c r="H441" s="1032"/>
      <c r="I441" s="1032"/>
      <c r="J441" s="1033"/>
      <c r="K441" s="583"/>
    </row>
    <row r="442" spans="1:12" s="276" customFormat="1" ht="18.75" customHeight="1" x14ac:dyDescent="0.25">
      <c r="A442" s="356" t="s">
        <v>374</v>
      </c>
      <c r="B442" s="1295" t="s">
        <v>670</v>
      </c>
      <c r="C442" s="1296"/>
      <c r="D442" s="1297"/>
      <c r="E442" s="434" t="s">
        <v>301</v>
      </c>
      <c r="F442" s="430">
        <v>812</v>
      </c>
      <c r="G442" s="1196" t="s">
        <v>256</v>
      </c>
      <c r="H442" s="1196"/>
      <c r="I442" s="1222">
        <v>70000</v>
      </c>
      <c r="J442" s="1132"/>
      <c r="K442" s="583"/>
      <c r="L442" s="363"/>
    </row>
    <row r="443" spans="1:12" s="276" customFormat="1" ht="30" customHeight="1" x14ac:dyDescent="0.25">
      <c r="A443" s="356" t="s">
        <v>503</v>
      </c>
      <c r="B443" s="1263" t="s">
        <v>547</v>
      </c>
      <c r="C443" s="1264"/>
      <c r="D443" s="1265"/>
      <c r="E443" s="426"/>
      <c r="F443" s="433"/>
      <c r="G443" s="1044"/>
      <c r="H443" s="1045"/>
      <c r="I443" s="1291">
        <f>SUM(I444:J444)</f>
        <v>0</v>
      </c>
      <c r="J443" s="1261"/>
      <c r="K443" s="583"/>
      <c r="L443" s="363"/>
    </row>
    <row r="444" spans="1:12" s="276" customFormat="1" ht="30" customHeight="1" x14ac:dyDescent="0.25">
      <c r="A444" s="356" t="s">
        <v>619</v>
      </c>
      <c r="B444" s="1263" t="s">
        <v>549</v>
      </c>
      <c r="C444" s="1264"/>
      <c r="D444" s="1265"/>
      <c r="E444" s="426"/>
      <c r="F444" s="433"/>
      <c r="G444" s="1044"/>
      <c r="H444" s="1045"/>
      <c r="I444" s="1291">
        <v>0</v>
      </c>
      <c r="J444" s="1261"/>
      <c r="K444" s="583"/>
      <c r="L444" s="363"/>
    </row>
    <row r="445" spans="1:12" s="480" customFormat="1" ht="24" customHeight="1" x14ac:dyDescent="0.25">
      <c r="A445" s="388" t="s">
        <v>86</v>
      </c>
      <c r="B445" s="1031" t="s">
        <v>782</v>
      </c>
      <c r="C445" s="1032"/>
      <c r="D445" s="1032"/>
      <c r="E445" s="1032"/>
      <c r="F445" s="1032"/>
      <c r="G445" s="1032"/>
      <c r="H445" s="1032"/>
      <c r="I445" s="1032"/>
      <c r="J445" s="1033"/>
      <c r="K445" s="583"/>
      <c r="L445" s="479"/>
    </row>
    <row r="446" spans="1:12" ht="15.75" customHeight="1" x14ac:dyDescent="0.25">
      <c r="A446" s="356" t="s">
        <v>473</v>
      </c>
      <c r="B446" s="1295" t="s">
        <v>781</v>
      </c>
      <c r="C446" s="1296"/>
      <c r="D446" s="1297"/>
      <c r="E446" s="587" t="s">
        <v>301</v>
      </c>
      <c r="F446" s="588">
        <v>812</v>
      </c>
      <c r="G446" s="1196"/>
      <c r="H446" s="1196"/>
      <c r="I446" s="1291">
        <v>0</v>
      </c>
      <c r="J446" s="1261"/>
      <c r="K446" s="583"/>
    </row>
    <row r="447" spans="1:12" ht="15.75" customHeight="1" x14ac:dyDescent="0.25">
      <c r="A447" s="1293" t="s">
        <v>501</v>
      </c>
      <c r="B447" s="1293"/>
      <c r="C447" s="1293"/>
      <c r="D447" s="1293"/>
      <c r="E447" s="1293"/>
      <c r="F447" s="1293"/>
      <c r="G447" s="1293"/>
      <c r="H447" s="1293"/>
      <c r="I447" s="1293"/>
      <c r="J447" s="1293"/>
      <c r="K447" s="392"/>
    </row>
    <row r="448" spans="1:12" ht="25.5" customHeight="1" x14ac:dyDescent="0.25">
      <c r="A448" s="320" t="s">
        <v>1</v>
      </c>
      <c r="B448" s="1015" t="s">
        <v>15</v>
      </c>
      <c r="C448" s="1015"/>
      <c r="D448" s="1015"/>
      <c r="E448" s="1015" t="s">
        <v>58</v>
      </c>
      <c r="F448" s="1015"/>
      <c r="G448" s="1015" t="s">
        <v>66</v>
      </c>
      <c r="H448" s="1015"/>
      <c r="I448" s="1015" t="s">
        <v>260</v>
      </c>
      <c r="J448" s="1024"/>
      <c r="K448" s="392"/>
    </row>
    <row r="449" spans="1:13" ht="15" customHeight="1" x14ac:dyDescent="0.25">
      <c r="A449" s="320">
        <v>1</v>
      </c>
      <c r="B449" s="1015">
        <v>2</v>
      </c>
      <c r="C449" s="1015"/>
      <c r="D449" s="1015"/>
      <c r="E449" s="1015">
        <v>3</v>
      </c>
      <c r="F449" s="1015"/>
      <c r="G449" s="1015">
        <v>4</v>
      </c>
      <c r="H449" s="1015"/>
      <c r="I449" s="1015">
        <v>5</v>
      </c>
      <c r="J449" s="1024"/>
      <c r="K449" s="392"/>
    </row>
    <row r="450" spans="1:13" ht="36.75" customHeight="1" x14ac:dyDescent="0.25">
      <c r="A450" s="388" t="s">
        <v>70</v>
      </c>
      <c r="B450" s="1041" t="s">
        <v>187</v>
      </c>
      <c r="C450" s="1042"/>
      <c r="D450" s="1043"/>
      <c r="E450" s="1243"/>
      <c r="F450" s="1244"/>
      <c r="G450" s="1294"/>
      <c r="H450" s="1294"/>
      <c r="I450" s="1292">
        <f>I451</f>
        <v>40000</v>
      </c>
      <c r="J450" s="1292"/>
      <c r="K450" s="392"/>
    </row>
    <row r="451" spans="1:13" ht="15" customHeight="1" x14ac:dyDescent="0.25">
      <c r="A451" s="356" t="s">
        <v>27</v>
      </c>
      <c r="B451" s="1245" t="s">
        <v>502</v>
      </c>
      <c r="C451" s="1245"/>
      <c r="D451" s="1245"/>
      <c r="E451" s="1022"/>
      <c r="F451" s="1023"/>
      <c r="G451" s="1196"/>
      <c r="H451" s="1196"/>
      <c r="I451" s="1290">
        <v>40000</v>
      </c>
      <c r="J451" s="1290"/>
      <c r="K451" s="392" t="s">
        <v>1174</v>
      </c>
    </row>
    <row r="452" spans="1:13" ht="15" hidden="1" customHeight="1" x14ac:dyDescent="0.25">
      <c r="A452" s="356"/>
      <c r="B452" s="1026"/>
      <c r="C452" s="1052"/>
      <c r="D452" s="1027"/>
      <c r="E452" s="1022"/>
      <c r="F452" s="1023"/>
      <c r="G452" s="1044"/>
      <c r="H452" s="1045"/>
      <c r="I452" s="537"/>
      <c r="J452" s="451"/>
      <c r="K452" s="392"/>
    </row>
    <row r="453" spans="1:13" ht="44.25" hidden="1" customHeight="1" x14ac:dyDescent="0.25">
      <c r="A453" s="356" t="s">
        <v>31</v>
      </c>
      <c r="B453" s="1017"/>
      <c r="C453" s="1018"/>
      <c r="D453" s="1019"/>
      <c r="E453" s="580" t="s">
        <v>301</v>
      </c>
      <c r="F453" s="578">
        <v>852</v>
      </c>
      <c r="G453" s="575"/>
      <c r="H453" s="576"/>
      <c r="I453" s="1306"/>
      <c r="J453" s="1307"/>
      <c r="K453" s="392" t="s">
        <v>1138</v>
      </c>
    </row>
    <row r="454" spans="1:13" ht="17.25" customHeight="1" x14ac:dyDescent="0.25">
      <c r="A454" s="356"/>
      <c r="B454" s="1014" t="s">
        <v>538</v>
      </c>
      <c r="C454" s="1014"/>
      <c r="D454" s="1014"/>
      <c r="E454" s="1022"/>
      <c r="F454" s="1023"/>
      <c r="G454" s="1196"/>
      <c r="H454" s="1196"/>
      <c r="I454" s="1289">
        <f>I397+I404+I411+I418+I425+I431+I436+I439+I450+I441+I443+I446+I442</f>
        <v>1268000</v>
      </c>
      <c r="J454" s="1289"/>
      <c r="K454" s="393"/>
    </row>
    <row r="455" spans="1:13" hidden="1" x14ac:dyDescent="0.25">
      <c r="A455" s="1288" t="s">
        <v>378</v>
      </c>
      <c r="B455" s="1288"/>
      <c r="C455" s="1288"/>
      <c r="D455" s="1288"/>
      <c r="E455" s="1288"/>
      <c r="F455" s="1288"/>
      <c r="G455" s="1288"/>
      <c r="H455" s="1288"/>
      <c r="I455" s="1288"/>
      <c r="J455" s="1288"/>
    </row>
    <row r="456" spans="1:13" hidden="1" x14ac:dyDescent="0.25">
      <c r="A456" s="1075" t="s">
        <v>1</v>
      </c>
      <c r="B456" s="1134" t="s">
        <v>15</v>
      </c>
      <c r="C456" s="1135"/>
      <c r="D456" s="1136"/>
      <c r="E456" s="1134" t="s">
        <v>64</v>
      </c>
      <c r="F456" s="1136"/>
      <c r="G456" s="1015" t="s">
        <v>65</v>
      </c>
      <c r="H456" s="1015"/>
      <c r="I456" s="1015"/>
      <c r="J456" s="1015"/>
    </row>
    <row r="457" spans="1:13" hidden="1" x14ac:dyDescent="0.25">
      <c r="A457" s="1076"/>
      <c r="B457" s="1137"/>
      <c r="C457" s="1138"/>
      <c r="D457" s="1139"/>
      <c r="E457" s="1137"/>
      <c r="F457" s="1139"/>
      <c r="G457" s="320" t="s">
        <v>298</v>
      </c>
      <c r="H457" s="320" t="s">
        <v>295</v>
      </c>
      <c r="I457" s="535" t="s">
        <v>296</v>
      </c>
      <c r="J457" s="445" t="s">
        <v>297</v>
      </c>
    </row>
    <row r="458" spans="1:13" hidden="1" x14ac:dyDescent="0.25">
      <c r="A458" s="320">
        <v>1</v>
      </c>
      <c r="B458" s="1015">
        <v>2</v>
      </c>
      <c r="C458" s="1015"/>
      <c r="D458" s="1015"/>
      <c r="E458" s="1024">
        <v>3</v>
      </c>
      <c r="F458" s="1025"/>
      <c r="G458" s="1015">
        <v>4</v>
      </c>
      <c r="H458" s="1015"/>
      <c r="I458" s="1015"/>
      <c r="J458" s="1015"/>
    </row>
    <row r="459" spans="1:13" hidden="1" x14ac:dyDescent="0.25">
      <c r="A459" s="317" t="s">
        <v>70</v>
      </c>
      <c r="B459" s="1040" t="s">
        <v>339</v>
      </c>
      <c r="C459" s="1040"/>
      <c r="D459" s="1040"/>
      <c r="E459" s="1026">
        <v>1</v>
      </c>
      <c r="F459" s="1027"/>
      <c r="G459" s="317" t="s">
        <v>299</v>
      </c>
      <c r="H459" s="317">
        <v>1</v>
      </c>
      <c r="I459" s="161"/>
      <c r="J459" s="446">
        <v>0</v>
      </c>
    </row>
    <row r="460" spans="1:13" hidden="1" x14ac:dyDescent="0.25">
      <c r="A460" s="317" t="s">
        <v>75</v>
      </c>
      <c r="B460" s="1040" t="s">
        <v>340</v>
      </c>
      <c r="C460" s="1040"/>
      <c r="D460" s="1040"/>
      <c r="E460" s="1026">
        <v>1</v>
      </c>
      <c r="F460" s="1027"/>
      <c r="G460" s="317" t="s">
        <v>299</v>
      </c>
      <c r="H460" s="317">
        <v>1</v>
      </c>
      <c r="I460" s="161"/>
      <c r="J460" s="446">
        <f t="shared" ref="J460:J461" si="25">H460*I460</f>
        <v>0</v>
      </c>
    </row>
    <row r="461" spans="1:13" hidden="1" x14ac:dyDescent="0.25">
      <c r="A461" s="317" t="s">
        <v>77</v>
      </c>
      <c r="B461" s="1040" t="s">
        <v>335</v>
      </c>
      <c r="C461" s="1040"/>
      <c r="D461" s="1040"/>
      <c r="E461" s="1026">
        <v>1</v>
      </c>
      <c r="F461" s="1027"/>
      <c r="G461" s="317" t="s">
        <v>299</v>
      </c>
      <c r="H461" s="159">
        <v>1</v>
      </c>
      <c r="I461" s="161"/>
      <c r="J461" s="446">
        <f t="shared" si="25"/>
        <v>0</v>
      </c>
    </row>
    <row r="462" spans="1:13" hidden="1" x14ac:dyDescent="0.25">
      <c r="A462" s="293"/>
      <c r="B462" s="1283" t="s">
        <v>13</v>
      </c>
      <c r="C462" s="1283"/>
      <c r="D462" s="1283"/>
      <c r="E462" s="1268" t="s">
        <v>14</v>
      </c>
      <c r="F462" s="1269"/>
      <c r="G462" s="1284">
        <f>SUM(J459:J461)</f>
        <v>0</v>
      </c>
      <c r="H462" s="1285"/>
      <c r="I462" s="1285"/>
      <c r="J462" s="1285"/>
    </row>
    <row r="463" spans="1:13" x14ac:dyDescent="0.25">
      <c r="A463" s="325"/>
      <c r="B463" s="325"/>
      <c r="C463" s="325"/>
      <c r="D463" s="325"/>
      <c r="E463" s="325"/>
      <c r="F463" s="325"/>
      <c r="G463" s="325"/>
      <c r="H463" s="325"/>
      <c r="I463" s="325"/>
      <c r="J463" s="441"/>
    </row>
    <row r="464" spans="1:13" ht="32.25" customHeight="1" x14ac:dyDescent="0.25">
      <c r="A464" s="325"/>
      <c r="B464" s="325"/>
      <c r="C464" s="325"/>
      <c r="D464" s="325"/>
      <c r="E464" s="325"/>
      <c r="F464" s="325"/>
      <c r="G464" s="325"/>
      <c r="H464" s="358" t="s">
        <v>212</v>
      </c>
      <c r="I464" s="1286">
        <f>J94+I101+I117+I122+I158+I177+I188+I205+I219+G304+G353+I454+I392+I263+I358</f>
        <v>173983859.99935985</v>
      </c>
      <c r="J464" s="1286"/>
      <c r="K464" s="303">
        <f>I117+I188+I205+I219+I250+I262+G304+G353+I358+I392+I400+I414+I426+I431</f>
        <v>40254059.999360003</v>
      </c>
      <c r="L464" s="282">
        <f>I466+I467+I472</f>
        <v>144029260.00341085</v>
      </c>
      <c r="M464" s="291"/>
    </row>
    <row r="465" spans="1:13" x14ac:dyDescent="0.25">
      <c r="A465" s="325"/>
      <c r="B465" s="325"/>
      <c r="C465" s="325"/>
      <c r="D465" s="325"/>
      <c r="E465" s="325"/>
      <c r="F465" s="325"/>
      <c r="G465" s="325"/>
      <c r="H465" s="359" t="s">
        <v>248</v>
      </c>
      <c r="I465" s="325"/>
      <c r="J465" s="441"/>
    </row>
    <row r="466" spans="1:13" ht="18" x14ac:dyDescent="0.4">
      <c r="A466" s="325"/>
      <c r="B466" s="325"/>
      <c r="C466" s="325"/>
      <c r="D466" s="325"/>
      <c r="E466" s="325"/>
      <c r="F466" s="325"/>
      <c r="G466" s="325"/>
      <c r="H466" s="359" t="s">
        <v>82</v>
      </c>
      <c r="I466" s="1287">
        <f>I108+I109+I111+I183+I184+I187+I203+I212+I250+I262+G304+J309+I397+I414+I426+I431</f>
        <v>9934999.9993599989</v>
      </c>
      <c r="J466" s="1287"/>
      <c r="L466" s="291"/>
      <c r="M466" s="291"/>
    </row>
    <row r="467" spans="1:13" ht="18" x14ac:dyDescent="0.4">
      <c r="A467" s="325"/>
      <c r="B467" s="325"/>
      <c r="C467" s="325"/>
      <c r="D467" s="325"/>
      <c r="E467" s="325"/>
      <c r="F467" s="325"/>
      <c r="G467" s="325"/>
      <c r="H467" s="359" t="s">
        <v>249</v>
      </c>
      <c r="I467" s="1242">
        <f>J73+I100+I139+I218+I364+I436+I450+J341+I99</f>
        <v>133927400.00405085</v>
      </c>
      <c r="J467" s="1242"/>
      <c r="L467" s="291"/>
    </row>
    <row r="468" spans="1:13" ht="18" x14ac:dyDescent="0.4">
      <c r="A468" s="325"/>
      <c r="B468" s="325"/>
      <c r="C468" s="325"/>
      <c r="D468" s="325"/>
      <c r="E468" s="325"/>
      <c r="F468" s="325"/>
      <c r="G468" s="325"/>
      <c r="H468" s="359" t="s">
        <v>666</v>
      </c>
      <c r="I468" s="1242">
        <f>J338+I177+J339+J340</f>
        <v>24687500</v>
      </c>
      <c r="J468" s="1242"/>
      <c r="L468" s="164">
        <f>2401741+15643600+2935418</f>
        <v>20980759</v>
      </c>
      <c r="M468" s="282">
        <f>L468-I468</f>
        <v>-3706741</v>
      </c>
    </row>
    <row r="469" spans="1:13" ht="18" x14ac:dyDescent="0.4">
      <c r="A469" s="325"/>
      <c r="B469" s="325"/>
      <c r="C469" s="325"/>
      <c r="D469" s="325"/>
      <c r="E469" s="325"/>
      <c r="F469" s="325"/>
      <c r="G469" s="325"/>
      <c r="H469" s="359" t="s">
        <v>783</v>
      </c>
      <c r="I469" s="1242">
        <f>I156+I204+J351+I440+I115+J75+I446</f>
        <v>0</v>
      </c>
      <c r="J469" s="1242"/>
      <c r="K469" s="303"/>
      <c r="L469" s="282"/>
    </row>
    <row r="470" spans="1:13" ht="18" x14ac:dyDescent="0.4">
      <c r="A470" s="325"/>
      <c r="B470" s="325"/>
      <c r="C470" s="325"/>
      <c r="D470" s="325"/>
      <c r="E470" s="325"/>
      <c r="F470" s="325"/>
      <c r="G470" s="325"/>
      <c r="H470" s="359" t="s">
        <v>784</v>
      </c>
      <c r="I470" s="1242">
        <f>J349</f>
        <v>0</v>
      </c>
      <c r="J470" s="1242"/>
      <c r="L470" s="282"/>
    </row>
    <row r="471" spans="1:13" ht="18" x14ac:dyDescent="0.4">
      <c r="A471" s="325"/>
      <c r="B471" s="325"/>
      <c r="C471" s="325"/>
      <c r="D471" s="325"/>
      <c r="E471" s="325"/>
      <c r="F471" s="325"/>
      <c r="G471" s="325"/>
      <c r="H471" s="359" t="s">
        <v>785</v>
      </c>
      <c r="I471" s="1242">
        <f>J350</f>
        <v>0</v>
      </c>
      <c r="J471" s="1242"/>
      <c r="K471" s="303"/>
    </row>
    <row r="472" spans="1:13" ht="18" x14ac:dyDescent="0.4">
      <c r="A472" s="325"/>
      <c r="B472" s="325"/>
      <c r="C472" s="325"/>
      <c r="D472" s="325"/>
      <c r="E472" s="325"/>
      <c r="F472" s="325"/>
      <c r="G472" s="325"/>
      <c r="H472" s="359" t="s">
        <v>505</v>
      </c>
      <c r="I472" s="1242">
        <f>J346+J74+I116+I157+I442</f>
        <v>166860</v>
      </c>
      <c r="J472" s="1242"/>
    </row>
    <row r="473" spans="1:13" ht="18" x14ac:dyDescent="0.4">
      <c r="A473" s="325"/>
      <c r="B473" s="325"/>
      <c r="C473" s="325"/>
      <c r="D473" s="325"/>
      <c r="E473" s="325"/>
      <c r="F473" s="325"/>
      <c r="G473" s="325"/>
      <c r="H473" s="359" t="s">
        <v>1166</v>
      </c>
      <c r="I473" s="1242">
        <f>J93+I155</f>
        <v>270000</v>
      </c>
      <c r="J473" s="1242"/>
    </row>
    <row r="474" spans="1:13" ht="24.75" customHeight="1" x14ac:dyDescent="0.4">
      <c r="A474" s="325"/>
      <c r="B474" s="325"/>
      <c r="C474" s="325"/>
      <c r="D474" s="325"/>
      <c r="E474" s="325"/>
      <c r="F474" s="325"/>
      <c r="G474" s="325"/>
      <c r="H474" s="359" t="s">
        <v>530</v>
      </c>
      <c r="I474" s="1242">
        <f>J333</f>
        <v>4997100</v>
      </c>
      <c r="J474" s="1242"/>
      <c r="K474" s="755">
        <f>I474+I468</f>
        <v>29684600</v>
      </c>
      <c r="L474" s="282">
        <f>I474+I468</f>
        <v>29684600</v>
      </c>
    </row>
    <row r="475" spans="1:13" x14ac:dyDescent="0.25">
      <c r="A475" s="325"/>
      <c r="B475" s="325"/>
      <c r="C475" s="325"/>
      <c r="D475" s="325"/>
      <c r="E475" s="325"/>
      <c r="F475" s="325"/>
      <c r="G475" s="325"/>
      <c r="H475" s="359" t="s">
        <v>548</v>
      </c>
      <c r="I475" s="1259">
        <v>0</v>
      </c>
      <c r="J475" s="1260"/>
    </row>
    <row r="476" spans="1:13" ht="8.25" customHeight="1" x14ac:dyDescent="0.25">
      <c r="A476" s="325"/>
      <c r="B476" s="325"/>
      <c r="C476" s="325"/>
      <c r="D476" s="325"/>
      <c r="E476" s="325"/>
      <c r="F476" s="1227"/>
      <c r="G476" s="1227"/>
      <c r="H476" s="1227"/>
      <c r="I476" s="360"/>
      <c r="J476" s="452"/>
    </row>
    <row r="477" spans="1:13" x14ac:dyDescent="0.25">
      <c r="A477" s="325"/>
      <c r="B477" s="325"/>
      <c r="C477" s="325"/>
      <c r="D477" s="325"/>
      <c r="E477" s="325"/>
      <c r="F477" s="1227"/>
      <c r="G477" s="1227"/>
      <c r="H477" s="1227"/>
      <c r="I477" s="360"/>
      <c r="J477" s="452"/>
    </row>
    <row r="478" spans="1:13" ht="15.75" customHeight="1" x14ac:dyDescent="0.25">
      <c r="A478" s="1228"/>
      <c r="B478" s="1228"/>
      <c r="C478" s="1228"/>
      <c r="D478" s="532"/>
      <c r="E478" s="532"/>
      <c r="F478" s="1231"/>
      <c r="G478" s="1231"/>
      <c r="H478" s="1231"/>
      <c r="I478" s="533"/>
      <c r="J478" s="453"/>
    </row>
    <row r="479" spans="1:13" x14ac:dyDescent="0.25">
      <c r="A479" s="365"/>
      <c r="B479" s="365"/>
      <c r="C479" s="365"/>
      <c r="D479" s="1236"/>
      <c r="E479" s="1236"/>
      <c r="F479" s="1237"/>
      <c r="G479" s="1237"/>
      <c r="H479" s="1237"/>
      <c r="I479" s="1237"/>
      <c r="J479" s="454"/>
    </row>
    <row r="480" spans="1:13" x14ac:dyDescent="0.25">
      <c r="A480" s="1238" t="s">
        <v>211</v>
      </c>
      <c r="B480" s="1238"/>
      <c r="C480" s="1238"/>
      <c r="D480" s="367"/>
      <c r="E480" s="367"/>
      <c r="F480" s="368" t="s">
        <v>416</v>
      </c>
      <c r="G480" s="368"/>
      <c r="H480" s="368"/>
      <c r="I480" s="368"/>
      <c r="J480" s="455"/>
      <c r="L480" s="282">
        <f>I468+I474</f>
        <v>29684600</v>
      </c>
    </row>
    <row r="481" spans="1:10" x14ac:dyDescent="0.25">
      <c r="A481" s="414"/>
      <c r="B481" s="571"/>
      <c r="C481" s="571"/>
      <c r="D481" s="1236" t="s">
        <v>272</v>
      </c>
      <c r="E481" s="1236"/>
      <c r="F481" s="1237" t="s">
        <v>273</v>
      </c>
      <c r="G481" s="1237"/>
      <c r="H481" s="1237"/>
      <c r="I481" s="1237"/>
      <c r="J481" s="454"/>
    </row>
    <row r="482" spans="1:10" x14ac:dyDescent="0.25">
      <c r="A482" s="1238" t="s">
        <v>415</v>
      </c>
      <c r="B482" s="1238"/>
      <c r="C482" s="1238"/>
      <c r="D482" s="367"/>
      <c r="E482" s="367"/>
      <c r="F482" s="368" t="s">
        <v>417</v>
      </c>
      <c r="G482" s="368"/>
      <c r="H482" s="368"/>
      <c r="I482" s="368"/>
      <c r="J482" s="455"/>
    </row>
    <row r="483" spans="1:10" x14ac:dyDescent="0.25">
      <c r="A483" s="366"/>
      <c r="B483" s="540"/>
      <c r="C483" s="540"/>
      <c r="D483" s="1241" t="s">
        <v>272</v>
      </c>
      <c r="E483" s="1241"/>
      <c r="F483" s="1258" t="s">
        <v>273</v>
      </c>
      <c r="G483" s="1258"/>
      <c r="H483" s="1258"/>
      <c r="I483" s="1258"/>
      <c r="J483" s="454"/>
    </row>
    <row r="484" spans="1:10" x14ac:dyDescent="0.25">
      <c r="A484" s="366"/>
      <c r="B484" s="540"/>
      <c r="C484" s="540"/>
      <c r="D484" s="540"/>
      <c r="E484" s="366"/>
      <c r="F484" s="366"/>
      <c r="G484" s="363"/>
      <c r="H484" s="363"/>
      <c r="I484" s="363"/>
      <c r="J484" s="454"/>
    </row>
    <row r="485" spans="1:10" x14ac:dyDescent="0.25">
      <c r="A485" s="1239" t="s">
        <v>1098</v>
      </c>
      <c r="B485" s="1239"/>
      <c r="C485" s="540"/>
      <c r="D485" s="540"/>
      <c r="E485" s="366"/>
      <c r="F485" s="366"/>
      <c r="G485" s="363"/>
      <c r="H485" s="363"/>
      <c r="I485" s="363"/>
      <c r="J485" s="454"/>
    </row>
    <row r="486" spans="1:10" x14ac:dyDescent="0.25">
      <c r="A486" s="366"/>
      <c r="B486" s="540"/>
      <c r="C486" s="540"/>
      <c r="D486" s="540"/>
      <c r="E486" s="366"/>
      <c r="F486" s="366"/>
      <c r="G486" s="363"/>
      <c r="H486" s="363"/>
      <c r="I486" s="363"/>
      <c r="J486" s="454"/>
    </row>
    <row r="487" spans="1:10" x14ac:dyDescent="0.25">
      <c r="A487" s="1235"/>
      <c r="B487" s="1235"/>
      <c r="C487" s="540"/>
      <c r="D487" s="540"/>
      <c r="E487" s="366"/>
      <c r="F487" s="366"/>
      <c r="G487" s="363"/>
      <c r="H487" s="363"/>
      <c r="I487" s="363"/>
      <c r="J487" s="454"/>
    </row>
    <row r="490" spans="1:10" x14ac:dyDescent="0.25">
      <c r="G490" s="164" t="s">
        <v>1187</v>
      </c>
      <c r="J490" s="456">
        <f>J340</f>
        <v>2176400</v>
      </c>
    </row>
    <row r="491" spans="1:10" x14ac:dyDescent="0.25">
      <c r="G491" s="164" t="s">
        <v>1188</v>
      </c>
      <c r="J491" s="456">
        <f>J339</f>
        <v>3264800</v>
      </c>
    </row>
    <row r="492" spans="1:10" x14ac:dyDescent="0.25">
      <c r="G492" s="164" t="s">
        <v>1189</v>
      </c>
      <c r="J492" s="456">
        <f>J334+J335</f>
        <v>4997100</v>
      </c>
    </row>
    <row r="493" spans="1:10" x14ac:dyDescent="0.25">
      <c r="G493" s="164" t="s">
        <v>1190</v>
      </c>
      <c r="J493" s="456">
        <f>J338+I174</f>
        <v>19246300</v>
      </c>
    </row>
  </sheetData>
  <mergeCells count="1056">
    <mergeCell ref="G433:H433"/>
    <mergeCell ref="K409:K410"/>
    <mergeCell ref="K395:K396"/>
    <mergeCell ref="K306:K309"/>
    <mergeCell ref="A305:J305"/>
    <mergeCell ref="A72:I72"/>
    <mergeCell ref="K276:K277"/>
    <mergeCell ref="G386:H386"/>
    <mergeCell ref="B378:D378"/>
    <mergeCell ref="I426:J426"/>
    <mergeCell ref="G423:H423"/>
    <mergeCell ref="B424:D424"/>
    <mergeCell ref="B385:D385"/>
    <mergeCell ref="B384:D384"/>
    <mergeCell ref="E402:F402"/>
    <mergeCell ref="A393:J393"/>
    <mergeCell ref="K411:K414"/>
    <mergeCell ref="B319:D319"/>
    <mergeCell ref="E314:F314"/>
    <mergeCell ref="E311:F311"/>
    <mergeCell ref="B313:D313"/>
    <mergeCell ref="B310:D310"/>
    <mergeCell ref="B316:D316"/>
    <mergeCell ref="B337:D337"/>
    <mergeCell ref="E322:F322"/>
    <mergeCell ref="E323:F323"/>
    <mergeCell ref="B329:D329"/>
    <mergeCell ref="B407:D407"/>
    <mergeCell ref="B417:D417"/>
    <mergeCell ref="G405:H405"/>
    <mergeCell ref="G402:H402"/>
    <mergeCell ref="I405:J405"/>
    <mergeCell ref="G407:H407"/>
    <mergeCell ref="I407:J407"/>
    <mergeCell ref="E392:F392"/>
    <mergeCell ref="I396:J396"/>
    <mergeCell ref="B453:D453"/>
    <mergeCell ref="I453:J453"/>
    <mergeCell ref="A71:I71"/>
    <mergeCell ref="K416:K417"/>
    <mergeCell ref="K418:K420"/>
    <mergeCell ref="I416:J416"/>
    <mergeCell ref="E417:F417"/>
    <mergeCell ref="G418:H418"/>
    <mergeCell ref="I360:J360"/>
    <mergeCell ref="G364:H364"/>
    <mergeCell ref="I364:J364"/>
    <mergeCell ref="G365:H365"/>
    <mergeCell ref="I366:J366"/>
    <mergeCell ref="G374:H374"/>
    <mergeCell ref="G375:H375"/>
    <mergeCell ref="I367:J367"/>
    <mergeCell ref="I386:J386"/>
    <mergeCell ref="I379:J379"/>
    <mergeCell ref="I369:J369"/>
    <mergeCell ref="G355:H355"/>
    <mergeCell ref="G356:H356"/>
    <mergeCell ref="B357:D357"/>
    <mergeCell ref="E356:F356"/>
    <mergeCell ref="B380:D380"/>
    <mergeCell ref="B375:D375"/>
    <mergeCell ref="G384:H384"/>
    <mergeCell ref="E383:F383"/>
    <mergeCell ref="I373:J373"/>
    <mergeCell ref="B414:D414"/>
    <mergeCell ref="B390:D390"/>
    <mergeCell ref="I372:J372"/>
    <mergeCell ref="B374:D374"/>
    <mergeCell ref="B388:D388"/>
    <mergeCell ref="B353:D353"/>
    <mergeCell ref="G370:H370"/>
    <mergeCell ref="B389:D389"/>
    <mergeCell ref="G397:H397"/>
    <mergeCell ref="I397:J397"/>
    <mergeCell ref="B383:D383"/>
    <mergeCell ref="G387:H387"/>
    <mergeCell ref="I387:J387"/>
    <mergeCell ref="G392:H392"/>
    <mergeCell ref="I358:J358"/>
    <mergeCell ref="B363:D363"/>
    <mergeCell ref="I362:J362"/>
    <mergeCell ref="I363:J363"/>
    <mergeCell ref="B362:D362"/>
    <mergeCell ref="G363:H363"/>
    <mergeCell ref="B360:D360"/>
    <mergeCell ref="B367:D367"/>
    <mergeCell ref="B355:D355"/>
    <mergeCell ref="I371:J371"/>
    <mergeCell ref="I376:J376"/>
    <mergeCell ref="I377:J377"/>
    <mergeCell ref="G380:H380"/>
    <mergeCell ref="I378:J378"/>
    <mergeCell ref="B379:D379"/>
    <mergeCell ref="G373:H373"/>
    <mergeCell ref="G381:H381"/>
    <mergeCell ref="I357:J357"/>
    <mergeCell ref="E395:F395"/>
    <mergeCell ref="G400:H400"/>
    <mergeCell ref="I400:J400"/>
    <mergeCell ref="B420:D420"/>
    <mergeCell ref="E416:F416"/>
    <mergeCell ref="B413:D413"/>
    <mergeCell ref="G414:H414"/>
    <mergeCell ref="G411:H411"/>
    <mergeCell ref="B412:D412"/>
    <mergeCell ref="B398:D398"/>
    <mergeCell ref="I434:J434"/>
    <mergeCell ref="B430:D430"/>
    <mergeCell ref="G421:H421"/>
    <mergeCell ref="B436:D436"/>
    <mergeCell ref="B429:D429"/>
    <mergeCell ref="I427:J427"/>
    <mergeCell ref="G382:H382"/>
    <mergeCell ref="E407:F407"/>
    <mergeCell ref="I404:J404"/>
    <mergeCell ref="G412:H412"/>
    <mergeCell ref="B418:D418"/>
    <mergeCell ref="B403:D403"/>
    <mergeCell ref="G404:H404"/>
    <mergeCell ref="G406:H406"/>
    <mergeCell ref="I390:J390"/>
    <mergeCell ref="G383:H383"/>
    <mergeCell ref="I395:J395"/>
    <mergeCell ref="I402:J402"/>
    <mergeCell ref="G403:H403"/>
    <mergeCell ref="I403:J403"/>
    <mergeCell ref="B402:D402"/>
    <mergeCell ref="I429:J429"/>
    <mergeCell ref="B434:D434"/>
    <mergeCell ref="I414:J414"/>
    <mergeCell ref="B411:D411"/>
    <mergeCell ref="E421:F421"/>
    <mergeCell ref="E403:F403"/>
    <mergeCell ref="B396:D396"/>
    <mergeCell ref="E400:F400"/>
    <mergeCell ref="I385:J385"/>
    <mergeCell ref="G390:H390"/>
    <mergeCell ref="G391:H391"/>
    <mergeCell ref="B397:D397"/>
    <mergeCell ref="I410:J410"/>
    <mergeCell ref="E396:F396"/>
    <mergeCell ref="E409:F409"/>
    <mergeCell ref="I383:J383"/>
    <mergeCell ref="B381:D381"/>
    <mergeCell ref="I398:J398"/>
    <mergeCell ref="A394:J394"/>
    <mergeCell ref="B395:D395"/>
    <mergeCell ref="I391:J391"/>
    <mergeCell ref="B382:D382"/>
    <mergeCell ref="G389:H389"/>
    <mergeCell ref="G399:H399"/>
    <mergeCell ref="B405:D405"/>
    <mergeCell ref="A401:J401"/>
    <mergeCell ref="B404:D404"/>
    <mergeCell ref="B421:D421"/>
    <mergeCell ref="A408:J408"/>
    <mergeCell ref="I420:J420"/>
    <mergeCell ref="B391:D391"/>
    <mergeCell ref="I388:J388"/>
    <mergeCell ref="I382:J382"/>
    <mergeCell ref="I440:J440"/>
    <mergeCell ref="B442:D442"/>
    <mergeCell ref="G442:H442"/>
    <mergeCell ref="B427:D427"/>
    <mergeCell ref="I438:J438"/>
    <mergeCell ref="B437:D437"/>
    <mergeCell ref="I421:J421"/>
    <mergeCell ref="I423:J423"/>
    <mergeCell ref="I406:J406"/>
    <mergeCell ref="E424:F424"/>
    <mergeCell ref="K429:K430"/>
    <mergeCell ref="K423:K424"/>
    <mergeCell ref="K425:K427"/>
    <mergeCell ref="G425:H425"/>
    <mergeCell ref="B425:D425"/>
    <mergeCell ref="I424:J424"/>
    <mergeCell ref="B426:D426"/>
    <mergeCell ref="G417:H417"/>
    <mergeCell ref="B406:D406"/>
    <mergeCell ref="G409:H409"/>
    <mergeCell ref="G420:H420"/>
    <mergeCell ref="A415:J415"/>
    <mergeCell ref="E410:F410"/>
    <mergeCell ref="E414:F414"/>
    <mergeCell ref="G436:H436"/>
    <mergeCell ref="B435:D435"/>
    <mergeCell ref="G435:H435"/>
    <mergeCell ref="I435:J435"/>
    <mergeCell ref="E430:F430"/>
    <mergeCell ref="B431:D431"/>
    <mergeCell ref="G431:H431"/>
    <mergeCell ref="I430:J430"/>
    <mergeCell ref="A456:A457"/>
    <mergeCell ref="I443:J443"/>
    <mergeCell ref="B444:D444"/>
    <mergeCell ref="G444:H444"/>
    <mergeCell ref="I444:J444"/>
    <mergeCell ref="B450:D450"/>
    <mergeCell ref="B451:D451"/>
    <mergeCell ref="G451:H451"/>
    <mergeCell ref="I450:J450"/>
    <mergeCell ref="G427:H427"/>
    <mergeCell ref="G440:H440"/>
    <mergeCell ref="B440:D440"/>
    <mergeCell ref="A447:J447"/>
    <mergeCell ref="G443:H443"/>
    <mergeCell ref="E429:F429"/>
    <mergeCell ref="G429:H429"/>
    <mergeCell ref="E448:F448"/>
    <mergeCell ref="G450:H450"/>
    <mergeCell ref="G437:H437"/>
    <mergeCell ref="G448:H448"/>
    <mergeCell ref="B443:D443"/>
    <mergeCell ref="B438:D438"/>
    <mergeCell ref="G438:H438"/>
    <mergeCell ref="B446:D446"/>
    <mergeCell ref="I433:J433"/>
    <mergeCell ref="B439:J439"/>
    <mergeCell ref="B441:J441"/>
    <mergeCell ref="B433:D433"/>
    <mergeCell ref="I446:J446"/>
    <mergeCell ref="G446:H446"/>
    <mergeCell ref="G432:H432"/>
    <mergeCell ref="I432:J432"/>
    <mergeCell ref="B368:D368"/>
    <mergeCell ref="I471:J471"/>
    <mergeCell ref="I472:J472"/>
    <mergeCell ref="I473:J473"/>
    <mergeCell ref="I448:J448"/>
    <mergeCell ref="B449:D449"/>
    <mergeCell ref="E449:F449"/>
    <mergeCell ref="G449:H449"/>
    <mergeCell ref="I449:J449"/>
    <mergeCell ref="B452:D452"/>
    <mergeCell ref="G452:H452"/>
    <mergeCell ref="I467:J467"/>
    <mergeCell ref="B462:D462"/>
    <mergeCell ref="E462:F462"/>
    <mergeCell ref="G462:J462"/>
    <mergeCell ref="I464:J464"/>
    <mergeCell ref="I466:J466"/>
    <mergeCell ref="G456:J456"/>
    <mergeCell ref="G458:J458"/>
    <mergeCell ref="A455:J455"/>
    <mergeCell ref="E460:F460"/>
    <mergeCell ref="B461:D461"/>
    <mergeCell ref="I454:J454"/>
    <mergeCell ref="E451:F451"/>
    <mergeCell ref="I451:J451"/>
    <mergeCell ref="E454:F454"/>
    <mergeCell ref="E452:F452"/>
    <mergeCell ref="I468:J468"/>
    <mergeCell ref="E459:F459"/>
    <mergeCell ref="E456:F457"/>
    <mergeCell ref="B458:D458"/>
    <mergeCell ref="B448:D448"/>
    <mergeCell ref="I196:J196"/>
    <mergeCell ref="G426:H426"/>
    <mergeCell ref="I425:J425"/>
    <mergeCell ref="B416:D416"/>
    <mergeCell ref="A428:J428"/>
    <mergeCell ref="G430:H430"/>
    <mergeCell ref="B410:D410"/>
    <mergeCell ref="G410:H410"/>
    <mergeCell ref="E281:E282"/>
    <mergeCell ref="G267:H267"/>
    <mergeCell ref="E265:F265"/>
    <mergeCell ref="E271:E272"/>
    <mergeCell ref="F271:F272"/>
    <mergeCell ref="B340:D340"/>
    <mergeCell ref="I380:J380"/>
    <mergeCell ref="I389:J389"/>
    <mergeCell ref="I381:J381"/>
    <mergeCell ref="G378:H378"/>
    <mergeCell ref="B373:D373"/>
    <mergeCell ref="B372:D372"/>
    <mergeCell ref="I281:I282"/>
    <mergeCell ref="J281:J282"/>
    <mergeCell ref="B266:D266"/>
    <mergeCell ref="E266:F266"/>
    <mergeCell ref="F276:F277"/>
    <mergeCell ref="B271:D272"/>
    <mergeCell ref="G276:G277"/>
    <mergeCell ref="B331:D331"/>
    <mergeCell ref="B392:D392"/>
    <mergeCell ref="B369:D369"/>
    <mergeCell ref="B370:D370"/>
    <mergeCell ref="I370:J370"/>
    <mergeCell ref="G187:H187"/>
    <mergeCell ref="E203:F203"/>
    <mergeCell ref="G203:H203"/>
    <mergeCell ref="I203:J203"/>
    <mergeCell ref="B253:D253"/>
    <mergeCell ref="B252:D252"/>
    <mergeCell ref="G202:H202"/>
    <mergeCell ref="I202:J202"/>
    <mergeCell ref="A242:A244"/>
    <mergeCell ref="I205:J205"/>
    <mergeCell ref="G210:H210"/>
    <mergeCell ref="A230:A232"/>
    <mergeCell ref="E194:F194"/>
    <mergeCell ref="G194:H194"/>
    <mergeCell ref="I237:J237"/>
    <mergeCell ref="I235:J235"/>
    <mergeCell ref="A200:J200"/>
    <mergeCell ref="B205:D205"/>
    <mergeCell ref="A197:J197"/>
    <mergeCell ref="A234:A236"/>
    <mergeCell ref="G225:H225"/>
    <mergeCell ref="F237:G237"/>
    <mergeCell ref="I215:J215"/>
    <mergeCell ref="I204:J204"/>
    <mergeCell ref="G212:H212"/>
    <mergeCell ref="G211:H211"/>
    <mergeCell ref="I211:J211"/>
    <mergeCell ref="B233:D233"/>
    <mergeCell ref="F232:G232"/>
    <mergeCell ref="F235:G235"/>
    <mergeCell ref="E205:F205"/>
    <mergeCell ref="G215:H215"/>
    <mergeCell ref="E204:F204"/>
    <mergeCell ref="I153:J153"/>
    <mergeCell ref="E202:F202"/>
    <mergeCell ref="E176:F176"/>
    <mergeCell ref="G176:H176"/>
    <mergeCell ref="A190:J190"/>
    <mergeCell ref="B193:D193"/>
    <mergeCell ref="E193:F193"/>
    <mergeCell ref="G193:H193"/>
    <mergeCell ref="I193:J193"/>
    <mergeCell ref="G165:H165"/>
    <mergeCell ref="I165:J165"/>
    <mergeCell ref="G181:H181"/>
    <mergeCell ref="I181:J181"/>
    <mergeCell ref="I156:J156"/>
    <mergeCell ref="B174:D174"/>
    <mergeCell ref="E183:F183"/>
    <mergeCell ref="I185:J185"/>
    <mergeCell ref="I158:J158"/>
    <mergeCell ref="I195:J195"/>
    <mergeCell ref="I187:J187"/>
    <mergeCell ref="B196:D196"/>
    <mergeCell ref="I155:J155"/>
    <mergeCell ref="I201:J201"/>
    <mergeCell ref="G177:H177"/>
    <mergeCell ref="E196:F196"/>
    <mergeCell ref="G196:H196"/>
    <mergeCell ref="G167:H167"/>
    <mergeCell ref="G158:H158"/>
    <mergeCell ref="E182:F182"/>
    <mergeCell ref="B183:C184"/>
    <mergeCell ref="G185:H185"/>
    <mergeCell ref="E353:F353"/>
    <mergeCell ref="E165:F165"/>
    <mergeCell ref="B210:D210"/>
    <mergeCell ref="I182:J182"/>
    <mergeCell ref="B186:D186"/>
    <mergeCell ref="E185:F185"/>
    <mergeCell ref="B204:D204"/>
    <mergeCell ref="B347:D347"/>
    <mergeCell ref="E342:F342"/>
    <mergeCell ref="G353:J353"/>
    <mergeCell ref="G367:H367"/>
    <mergeCell ref="G369:H369"/>
    <mergeCell ref="G358:H358"/>
    <mergeCell ref="B345:D345"/>
    <mergeCell ref="G357:H357"/>
    <mergeCell ref="B203:D203"/>
    <mergeCell ref="B219:D219"/>
    <mergeCell ref="B213:D213"/>
    <mergeCell ref="E357:F357"/>
    <mergeCell ref="E350:F350"/>
    <mergeCell ref="B346:D346"/>
    <mergeCell ref="E338:F338"/>
    <mergeCell ref="B342:D342"/>
    <mergeCell ref="E332:F332"/>
    <mergeCell ref="E328:F328"/>
    <mergeCell ref="I356:J356"/>
    <mergeCell ref="E345:F345"/>
    <mergeCell ref="B327:D327"/>
    <mergeCell ref="E319:F319"/>
    <mergeCell ref="B328:D328"/>
    <mergeCell ref="E333:F333"/>
    <mergeCell ref="B330:D330"/>
    <mergeCell ref="G398:H398"/>
    <mergeCell ref="G205:H205"/>
    <mergeCell ref="F254:G254"/>
    <mergeCell ref="I210:J210"/>
    <mergeCell ref="B245:D245"/>
    <mergeCell ref="B222:D222"/>
    <mergeCell ref="E222:F222"/>
    <mergeCell ref="G222:H222"/>
    <mergeCell ref="I222:J222"/>
    <mergeCell ref="I225:J225"/>
    <mergeCell ref="G219:H219"/>
    <mergeCell ref="B215:D215"/>
    <mergeCell ref="I256:J256"/>
    <mergeCell ref="B227:D227"/>
    <mergeCell ref="B234:D234"/>
    <mergeCell ref="B366:D366"/>
    <mergeCell ref="G268:H268"/>
    <mergeCell ref="E268:F268"/>
    <mergeCell ref="A359:J359"/>
    <mergeCell ref="B361:D361"/>
    <mergeCell ref="B312:D312"/>
    <mergeCell ref="E312:F312"/>
    <mergeCell ref="B302:D302"/>
    <mergeCell ref="B299:D299"/>
    <mergeCell ref="F261:G261"/>
    <mergeCell ref="E320:F320"/>
    <mergeCell ref="B280:D280"/>
    <mergeCell ref="A354:J354"/>
    <mergeCell ref="E344:F344"/>
    <mergeCell ref="E351:F351"/>
    <mergeCell ref="B287:D287"/>
    <mergeCell ref="B298:D298"/>
    <mergeCell ref="F281:F282"/>
    <mergeCell ref="B352:D352"/>
    <mergeCell ref="E337:F337"/>
    <mergeCell ref="B338:D338"/>
    <mergeCell ref="E331:F331"/>
    <mergeCell ref="E267:F267"/>
    <mergeCell ref="E330:F330"/>
    <mergeCell ref="B308:D308"/>
    <mergeCell ref="E334:F334"/>
    <mergeCell ref="B320:D320"/>
    <mergeCell ref="B321:D321"/>
    <mergeCell ref="F483:I483"/>
    <mergeCell ref="I475:J475"/>
    <mergeCell ref="B377:D377"/>
    <mergeCell ref="G377:H377"/>
    <mergeCell ref="I384:J384"/>
    <mergeCell ref="G385:H385"/>
    <mergeCell ref="B371:D371"/>
    <mergeCell ref="G371:H371"/>
    <mergeCell ref="G395:H395"/>
    <mergeCell ref="B399:D399"/>
    <mergeCell ref="G388:H388"/>
    <mergeCell ref="I392:J392"/>
    <mergeCell ref="B386:D386"/>
    <mergeCell ref="B409:D409"/>
    <mergeCell ref="B400:D400"/>
    <mergeCell ref="I417:J417"/>
    <mergeCell ref="G416:H416"/>
    <mergeCell ref="B419:D419"/>
    <mergeCell ref="I418:J418"/>
    <mergeCell ref="I409:J409"/>
    <mergeCell ref="I411:J411"/>
    <mergeCell ref="B454:D454"/>
    <mergeCell ref="I399:J399"/>
    <mergeCell ref="G376:H376"/>
    <mergeCell ref="G379:H379"/>
    <mergeCell ref="I374:J374"/>
    <mergeCell ref="E371:F371"/>
    <mergeCell ref="B432:D432"/>
    <mergeCell ref="I152:J152"/>
    <mergeCell ref="A183:A184"/>
    <mergeCell ref="I149:J149"/>
    <mergeCell ref="B150:F150"/>
    <mergeCell ref="B167:D167"/>
    <mergeCell ref="I167:J167"/>
    <mergeCell ref="I173:J173"/>
    <mergeCell ref="I174:J174"/>
    <mergeCell ref="G372:H372"/>
    <mergeCell ref="I375:J375"/>
    <mergeCell ref="E325:F325"/>
    <mergeCell ref="G360:H360"/>
    <mergeCell ref="G368:H368"/>
    <mergeCell ref="I368:J368"/>
    <mergeCell ref="B290:D290"/>
    <mergeCell ref="B309:D309"/>
    <mergeCell ref="B276:D277"/>
    <mergeCell ref="F258:G258"/>
    <mergeCell ref="J276:J277"/>
    <mergeCell ref="B365:D365"/>
    <mergeCell ref="B348:D348"/>
    <mergeCell ref="B349:D349"/>
    <mergeCell ref="E352:F352"/>
    <mergeCell ref="I355:J355"/>
    <mergeCell ref="B341:D341"/>
    <mergeCell ref="B202:D202"/>
    <mergeCell ref="G281:G282"/>
    <mergeCell ref="B311:D311"/>
    <mergeCell ref="E309:F309"/>
    <mergeCell ref="B304:D304"/>
    <mergeCell ref="E347:F347"/>
    <mergeCell ref="B356:D356"/>
    <mergeCell ref="A487:B487"/>
    <mergeCell ref="D479:E479"/>
    <mergeCell ref="F479:I479"/>
    <mergeCell ref="A480:C480"/>
    <mergeCell ref="D481:E481"/>
    <mergeCell ref="F481:I481"/>
    <mergeCell ref="A482:C482"/>
    <mergeCell ref="A485:B485"/>
    <mergeCell ref="I412:J412"/>
    <mergeCell ref="G413:H413"/>
    <mergeCell ref="I413:J413"/>
    <mergeCell ref="G419:H419"/>
    <mergeCell ref="I419:J419"/>
    <mergeCell ref="A422:J422"/>
    <mergeCell ref="B423:D423"/>
    <mergeCell ref="E423:F423"/>
    <mergeCell ref="B460:D460"/>
    <mergeCell ref="D483:E483"/>
    <mergeCell ref="E461:F461"/>
    <mergeCell ref="G424:H424"/>
    <mergeCell ref="I474:J474"/>
    <mergeCell ref="I470:J470"/>
    <mergeCell ref="E450:F450"/>
    <mergeCell ref="I436:J436"/>
    <mergeCell ref="I469:J469"/>
    <mergeCell ref="B172:D172"/>
    <mergeCell ref="G454:H454"/>
    <mergeCell ref="F476:H476"/>
    <mergeCell ref="F477:H477"/>
    <mergeCell ref="B456:D457"/>
    <mergeCell ref="A478:C478"/>
    <mergeCell ref="B459:D459"/>
    <mergeCell ref="E458:F458"/>
    <mergeCell ref="I431:J431"/>
    <mergeCell ref="B445:J445"/>
    <mergeCell ref="I437:J437"/>
    <mergeCell ref="F478:H478"/>
    <mergeCell ref="B177:D177"/>
    <mergeCell ref="I176:J176"/>
    <mergeCell ref="E173:F173"/>
    <mergeCell ref="B185:D185"/>
    <mergeCell ref="I188:J188"/>
    <mergeCell ref="B188:D188"/>
    <mergeCell ref="B181:D181"/>
    <mergeCell ref="A189:J189"/>
    <mergeCell ref="I194:J194"/>
    <mergeCell ref="G184:H184"/>
    <mergeCell ref="D180:H180"/>
    <mergeCell ref="I184:J184"/>
    <mergeCell ref="G183:H183"/>
    <mergeCell ref="G173:H173"/>
    <mergeCell ref="E177:F177"/>
    <mergeCell ref="B175:D175"/>
    <mergeCell ref="G218:H218"/>
    <mergeCell ref="I218:J218"/>
    <mergeCell ref="E184:F184"/>
    <mergeCell ref="E187:F187"/>
    <mergeCell ref="G131:H131"/>
    <mergeCell ref="B182:D182"/>
    <mergeCell ref="E181:F181"/>
    <mergeCell ref="G182:H182"/>
    <mergeCell ref="A209:J209"/>
    <mergeCell ref="I183:J183"/>
    <mergeCell ref="G213:H213"/>
    <mergeCell ref="G434:H434"/>
    <mergeCell ref="I442:J442"/>
    <mergeCell ref="E327:F327"/>
    <mergeCell ref="B138:F138"/>
    <mergeCell ref="G138:H138"/>
    <mergeCell ref="E188:F188"/>
    <mergeCell ref="I138:J138"/>
    <mergeCell ref="B139:F139"/>
    <mergeCell ref="G141:H141"/>
    <mergeCell ref="B140:F140"/>
    <mergeCell ref="G140:H140"/>
    <mergeCell ref="B194:D194"/>
    <mergeCell ref="I142:J142"/>
    <mergeCell ref="I148:J148"/>
    <mergeCell ref="B143:F143"/>
    <mergeCell ref="G143:H143"/>
    <mergeCell ref="I143:J143"/>
    <mergeCell ref="B144:F144"/>
    <mergeCell ref="G144:H144"/>
    <mergeCell ref="B168:D168"/>
    <mergeCell ref="E168:F168"/>
    <mergeCell ref="G168:H168"/>
    <mergeCell ref="I168:J168"/>
    <mergeCell ref="G186:H186"/>
    <mergeCell ref="I186:J186"/>
    <mergeCell ref="A123:J123"/>
    <mergeCell ref="E172:F172"/>
    <mergeCell ref="B246:D246"/>
    <mergeCell ref="B387:D387"/>
    <mergeCell ref="G396:H396"/>
    <mergeCell ref="G188:H188"/>
    <mergeCell ref="B176:D176"/>
    <mergeCell ref="L128:M128"/>
    <mergeCell ref="I121:J121"/>
    <mergeCell ref="A118:J118"/>
    <mergeCell ref="B136:F136"/>
    <mergeCell ref="B137:F137"/>
    <mergeCell ref="G137:H137"/>
    <mergeCell ref="I137:J137"/>
    <mergeCell ref="B119:D119"/>
    <mergeCell ref="E119:F119"/>
    <mergeCell ref="I119:J119"/>
    <mergeCell ref="B122:D122"/>
    <mergeCell ref="B129:F129"/>
    <mergeCell ref="G129:H129"/>
    <mergeCell ref="I129:J129"/>
    <mergeCell ref="B126:F126"/>
    <mergeCell ref="G126:H126"/>
    <mergeCell ref="B128:F128"/>
    <mergeCell ref="G128:H128"/>
    <mergeCell ref="I127:J127"/>
    <mergeCell ref="I136:J136"/>
    <mergeCell ref="G135:H135"/>
    <mergeCell ref="I135:J135"/>
    <mergeCell ref="L129:M129"/>
    <mergeCell ref="B132:F132"/>
    <mergeCell ref="G132:H132"/>
    <mergeCell ref="B108:D108"/>
    <mergeCell ref="I131:J131"/>
    <mergeCell ref="B135:F135"/>
    <mergeCell ref="G136:H136"/>
    <mergeCell ref="B127:F127"/>
    <mergeCell ref="I132:J132"/>
    <mergeCell ref="B131:F131"/>
    <mergeCell ref="I134:J134"/>
    <mergeCell ref="I130:J130"/>
    <mergeCell ref="I128:J128"/>
    <mergeCell ref="E98:F98"/>
    <mergeCell ref="A89:I89"/>
    <mergeCell ref="G127:H127"/>
    <mergeCell ref="B104:D104"/>
    <mergeCell ref="B125:F125"/>
    <mergeCell ref="G125:H125"/>
    <mergeCell ref="B120:D120"/>
    <mergeCell ref="G124:H124"/>
    <mergeCell ref="I124:J124"/>
    <mergeCell ref="B109:D109"/>
    <mergeCell ref="B106:D106"/>
    <mergeCell ref="I125:J125"/>
    <mergeCell ref="B133:F133"/>
    <mergeCell ref="G133:H133"/>
    <mergeCell ref="I133:J133"/>
    <mergeCell ref="A91:I91"/>
    <mergeCell ref="B124:F124"/>
    <mergeCell ref="B121:D121"/>
    <mergeCell ref="E121:F121"/>
    <mergeCell ref="B103:D103"/>
    <mergeCell ref="E120:F120"/>
    <mergeCell ref="I120:J120"/>
    <mergeCell ref="A58:J58"/>
    <mergeCell ref="E111:F111"/>
    <mergeCell ref="I111:J111"/>
    <mergeCell ref="B111:D111"/>
    <mergeCell ref="B113:D113"/>
    <mergeCell ref="E106:F106"/>
    <mergeCell ref="I106:J106"/>
    <mergeCell ref="I126:J126"/>
    <mergeCell ref="I78:I80"/>
    <mergeCell ref="J78:J80"/>
    <mergeCell ref="E99:F99"/>
    <mergeCell ref="G99:H99"/>
    <mergeCell ref="E109:F109"/>
    <mergeCell ref="I109:J109"/>
    <mergeCell ref="A78:A80"/>
    <mergeCell ref="E115:F115"/>
    <mergeCell ref="I115:J115"/>
    <mergeCell ref="B116:D116"/>
    <mergeCell ref="A110:J110"/>
    <mergeCell ref="G101:H101"/>
    <mergeCell ref="E108:F108"/>
    <mergeCell ref="B114:D114"/>
    <mergeCell ref="E114:F114"/>
    <mergeCell ref="A112:J112"/>
    <mergeCell ref="I113:J113"/>
    <mergeCell ref="I98:J98"/>
    <mergeCell ref="E117:F117"/>
    <mergeCell ref="I117:J117"/>
    <mergeCell ref="G98:H98"/>
    <mergeCell ref="E103:F103"/>
    <mergeCell ref="I103:J103"/>
    <mergeCell ref="A102:J102"/>
    <mergeCell ref="D79:D80"/>
    <mergeCell ref="I108:J108"/>
    <mergeCell ref="E113:F113"/>
    <mergeCell ref="A1:J1"/>
    <mergeCell ref="A2:J2"/>
    <mergeCell ref="A3:J3"/>
    <mergeCell ref="A5:J5"/>
    <mergeCell ref="A8:J8"/>
    <mergeCell ref="A9:A11"/>
    <mergeCell ref="B9:B11"/>
    <mergeCell ref="C9:C11"/>
    <mergeCell ref="D9:G9"/>
    <mergeCell ref="H9:H11"/>
    <mergeCell ref="I9:I11"/>
    <mergeCell ref="J9:J11"/>
    <mergeCell ref="D10:D11"/>
    <mergeCell ref="E10:G10"/>
    <mergeCell ref="A13:J13"/>
    <mergeCell ref="A82:J82"/>
    <mergeCell ref="A90:I90"/>
    <mergeCell ref="A14:J14"/>
    <mergeCell ref="A22:J22"/>
    <mergeCell ref="A23:J23"/>
    <mergeCell ref="A37:J37"/>
    <mergeCell ref="A70:I70"/>
    <mergeCell ref="A73:I73"/>
    <mergeCell ref="A76:I76"/>
    <mergeCell ref="D78:G78"/>
    <mergeCell ref="E79:G79"/>
    <mergeCell ref="B78:B80"/>
    <mergeCell ref="C78:C80"/>
    <mergeCell ref="A52:J52"/>
    <mergeCell ref="E358:F358"/>
    <mergeCell ref="A68:I68"/>
    <mergeCell ref="A75:I75"/>
    <mergeCell ref="A69:B69"/>
    <mergeCell ref="A93:B93"/>
    <mergeCell ref="E97:F97"/>
    <mergeCell ref="B98:D98"/>
    <mergeCell ref="A96:J96"/>
    <mergeCell ref="B100:D100"/>
    <mergeCell ref="E100:F100"/>
    <mergeCell ref="G100:H100"/>
    <mergeCell ref="I100:J100"/>
    <mergeCell ref="B99:D99"/>
    <mergeCell ref="E122:F122"/>
    <mergeCell ref="I122:J122"/>
    <mergeCell ref="B117:D117"/>
    <mergeCell ref="I101:J101"/>
    <mergeCell ref="A105:J105"/>
    <mergeCell ref="A107:J107"/>
    <mergeCell ref="E104:F104"/>
    <mergeCell ref="I104:J104"/>
    <mergeCell ref="B101:D101"/>
    <mergeCell ref="E101:F101"/>
    <mergeCell ref="I114:J114"/>
    <mergeCell ref="I116:J116"/>
    <mergeCell ref="E116:F116"/>
    <mergeCell ref="A92:J92"/>
    <mergeCell ref="G97:H97"/>
    <mergeCell ref="I97:J97"/>
    <mergeCell ref="B97:D97"/>
    <mergeCell ref="A94:I94"/>
    <mergeCell ref="I99:J99"/>
    <mergeCell ref="I151:J151"/>
    <mergeCell ref="H78:H80"/>
    <mergeCell ref="B115:D115"/>
    <mergeCell ref="B376:D376"/>
    <mergeCell ref="E315:F315"/>
    <mergeCell ref="E316:F316"/>
    <mergeCell ref="I361:J361"/>
    <mergeCell ref="I365:J365"/>
    <mergeCell ref="B306:D307"/>
    <mergeCell ref="E306:F307"/>
    <mergeCell ref="B291:D291"/>
    <mergeCell ref="I267:J267"/>
    <mergeCell ref="G304:J304"/>
    <mergeCell ref="A159:J159"/>
    <mergeCell ref="A160:J160"/>
    <mergeCell ref="B163:D163"/>
    <mergeCell ref="I177:J177"/>
    <mergeCell ref="G174:H174"/>
    <mergeCell ref="G166:H166"/>
    <mergeCell ref="E174:F174"/>
    <mergeCell ref="G361:H361"/>
    <mergeCell ref="B164:D164"/>
    <mergeCell ref="B165:D165"/>
    <mergeCell ref="G164:H164"/>
    <mergeCell ref="B195:D195"/>
    <mergeCell ref="E195:F195"/>
    <mergeCell ref="G195:H195"/>
    <mergeCell ref="G172:H172"/>
    <mergeCell ref="I213:J213"/>
    <mergeCell ref="B364:D364"/>
    <mergeCell ref="E355:F355"/>
    <mergeCell ref="G366:H366"/>
    <mergeCell ref="I147:J147"/>
    <mergeCell ref="B166:D166"/>
    <mergeCell ref="E166:F166"/>
    <mergeCell ref="A206:J206"/>
    <mergeCell ref="B214:D214"/>
    <mergeCell ref="I140:J140"/>
    <mergeCell ref="E167:F167"/>
    <mergeCell ref="A169:J169"/>
    <mergeCell ref="B158:F158"/>
    <mergeCell ref="I139:J139"/>
    <mergeCell ref="B142:F142"/>
    <mergeCell ref="I166:J166"/>
    <mergeCell ref="I164:J164"/>
    <mergeCell ref="I163:J163"/>
    <mergeCell ref="B157:F157"/>
    <mergeCell ref="B153:F153"/>
    <mergeCell ref="E201:F201"/>
    <mergeCell ref="G201:H201"/>
    <mergeCell ref="B155:F155"/>
    <mergeCell ref="G155:H155"/>
    <mergeCell ref="G153:H153"/>
    <mergeCell ref="B154:F154"/>
    <mergeCell ref="B156:F156"/>
    <mergeCell ref="G154:H154"/>
    <mergeCell ref="I154:J154"/>
    <mergeCell ref="I157:J157"/>
    <mergeCell ref="B151:F151"/>
    <mergeCell ref="I146:J146"/>
    <mergeCell ref="G150:H150"/>
    <mergeCell ref="A178:J178"/>
    <mergeCell ref="E164:F164"/>
    <mergeCell ref="B173:D173"/>
    <mergeCell ref="I233:J233"/>
    <mergeCell ref="B152:F152"/>
    <mergeCell ref="G152:H152"/>
    <mergeCell ref="I217:J217"/>
    <mergeCell ref="B218:D218"/>
    <mergeCell ref="G148:H148"/>
    <mergeCell ref="D171:J171"/>
    <mergeCell ref="B187:D187"/>
    <mergeCell ref="B263:D263"/>
    <mergeCell ref="I265:J265"/>
    <mergeCell ref="F262:G262"/>
    <mergeCell ref="I262:J262"/>
    <mergeCell ref="G134:H134"/>
    <mergeCell ref="G139:H139"/>
    <mergeCell ref="B141:F141"/>
    <mergeCell ref="G145:H145"/>
    <mergeCell ref="I145:J145"/>
    <mergeCell ref="B146:F146"/>
    <mergeCell ref="G146:H146"/>
    <mergeCell ref="I141:J141"/>
    <mergeCell ref="I144:J144"/>
    <mergeCell ref="G147:H147"/>
    <mergeCell ref="G151:H151"/>
    <mergeCell ref="B145:F145"/>
    <mergeCell ref="I150:J150"/>
    <mergeCell ref="B148:F148"/>
    <mergeCell ref="I172:J172"/>
    <mergeCell ref="B229:D229"/>
    <mergeCell ref="F229:G229"/>
    <mergeCell ref="F227:G227"/>
    <mergeCell ref="I227:J227"/>
    <mergeCell ref="B149:F149"/>
    <mergeCell ref="F256:G256"/>
    <mergeCell ref="E186:F186"/>
    <mergeCell ref="G204:H204"/>
    <mergeCell ref="B301:D301"/>
    <mergeCell ref="G224:H224"/>
    <mergeCell ref="B303:D303"/>
    <mergeCell ref="B230:D230"/>
    <mergeCell ref="A255:A256"/>
    <mergeCell ref="B322:D322"/>
    <mergeCell ref="B333:D333"/>
    <mergeCell ref="I260:J260"/>
    <mergeCell ref="B286:D286"/>
    <mergeCell ref="G149:H149"/>
    <mergeCell ref="G142:H142"/>
    <mergeCell ref="B147:F147"/>
    <mergeCell ref="G163:H163"/>
    <mergeCell ref="E163:F163"/>
    <mergeCell ref="I276:I277"/>
    <mergeCell ref="B217:D217"/>
    <mergeCell ref="G217:H217"/>
    <mergeCell ref="F234:G234"/>
    <mergeCell ref="I234:J234"/>
    <mergeCell ref="B268:D268"/>
    <mergeCell ref="E276:E277"/>
    <mergeCell ref="G266:H266"/>
    <mergeCell ref="B265:D265"/>
    <mergeCell ref="B259:D259"/>
    <mergeCell ref="I245:J245"/>
    <mergeCell ref="B235:D235"/>
    <mergeCell ref="B236:D236"/>
    <mergeCell ref="F236:G236"/>
    <mergeCell ref="I236:J236"/>
    <mergeCell ref="I230:J230"/>
    <mergeCell ref="G271:J271"/>
    <mergeCell ref="B260:D260"/>
    <mergeCell ref="B350:D350"/>
    <mergeCell ref="B351:D351"/>
    <mergeCell ref="E313:F313"/>
    <mergeCell ref="B324:D324"/>
    <mergeCell ref="E349:F349"/>
    <mergeCell ref="B315:D315"/>
    <mergeCell ref="G306:J306"/>
    <mergeCell ref="B243:D243"/>
    <mergeCell ref="I252:J252"/>
    <mergeCell ref="G308:J308"/>
    <mergeCell ref="E340:F340"/>
    <mergeCell ref="I257:J257"/>
    <mergeCell ref="B300:D300"/>
    <mergeCell ref="B296:D296"/>
    <mergeCell ref="B323:D323"/>
    <mergeCell ref="B317:D317"/>
    <mergeCell ref="B326:D326"/>
    <mergeCell ref="B314:D314"/>
    <mergeCell ref="B334:D334"/>
    <mergeCell ref="B344:D344"/>
    <mergeCell ref="B261:D261"/>
    <mergeCell ref="B336:D336"/>
    <mergeCell ref="B332:D332"/>
    <mergeCell ref="E308:F308"/>
    <mergeCell ref="E343:F343"/>
    <mergeCell ref="B267:D267"/>
    <mergeCell ref="I268:J268"/>
    <mergeCell ref="E324:F324"/>
    <mergeCell ref="B325:D325"/>
    <mergeCell ref="F252:G252"/>
    <mergeCell ref="F253:G253"/>
    <mergeCell ref="I253:J253"/>
    <mergeCell ref="K281:K282"/>
    <mergeCell ref="A238:A240"/>
    <mergeCell ref="B238:D238"/>
    <mergeCell ref="F238:G238"/>
    <mergeCell ref="I238:J238"/>
    <mergeCell ref="B239:D239"/>
    <mergeCell ref="I224:J224"/>
    <mergeCell ref="F241:G241"/>
    <mergeCell ref="I241:J241"/>
    <mergeCell ref="E223:F223"/>
    <mergeCell ref="G223:H223"/>
    <mergeCell ref="B223:D223"/>
    <mergeCell ref="H281:H282"/>
    <mergeCell ref="B262:D262"/>
    <mergeCell ref="I254:J254"/>
    <mergeCell ref="F260:G260"/>
    <mergeCell ref="A226:J226"/>
    <mergeCell ref="I259:J259"/>
    <mergeCell ref="K241:K244"/>
    <mergeCell ref="F239:G239"/>
    <mergeCell ref="H276:H277"/>
    <mergeCell ref="F259:G259"/>
    <mergeCell ref="B241:D241"/>
    <mergeCell ref="K252:K253"/>
    <mergeCell ref="K258:K261"/>
    <mergeCell ref="A276:A277"/>
    <mergeCell ref="I244:J244"/>
    <mergeCell ref="I240:J240"/>
    <mergeCell ref="F230:G230"/>
    <mergeCell ref="B242:D242"/>
    <mergeCell ref="F246:G246"/>
    <mergeCell ref="I246:J246"/>
    <mergeCell ref="A264:J264"/>
    <mergeCell ref="A271:A272"/>
    <mergeCell ref="I266:J266"/>
    <mergeCell ref="F257:G257"/>
    <mergeCell ref="E321:F321"/>
    <mergeCell ref="G273:J273"/>
    <mergeCell ref="B211:D211"/>
    <mergeCell ref="B292:D292"/>
    <mergeCell ref="B289:D289"/>
    <mergeCell ref="B295:D295"/>
    <mergeCell ref="B283:D283"/>
    <mergeCell ref="B284:D284"/>
    <mergeCell ref="B285:D285"/>
    <mergeCell ref="G216:H216"/>
    <mergeCell ref="I214:J214"/>
    <mergeCell ref="I212:J212"/>
    <mergeCell ref="B212:D212"/>
    <mergeCell ref="B288:D288"/>
    <mergeCell ref="A221:J221"/>
    <mergeCell ref="A281:A282"/>
    <mergeCell ref="A306:A307"/>
    <mergeCell ref="B228:D228"/>
    <mergeCell ref="F228:G228"/>
    <mergeCell ref="B240:D240"/>
    <mergeCell ref="F240:G240"/>
    <mergeCell ref="I229:J229"/>
    <mergeCell ref="F233:G233"/>
    <mergeCell ref="F242:G242"/>
    <mergeCell ref="I242:J242"/>
    <mergeCell ref="E361:F361"/>
    <mergeCell ref="I239:J239"/>
    <mergeCell ref="I231:J231"/>
    <mergeCell ref="F255:G255"/>
    <mergeCell ref="I255:J255"/>
    <mergeCell ref="A270:J270"/>
    <mergeCell ref="A251:J251"/>
    <mergeCell ref="B278:D278"/>
    <mergeCell ref="B273:D273"/>
    <mergeCell ref="B279:D279"/>
    <mergeCell ref="I261:J261"/>
    <mergeCell ref="K254:K257"/>
    <mergeCell ref="B281:D282"/>
    <mergeCell ref="K181:K182"/>
    <mergeCell ref="K103:K107"/>
    <mergeCell ref="K108:K109"/>
    <mergeCell ref="B225:D225"/>
    <mergeCell ref="E225:F225"/>
    <mergeCell ref="I223:J223"/>
    <mergeCell ref="B224:D224"/>
    <mergeCell ref="E224:F224"/>
    <mergeCell ref="I216:J216"/>
    <mergeCell ref="G214:H214"/>
    <mergeCell ref="K246:K249"/>
    <mergeCell ref="F245:G245"/>
    <mergeCell ref="B237:D237"/>
    <mergeCell ref="F243:G243"/>
    <mergeCell ref="I243:J243"/>
    <mergeCell ref="B244:D244"/>
    <mergeCell ref="F244:G244"/>
    <mergeCell ref="B216:D216"/>
    <mergeCell ref="I219:J219"/>
    <mergeCell ref="B275:D275"/>
    <mergeCell ref="B254:D254"/>
    <mergeCell ref="B258:D258"/>
    <mergeCell ref="F231:G231"/>
    <mergeCell ref="I228:J228"/>
    <mergeCell ref="K233:K236"/>
    <mergeCell ref="K237:K240"/>
    <mergeCell ref="K202:K203"/>
    <mergeCell ref="B201:D201"/>
    <mergeCell ref="B232:D232"/>
    <mergeCell ref="B130:F130"/>
    <mergeCell ref="K229:K232"/>
    <mergeCell ref="G130:H130"/>
    <mergeCell ref="B134:F134"/>
    <mergeCell ref="K397:K400"/>
    <mergeCell ref="B247:D247"/>
    <mergeCell ref="F247:G247"/>
    <mergeCell ref="I247:J247"/>
    <mergeCell ref="B248:D248"/>
    <mergeCell ref="F248:G248"/>
    <mergeCell ref="I248:J248"/>
    <mergeCell ref="B249:D249"/>
    <mergeCell ref="F249:G249"/>
    <mergeCell ref="I249:J249"/>
    <mergeCell ref="B250:D250"/>
    <mergeCell ref="F250:G250"/>
    <mergeCell ref="I250:J250"/>
    <mergeCell ref="E339:F339"/>
    <mergeCell ref="B343:D343"/>
    <mergeCell ref="B339:D339"/>
    <mergeCell ref="B256:D256"/>
    <mergeCell ref="B274:D274"/>
    <mergeCell ref="B231:D231"/>
    <mergeCell ref="B255:D255"/>
    <mergeCell ref="B358:D358"/>
    <mergeCell ref="G265:H265"/>
    <mergeCell ref="I258:J258"/>
    <mergeCell ref="B293:D293"/>
    <mergeCell ref="I232:J232"/>
    <mergeCell ref="K271:K273"/>
    <mergeCell ref="E362:F362"/>
    <mergeCell ref="E360:F360"/>
    <mergeCell ref="B297:D297"/>
    <mergeCell ref="B294:D294"/>
    <mergeCell ref="G362:H362"/>
    <mergeCell ref="K221:K222"/>
    <mergeCell ref="K223:K225"/>
    <mergeCell ref="K200:K201"/>
    <mergeCell ref="B257:D257"/>
    <mergeCell ref="E348:F348"/>
    <mergeCell ref="F263:G263"/>
    <mergeCell ref="I263:J263"/>
    <mergeCell ref="E310:F310"/>
    <mergeCell ref="E346:F346"/>
    <mergeCell ref="B335:D335"/>
    <mergeCell ref="E335:F335"/>
    <mergeCell ref="E326:F326"/>
    <mergeCell ref="E317:F317"/>
    <mergeCell ref="B318:D318"/>
    <mergeCell ref="E318:F318"/>
    <mergeCell ref="E329:F329"/>
    <mergeCell ref="E336:F336"/>
    <mergeCell ref="E341:F341"/>
    <mergeCell ref="K227:K228"/>
  </mergeCells>
  <printOptions horizontalCentered="1"/>
  <pageMargins left="0.78740157480314965" right="0" top="0.19685039370078741" bottom="0.19685039370078741" header="0.31496062992125984" footer="0.31496062992125984"/>
  <pageSetup paperSize="9" scale="62" fitToHeight="7" orientation="portrait" r:id="rId1"/>
  <rowBreaks count="4" manualBreakCount="4">
    <brk id="189" max="9" man="1"/>
    <brk id="250" max="9" man="1"/>
    <brk id="269" max="9" man="1"/>
    <brk id="400"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430"/>
  <sheetViews>
    <sheetView topLeftCell="A87" zoomScaleSheetLayoutView="100" workbookViewId="0">
      <selection activeCell="I287" sqref="I287"/>
    </sheetView>
  </sheetViews>
  <sheetFormatPr defaultColWidth="9.140625" defaultRowHeight="15" x14ac:dyDescent="0.25"/>
  <cols>
    <col min="1" max="1" width="5.140625" style="1" customWidth="1"/>
    <col min="2" max="2" width="25" style="1" customWidth="1"/>
    <col min="3" max="3" width="9.140625" style="1"/>
    <col min="4" max="4" width="17.140625" style="1" customWidth="1"/>
    <col min="5" max="5" width="16.42578125" style="1" customWidth="1"/>
    <col min="6" max="6" width="10.7109375" style="1" customWidth="1"/>
    <col min="7" max="7" width="12.28515625" style="1" customWidth="1"/>
    <col min="8" max="8" width="10.7109375" style="1" customWidth="1"/>
    <col min="9" max="9" width="11.5703125" style="1" customWidth="1"/>
    <col min="10" max="10" width="24.85546875" style="1" customWidth="1"/>
    <col min="11" max="11" width="16.42578125" style="1" customWidth="1"/>
    <col min="12" max="12" width="18.140625" style="1" customWidth="1"/>
    <col min="13" max="13" width="9.7109375" style="1" customWidth="1"/>
    <col min="14" max="14" width="14" style="1" customWidth="1"/>
    <col min="15" max="16384" width="9.140625" style="1"/>
  </cols>
  <sheetData>
    <row r="1" spans="1:11" ht="26.25" customHeight="1" x14ac:dyDescent="0.25">
      <c r="A1" s="1585" t="s">
        <v>68</v>
      </c>
      <c r="B1" s="1585"/>
      <c r="C1" s="1585"/>
      <c r="D1" s="1585"/>
      <c r="E1" s="1585"/>
      <c r="F1" s="1585"/>
      <c r="G1" s="1585"/>
      <c r="H1" s="1585"/>
      <c r="I1" s="1585"/>
      <c r="J1" s="1585"/>
    </row>
    <row r="2" spans="1:11" ht="17.25" customHeight="1" x14ac:dyDescent="0.25">
      <c r="A2" s="1585" t="s">
        <v>419</v>
      </c>
      <c r="B2" s="1585"/>
      <c r="C2" s="1585"/>
      <c r="D2" s="1585"/>
      <c r="E2" s="1585"/>
      <c r="F2" s="1585"/>
      <c r="G2" s="1585"/>
      <c r="H2" s="1585"/>
      <c r="I2" s="1585"/>
      <c r="J2" s="1585"/>
    </row>
    <row r="3" spans="1:11" ht="62.25" customHeight="1" x14ac:dyDescent="0.25">
      <c r="A3" s="1585" t="s">
        <v>742</v>
      </c>
      <c r="B3" s="1585"/>
      <c r="C3" s="1585"/>
      <c r="D3" s="1585"/>
      <c r="E3" s="1585"/>
      <c r="F3" s="1585"/>
      <c r="G3" s="1585"/>
      <c r="H3" s="1585"/>
      <c r="I3" s="1585"/>
      <c r="J3" s="1585"/>
    </row>
    <row r="4" spans="1:11" ht="15.75" x14ac:dyDescent="0.25">
      <c r="A4" s="80"/>
      <c r="B4" s="81"/>
      <c r="C4" s="81"/>
      <c r="D4" s="82" t="s">
        <v>263</v>
      </c>
      <c r="E4" s="457" t="s">
        <v>1101</v>
      </c>
      <c r="F4" s="83" t="s">
        <v>584</v>
      </c>
      <c r="G4" s="81"/>
      <c r="H4" s="81"/>
      <c r="I4" s="81"/>
      <c r="J4" s="81"/>
    </row>
    <row r="5" spans="1:11" ht="15.75" x14ac:dyDescent="0.25">
      <c r="A5" s="1446" t="s">
        <v>0</v>
      </c>
      <c r="B5" s="1446"/>
      <c r="C5" s="1446"/>
      <c r="D5" s="1446"/>
      <c r="E5" s="1446"/>
      <c r="F5" s="1446"/>
      <c r="G5" s="1446"/>
      <c r="H5" s="1446"/>
      <c r="I5" s="1446"/>
      <c r="J5" s="1446"/>
    </row>
    <row r="6" spans="1:11" ht="19.5" customHeight="1" x14ac:dyDescent="0.25">
      <c r="A6" s="80" t="s">
        <v>80</v>
      </c>
      <c r="B6" s="81"/>
      <c r="C6" s="84">
        <v>111</v>
      </c>
      <c r="D6" s="84">
        <v>112</v>
      </c>
      <c r="E6" s="84">
        <v>119</v>
      </c>
      <c r="F6" s="85"/>
      <c r="G6" s="85"/>
      <c r="H6" s="85"/>
      <c r="I6" s="85"/>
      <c r="J6" s="85"/>
    </row>
    <row r="7" spans="1:11" ht="22.5" customHeight="1" x14ac:dyDescent="0.25">
      <c r="A7" s="80" t="s">
        <v>81</v>
      </c>
      <c r="B7" s="81"/>
      <c r="C7" s="81"/>
      <c r="D7" s="81"/>
      <c r="E7" s="86" t="s">
        <v>82</v>
      </c>
      <c r="F7" s="87"/>
      <c r="G7" s="86"/>
      <c r="H7" s="87"/>
      <c r="I7" s="86" t="s">
        <v>744</v>
      </c>
      <c r="J7" s="87"/>
    </row>
    <row r="8" spans="1:11" ht="21" customHeight="1" x14ac:dyDescent="0.25">
      <c r="A8" s="1384" t="s">
        <v>350</v>
      </c>
      <c r="B8" s="1384"/>
      <c r="C8" s="1384"/>
      <c r="D8" s="1384"/>
      <c r="E8" s="1384"/>
      <c r="F8" s="1384"/>
      <c r="G8" s="1384"/>
      <c r="H8" s="1384"/>
      <c r="I8" s="1384"/>
      <c r="J8" s="1384"/>
    </row>
    <row r="9" spans="1:11" x14ac:dyDescent="0.25">
      <c r="A9" s="1574" t="s">
        <v>1</v>
      </c>
      <c r="B9" s="1579" t="s">
        <v>2</v>
      </c>
      <c r="C9" s="1579" t="s">
        <v>3</v>
      </c>
      <c r="D9" s="1574" t="s">
        <v>4</v>
      </c>
      <c r="E9" s="1574"/>
      <c r="F9" s="1574"/>
      <c r="G9" s="1574"/>
      <c r="H9" s="1574" t="s">
        <v>5</v>
      </c>
      <c r="I9" s="1579" t="s">
        <v>6</v>
      </c>
      <c r="J9" s="1579" t="s">
        <v>305</v>
      </c>
    </row>
    <row r="10" spans="1:11" ht="33" customHeight="1" x14ac:dyDescent="0.25">
      <c r="A10" s="1574"/>
      <c r="B10" s="1579"/>
      <c r="C10" s="1579"/>
      <c r="D10" s="1579" t="s">
        <v>8</v>
      </c>
      <c r="E10" s="1579" t="s">
        <v>9</v>
      </c>
      <c r="F10" s="1579"/>
      <c r="G10" s="1579"/>
      <c r="H10" s="1574"/>
      <c r="I10" s="1579"/>
      <c r="J10" s="1579"/>
    </row>
    <row r="11" spans="1:11" ht="75" x14ac:dyDescent="0.25">
      <c r="A11" s="1574"/>
      <c r="B11" s="1579"/>
      <c r="C11" s="1579"/>
      <c r="D11" s="1579"/>
      <c r="E11" s="171" t="s">
        <v>10</v>
      </c>
      <c r="F11" s="171" t="s">
        <v>11</v>
      </c>
      <c r="G11" s="171" t="s">
        <v>12</v>
      </c>
      <c r="H11" s="1574"/>
      <c r="I11" s="1579"/>
      <c r="J11" s="1579"/>
    </row>
    <row r="12" spans="1:11" ht="14.25" customHeight="1" x14ac:dyDescent="0.25">
      <c r="A12" s="169">
        <v>1</v>
      </c>
      <c r="B12" s="169">
        <v>2</v>
      </c>
      <c r="C12" s="169">
        <v>3</v>
      </c>
      <c r="D12" s="169">
        <v>4</v>
      </c>
      <c r="E12" s="169">
        <v>5</v>
      </c>
      <c r="F12" s="169">
        <v>6</v>
      </c>
      <c r="G12" s="169">
        <v>7</v>
      </c>
      <c r="H12" s="169">
        <v>8</v>
      </c>
      <c r="I12" s="169">
        <v>9</v>
      </c>
      <c r="J12" s="169">
        <v>10</v>
      </c>
    </row>
    <row r="13" spans="1:11" s="41" customFormat="1" x14ac:dyDescent="0.2">
      <c r="A13" s="1580" t="s">
        <v>351</v>
      </c>
      <c r="B13" s="1579"/>
      <c r="C13" s="1579"/>
      <c r="D13" s="1579"/>
      <c r="E13" s="1579"/>
      <c r="F13" s="1579"/>
      <c r="G13" s="1579"/>
      <c r="H13" s="1579"/>
      <c r="I13" s="1579"/>
      <c r="J13" s="1579"/>
    </row>
    <row r="14" spans="1:11" s="41" customFormat="1" hidden="1" x14ac:dyDescent="0.2">
      <c r="A14" s="1581" t="s">
        <v>420</v>
      </c>
      <c r="B14" s="1573"/>
      <c r="C14" s="1573"/>
      <c r="D14" s="1573"/>
      <c r="E14" s="1573"/>
      <c r="F14" s="1573"/>
      <c r="G14" s="1573"/>
      <c r="H14" s="1573"/>
      <c r="I14" s="1573"/>
      <c r="J14" s="1573"/>
    </row>
    <row r="15" spans="1:11" ht="20.25" hidden="1" customHeight="1" x14ac:dyDescent="0.25">
      <c r="A15" s="175">
        <v>1</v>
      </c>
      <c r="B15" s="102" t="s">
        <v>257</v>
      </c>
      <c r="C15" s="175">
        <v>1</v>
      </c>
      <c r="D15" s="103"/>
      <c r="E15" s="103">
        <v>75000</v>
      </c>
      <c r="F15" s="103">
        <v>0</v>
      </c>
      <c r="G15" s="103">
        <v>20000</v>
      </c>
      <c r="H15" s="104">
        <v>50</v>
      </c>
      <c r="I15" s="175">
        <v>1.7</v>
      </c>
      <c r="J15" s="105">
        <f>((C15*D15*(H15/100+I15))*12)</f>
        <v>0</v>
      </c>
      <c r="K15" s="128"/>
    </row>
    <row r="16" spans="1:11" ht="45" hidden="1" customHeight="1" x14ac:dyDescent="0.25">
      <c r="A16" s="175">
        <v>2</v>
      </c>
      <c r="B16" s="102" t="s">
        <v>421</v>
      </c>
      <c r="C16" s="175">
        <v>4</v>
      </c>
      <c r="D16" s="103"/>
      <c r="E16" s="103">
        <v>37800</v>
      </c>
      <c r="F16" s="103">
        <v>0</v>
      </c>
      <c r="G16" s="103">
        <v>6000</v>
      </c>
      <c r="H16" s="104">
        <v>50</v>
      </c>
      <c r="I16" s="175">
        <v>1.7</v>
      </c>
      <c r="J16" s="105">
        <f>((C16*D16*(H16/100+I16))*12)*1</f>
        <v>0</v>
      </c>
    </row>
    <row r="17" spans="1:12" ht="45" hidden="1" customHeight="1" x14ac:dyDescent="0.25">
      <c r="A17" s="175">
        <v>3</v>
      </c>
      <c r="B17" s="102" t="s">
        <v>422</v>
      </c>
      <c r="C17" s="175">
        <v>1</v>
      </c>
      <c r="D17" s="103"/>
      <c r="E17" s="103">
        <v>37800</v>
      </c>
      <c r="F17" s="103">
        <v>0</v>
      </c>
      <c r="G17" s="103">
        <v>6000</v>
      </c>
      <c r="H17" s="104">
        <v>50</v>
      </c>
      <c r="I17" s="175">
        <v>1.7</v>
      </c>
      <c r="J17" s="105">
        <f>((C17*D17*(H17/100+I17))*12)</f>
        <v>0</v>
      </c>
    </row>
    <row r="18" spans="1:12" ht="45" hidden="1" customHeight="1" x14ac:dyDescent="0.25">
      <c r="A18" s="175">
        <v>4</v>
      </c>
      <c r="B18" s="102" t="s">
        <v>423</v>
      </c>
      <c r="C18" s="175">
        <v>0.5</v>
      </c>
      <c r="D18" s="103"/>
      <c r="E18" s="103">
        <v>37800</v>
      </c>
      <c r="F18" s="103">
        <v>0</v>
      </c>
      <c r="G18" s="103">
        <v>6000</v>
      </c>
      <c r="H18" s="104">
        <v>50</v>
      </c>
      <c r="I18" s="175">
        <v>17</v>
      </c>
      <c r="J18" s="105">
        <v>0</v>
      </c>
      <c r="L18" s="1">
        <f>((C18*D18+(H18/100+I18)*12))</f>
        <v>210</v>
      </c>
    </row>
    <row r="19" spans="1:12" ht="49.5" hidden="1" customHeight="1" x14ac:dyDescent="0.25">
      <c r="A19" s="175">
        <v>5</v>
      </c>
      <c r="B19" s="102" t="s">
        <v>424</v>
      </c>
      <c r="C19" s="175">
        <v>1</v>
      </c>
      <c r="D19" s="103"/>
      <c r="E19" s="103">
        <v>37800</v>
      </c>
      <c r="F19" s="103">
        <v>0</v>
      </c>
      <c r="G19" s="103">
        <v>6000</v>
      </c>
      <c r="H19" s="104">
        <v>50</v>
      </c>
      <c r="I19" s="175">
        <v>1.7</v>
      </c>
      <c r="J19" s="105">
        <f>((C19*D19*(H19/100+I19))*12)</f>
        <v>0</v>
      </c>
    </row>
    <row r="20" spans="1:12" hidden="1" x14ac:dyDescent="0.25">
      <c r="A20" s="175">
        <v>6</v>
      </c>
      <c r="B20" s="102" t="s">
        <v>258</v>
      </c>
      <c r="C20" s="175">
        <v>1</v>
      </c>
      <c r="D20" s="103"/>
      <c r="E20" s="103">
        <v>37800</v>
      </c>
      <c r="F20" s="103">
        <v>0</v>
      </c>
      <c r="G20" s="103">
        <v>15000</v>
      </c>
      <c r="H20" s="104">
        <v>50</v>
      </c>
      <c r="I20" s="175">
        <v>1.7</v>
      </c>
      <c r="J20" s="105">
        <f t="shared" ref="J20" si="0">((C20*D20*(H20/100+I20))*12)</f>
        <v>0</v>
      </c>
    </row>
    <row r="21" spans="1:12" ht="28.5" hidden="1" x14ac:dyDescent="0.25">
      <c r="A21" s="106"/>
      <c r="B21" s="107" t="s">
        <v>425</v>
      </c>
      <c r="C21" s="108">
        <f>SUM(C15:C20)</f>
        <v>8.5</v>
      </c>
      <c r="D21" s="109">
        <f>SUM(D15:D20)</f>
        <v>0</v>
      </c>
      <c r="E21" s="108" t="s">
        <v>14</v>
      </c>
      <c r="F21" s="108" t="s">
        <v>14</v>
      </c>
      <c r="G21" s="108" t="s">
        <v>14</v>
      </c>
      <c r="H21" s="108" t="s">
        <v>14</v>
      </c>
      <c r="I21" s="108" t="s">
        <v>14</v>
      </c>
      <c r="J21" s="109">
        <f>SUM(J15:J20)</f>
        <v>0</v>
      </c>
      <c r="K21" s="129"/>
    </row>
    <row r="22" spans="1:12" hidden="1" x14ac:dyDescent="0.25">
      <c r="A22" s="1572" t="s">
        <v>426</v>
      </c>
      <c r="B22" s="1575"/>
      <c r="C22" s="1575"/>
      <c r="D22" s="1575"/>
      <c r="E22" s="1575"/>
      <c r="F22" s="1575"/>
      <c r="G22" s="1575"/>
      <c r="H22" s="1575"/>
      <c r="I22" s="1575"/>
      <c r="J22" s="1575"/>
    </row>
    <row r="23" spans="1:12" ht="18.75" hidden="1" customHeight="1" x14ac:dyDescent="0.25">
      <c r="A23" s="1576" t="s">
        <v>427</v>
      </c>
      <c r="B23" s="1577"/>
      <c r="C23" s="1577"/>
      <c r="D23" s="1577"/>
      <c r="E23" s="1577"/>
      <c r="F23" s="1577"/>
      <c r="G23" s="1577"/>
      <c r="H23" s="1577"/>
      <c r="I23" s="1577"/>
      <c r="J23" s="1578"/>
    </row>
    <row r="24" spans="1:12" hidden="1" x14ac:dyDescent="0.25">
      <c r="A24" s="175">
        <v>1</v>
      </c>
      <c r="B24" s="102" t="s">
        <v>428</v>
      </c>
      <c r="C24" s="175">
        <v>3.5</v>
      </c>
      <c r="D24" s="103"/>
      <c r="E24" s="127">
        <v>10200</v>
      </c>
      <c r="F24" s="103">
        <v>0</v>
      </c>
      <c r="G24" s="103">
        <f>E24*20%</f>
        <v>2040</v>
      </c>
      <c r="H24" s="104">
        <v>50</v>
      </c>
      <c r="I24" s="175">
        <v>1.7</v>
      </c>
      <c r="J24" s="132">
        <f>(C24*D24*(H24/100+I24))*13.8</f>
        <v>0</v>
      </c>
      <c r="K24" s="125"/>
    </row>
    <row r="25" spans="1:12" ht="75" hidden="1" x14ac:dyDescent="0.25">
      <c r="A25" s="175">
        <v>2</v>
      </c>
      <c r="B25" s="102" t="s">
        <v>429</v>
      </c>
      <c r="C25" s="175">
        <v>1</v>
      </c>
      <c r="D25" s="103"/>
      <c r="E25" s="127">
        <v>25000</v>
      </c>
      <c r="F25" s="103">
        <v>0</v>
      </c>
      <c r="G25" s="103">
        <v>5000</v>
      </c>
      <c r="H25" s="104">
        <v>50</v>
      </c>
      <c r="I25" s="175">
        <v>1.7</v>
      </c>
      <c r="J25" s="132">
        <f>(C25*D25*(H25/100+I25))*13</f>
        <v>0</v>
      </c>
    </row>
    <row r="26" spans="1:12" hidden="1" x14ac:dyDescent="0.25">
      <c r="A26" s="175">
        <v>3</v>
      </c>
      <c r="B26" s="102" t="s">
        <v>316</v>
      </c>
      <c r="C26" s="175">
        <v>1.5</v>
      </c>
      <c r="D26" s="103"/>
      <c r="E26" s="127">
        <v>31500</v>
      </c>
      <c r="F26" s="103">
        <v>0</v>
      </c>
      <c r="G26" s="103">
        <f t="shared" ref="G26:G48" si="1">E26*20%</f>
        <v>6300</v>
      </c>
      <c r="H26" s="104">
        <v>50</v>
      </c>
      <c r="I26" s="175">
        <v>1.7</v>
      </c>
      <c r="J26" s="132">
        <f>(C26*D26*(H26/100+I26))*11.4</f>
        <v>0</v>
      </c>
    </row>
    <row r="27" spans="1:12" hidden="1" x14ac:dyDescent="0.25">
      <c r="A27" s="175">
        <v>4</v>
      </c>
      <c r="B27" s="102" t="s">
        <v>430</v>
      </c>
      <c r="C27" s="175">
        <v>2</v>
      </c>
      <c r="D27" s="103"/>
      <c r="E27" s="127">
        <v>14500</v>
      </c>
      <c r="F27" s="103">
        <v>0</v>
      </c>
      <c r="G27" s="103">
        <f t="shared" si="1"/>
        <v>2900</v>
      </c>
      <c r="H27" s="104">
        <v>50</v>
      </c>
      <c r="I27" s="175">
        <v>1.7</v>
      </c>
      <c r="J27" s="132">
        <f>(C27*D27*(H27/100+I27))*14.6</f>
        <v>0</v>
      </c>
    </row>
    <row r="28" spans="1:12" hidden="1" x14ac:dyDescent="0.25">
      <c r="A28" s="175">
        <v>5</v>
      </c>
      <c r="B28" s="102" t="s">
        <v>317</v>
      </c>
      <c r="C28" s="175">
        <v>1</v>
      </c>
      <c r="D28" s="103"/>
      <c r="E28" s="127">
        <v>30000</v>
      </c>
      <c r="F28" s="103">
        <v>0</v>
      </c>
      <c r="G28" s="103">
        <f t="shared" si="1"/>
        <v>6000</v>
      </c>
      <c r="H28" s="104">
        <v>50</v>
      </c>
      <c r="I28" s="175">
        <v>1.7</v>
      </c>
      <c r="J28" s="132">
        <f t="shared" ref="J28" si="2">(C28*D28*(H28/100+I28))*14.6</f>
        <v>0</v>
      </c>
    </row>
    <row r="29" spans="1:12" hidden="1" x14ac:dyDescent="0.25">
      <c r="A29" s="175">
        <v>6</v>
      </c>
      <c r="B29" s="102" t="s">
        <v>315</v>
      </c>
      <c r="C29" s="175">
        <v>2</v>
      </c>
      <c r="D29" s="103"/>
      <c r="E29" s="127">
        <v>32500</v>
      </c>
      <c r="F29" s="103">
        <v>0</v>
      </c>
      <c r="G29" s="103">
        <f t="shared" si="1"/>
        <v>6500</v>
      </c>
      <c r="H29" s="104">
        <v>50</v>
      </c>
      <c r="I29" s="175">
        <v>1.7</v>
      </c>
      <c r="J29" s="132">
        <f>(C29*D29*(H29/100+I29))*13.2</f>
        <v>0</v>
      </c>
    </row>
    <row r="30" spans="1:12" hidden="1" x14ac:dyDescent="0.25">
      <c r="A30" s="175">
        <v>7</v>
      </c>
      <c r="B30" s="102" t="s">
        <v>314</v>
      </c>
      <c r="C30" s="175">
        <v>5</v>
      </c>
      <c r="D30" s="103"/>
      <c r="E30" s="127">
        <v>25000</v>
      </c>
      <c r="F30" s="103">
        <v>0</v>
      </c>
      <c r="G30" s="103">
        <f t="shared" si="1"/>
        <v>5000</v>
      </c>
      <c r="H30" s="104">
        <v>50</v>
      </c>
      <c r="I30" s="175">
        <v>1.7</v>
      </c>
      <c r="J30" s="132">
        <f>(C30*D30*(H30/100+I30))*13.2</f>
        <v>0</v>
      </c>
    </row>
    <row r="31" spans="1:12" ht="30" hidden="1" x14ac:dyDescent="0.25">
      <c r="A31" s="175">
        <v>6</v>
      </c>
      <c r="B31" s="102" t="s">
        <v>431</v>
      </c>
      <c r="C31" s="175">
        <v>7.83</v>
      </c>
      <c r="D31" s="103"/>
      <c r="E31" s="127">
        <v>12000</v>
      </c>
      <c r="F31" s="103">
        <v>0</v>
      </c>
      <c r="G31" s="103">
        <f t="shared" si="1"/>
        <v>2400</v>
      </c>
      <c r="H31" s="104">
        <v>50</v>
      </c>
      <c r="I31" s="175">
        <v>1.7</v>
      </c>
      <c r="J31" s="132">
        <f>(C31*D31*(H31/100+I31))*12.8</f>
        <v>0</v>
      </c>
      <c r="K31" s="77"/>
    </row>
    <row r="32" spans="1:12" hidden="1" x14ac:dyDescent="0.25">
      <c r="A32" s="175">
        <v>14</v>
      </c>
      <c r="B32" s="102" t="s">
        <v>317</v>
      </c>
      <c r="C32" s="175"/>
      <c r="D32" s="103"/>
      <c r="E32" s="127"/>
      <c r="F32" s="103"/>
      <c r="G32" s="103">
        <f t="shared" si="1"/>
        <v>0</v>
      </c>
      <c r="H32" s="104">
        <v>50</v>
      </c>
      <c r="I32" s="175">
        <v>1.7</v>
      </c>
      <c r="J32" s="132">
        <f t="shared" ref="J32" si="3">(C32*D32*(H32/100+I32))*12</f>
        <v>0</v>
      </c>
      <c r="K32" s="77"/>
    </row>
    <row r="33" spans="1:11" hidden="1" x14ac:dyDescent="0.25">
      <c r="A33" s="175">
        <v>7</v>
      </c>
      <c r="B33" s="102" t="s">
        <v>432</v>
      </c>
      <c r="C33" s="175">
        <v>79.83</v>
      </c>
      <c r="D33" s="103"/>
      <c r="E33" s="127">
        <v>10150</v>
      </c>
      <c r="F33" s="103">
        <v>0</v>
      </c>
      <c r="G33" s="103">
        <f t="shared" si="1"/>
        <v>2030</v>
      </c>
      <c r="H33" s="104">
        <v>50</v>
      </c>
      <c r="I33" s="175">
        <v>1.7</v>
      </c>
      <c r="J33" s="105">
        <f>((C33*D33*(H33/100+I33))*12)*1.2</f>
        <v>0</v>
      </c>
      <c r="K33" s="77"/>
    </row>
    <row r="34" spans="1:11" hidden="1" x14ac:dyDescent="0.25">
      <c r="A34" s="175">
        <v>8</v>
      </c>
      <c r="B34" s="102" t="s">
        <v>433</v>
      </c>
      <c r="C34" s="175"/>
      <c r="D34" s="103"/>
      <c r="E34" s="127"/>
      <c r="F34" s="103">
        <v>0</v>
      </c>
      <c r="G34" s="103">
        <f t="shared" si="1"/>
        <v>0</v>
      </c>
      <c r="H34" s="104">
        <v>50</v>
      </c>
      <c r="I34" s="175">
        <v>1.7</v>
      </c>
      <c r="J34" s="105">
        <f t="shared" ref="J34:J44" si="4">((C34*D34*(H34/100+I34))*12)*1.2</f>
        <v>0</v>
      </c>
      <c r="K34" s="77"/>
    </row>
    <row r="35" spans="1:11" s="206" customFormat="1" hidden="1" x14ac:dyDescent="0.25">
      <c r="A35" s="203"/>
      <c r="B35" s="204" t="s">
        <v>434</v>
      </c>
      <c r="C35" s="203">
        <f>SUM(C24:C34)</f>
        <v>103.66</v>
      </c>
      <c r="D35" s="203">
        <f t="shared" ref="D35:J35" si="5">SUM(D24:D34)</f>
        <v>0</v>
      </c>
      <c r="E35" s="203">
        <f t="shared" si="5"/>
        <v>190850</v>
      </c>
      <c r="F35" s="203">
        <f t="shared" si="5"/>
        <v>0</v>
      </c>
      <c r="G35" s="203">
        <f t="shared" si="5"/>
        <v>38170</v>
      </c>
      <c r="H35" s="203">
        <v>0</v>
      </c>
      <c r="I35" s="203">
        <v>0</v>
      </c>
      <c r="J35" s="203">
        <f t="shared" si="5"/>
        <v>0</v>
      </c>
      <c r="K35" s="205"/>
    </row>
    <row r="36" spans="1:11" hidden="1" x14ac:dyDescent="0.25">
      <c r="A36" s="1576" t="s">
        <v>435</v>
      </c>
      <c r="B36" s="1577"/>
      <c r="C36" s="1577"/>
      <c r="D36" s="1577"/>
      <c r="E36" s="1577"/>
      <c r="F36" s="1577"/>
      <c r="G36" s="1577"/>
      <c r="H36" s="1577"/>
      <c r="I36" s="1577"/>
      <c r="J36" s="1578"/>
      <c r="K36" s="77"/>
    </row>
    <row r="37" spans="1:11" hidden="1" x14ac:dyDescent="0.25">
      <c r="A37" s="175">
        <v>1</v>
      </c>
      <c r="B37" s="102" t="s">
        <v>441</v>
      </c>
      <c r="C37" s="175">
        <v>2</v>
      </c>
      <c r="D37" s="103"/>
      <c r="E37" s="127">
        <v>12600</v>
      </c>
      <c r="F37" s="103">
        <v>0</v>
      </c>
      <c r="G37" s="103">
        <f t="shared" ref="G37:G41" si="6">E37*20%</f>
        <v>2520</v>
      </c>
      <c r="H37" s="104">
        <v>50</v>
      </c>
      <c r="I37" s="175">
        <v>1.7</v>
      </c>
      <c r="J37" s="105">
        <f t="shared" ref="J37:J41" si="7">((C37*D37*(H37/100+I37))*12)*1.2</f>
        <v>0</v>
      </c>
      <c r="K37" s="77"/>
    </row>
    <row r="38" spans="1:11" hidden="1" x14ac:dyDescent="0.25">
      <c r="A38" s="175">
        <v>2</v>
      </c>
      <c r="B38" s="102" t="s">
        <v>440</v>
      </c>
      <c r="C38" s="175">
        <v>1.5</v>
      </c>
      <c r="D38" s="103"/>
      <c r="E38" s="127">
        <v>22000</v>
      </c>
      <c r="F38" s="103">
        <v>0</v>
      </c>
      <c r="G38" s="103">
        <f t="shared" si="6"/>
        <v>4400</v>
      </c>
      <c r="H38" s="104">
        <v>50</v>
      </c>
      <c r="I38" s="175">
        <v>1.7</v>
      </c>
      <c r="J38" s="105">
        <f t="shared" si="7"/>
        <v>0</v>
      </c>
      <c r="K38" s="77"/>
    </row>
    <row r="39" spans="1:11" hidden="1" x14ac:dyDescent="0.25">
      <c r="A39" s="175">
        <v>3</v>
      </c>
      <c r="B39" s="102" t="s">
        <v>439</v>
      </c>
      <c r="C39" s="175">
        <v>1.25</v>
      </c>
      <c r="D39" s="103"/>
      <c r="E39" s="127">
        <v>18000</v>
      </c>
      <c r="F39" s="103">
        <v>0</v>
      </c>
      <c r="G39" s="103">
        <f t="shared" si="6"/>
        <v>3600</v>
      </c>
      <c r="H39" s="104">
        <v>50</v>
      </c>
      <c r="I39" s="175">
        <v>1.7</v>
      </c>
      <c r="J39" s="105">
        <f t="shared" si="7"/>
        <v>0</v>
      </c>
      <c r="K39" s="77"/>
    </row>
    <row r="40" spans="1:11" hidden="1" x14ac:dyDescent="0.25">
      <c r="A40" s="175">
        <v>4</v>
      </c>
      <c r="B40" s="102" t="s">
        <v>319</v>
      </c>
      <c r="C40" s="175">
        <v>1.25</v>
      </c>
      <c r="D40" s="103"/>
      <c r="E40" s="127">
        <v>13000</v>
      </c>
      <c r="F40" s="103">
        <v>0</v>
      </c>
      <c r="G40" s="103">
        <f t="shared" si="6"/>
        <v>2600</v>
      </c>
      <c r="H40" s="104">
        <v>50</v>
      </c>
      <c r="I40" s="175">
        <v>1.7</v>
      </c>
      <c r="J40" s="105">
        <f t="shared" si="7"/>
        <v>0</v>
      </c>
      <c r="K40" s="77"/>
    </row>
    <row r="41" spans="1:11" hidden="1" x14ac:dyDescent="0.25">
      <c r="A41" s="175">
        <v>5</v>
      </c>
      <c r="B41" s="102" t="s">
        <v>320</v>
      </c>
      <c r="C41" s="175">
        <v>1</v>
      </c>
      <c r="D41" s="103"/>
      <c r="E41" s="127">
        <v>13000</v>
      </c>
      <c r="F41" s="103">
        <v>0</v>
      </c>
      <c r="G41" s="103">
        <f t="shared" si="6"/>
        <v>2600</v>
      </c>
      <c r="H41" s="104">
        <v>50</v>
      </c>
      <c r="I41" s="175">
        <v>1.7</v>
      </c>
      <c r="J41" s="105">
        <f t="shared" si="7"/>
        <v>0</v>
      </c>
      <c r="K41" s="77"/>
    </row>
    <row r="42" spans="1:11" hidden="1" x14ac:dyDescent="0.25">
      <c r="A42" s="175">
        <v>6</v>
      </c>
      <c r="B42" s="102" t="s">
        <v>438</v>
      </c>
      <c r="C42" s="175">
        <v>1</v>
      </c>
      <c r="D42" s="103"/>
      <c r="E42" s="127">
        <v>11000</v>
      </c>
      <c r="F42" s="103">
        <v>0</v>
      </c>
      <c r="G42" s="103">
        <f t="shared" si="1"/>
        <v>2200</v>
      </c>
      <c r="H42" s="104">
        <v>50</v>
      </c>
      <c r="I42" s="175">
        <v>1.7</v>
      </c>
      <c r="J42" s="105">
        <f t="shared" si="4"/>
        <v>0</v>
      </c>
      <c r="K42" s="77"/>
    </row>
    <row r="43" spans="1:11" ht="30" hidden="1" x14ac:dyDescent="0.25">
      <c r="A43" s="175">
        <v>7</v>
      </c>
      <c r="B43" s="102" t="s">
        <v>437</v>
      </c>
      <c r="C43" s="175">
        <v>1</v>
      </c>
      <c r="D43" s="103"/>
      <c r="E43" s="127">
        <v>12000</v>
      </c>
      <c r="F43" s="103">
        <v>0</v>
      </c>
      <c r="G43" s="103">
        <f t="shared" si="1"/>
        <v>2400</v>
      </c>
      <c r="H43" s="104">
        <v>50</v>
      </c>
      <c r="I43" s="175">
        <v>1.7</v>
      </c>
      <c r="J43" s="105">
        <f t="shared" si="4"/>
        <v>0</v>
      </c>
      <c r="K43" s="77"/>
    </row>
    <row r="44" spans="1:11" ht="30" hidden="1" x14ac:dyDescent="0.25">
      <c r="A44" s="175">
        <v>8</v>
      </c>
      <c r="B44" s="102" t="s">
        <v>436</v>
      </c>
      <c r="C44" s="175">
        <v>1</v>
      </c>
      <c r="D44" s="103"/>
      <c r="E44" s="127">
        <v>22000</v>
      </c>
      <c r="F44" s="103">
        <v>0</v>
      </c>
      <c r="G44" s="103">
        <f t="shared" si="1"/>
        <v>4400</v>
      </c>
      <c r="H44" s="104">
        <v>50</v>
      </c>
      <c r="I44" s="175">
        <v>1.7</v>
      </c>
      <c r="J44" s="105">
        <f t="shared" si="4"/>
        <v>0</v>
      </c>
      <c r="K44" s="77"/>
    </row>
    <row r="45" spans="1:11" ht="30" hidden="1" x14ac:dyDescent="0.25">
      <c r="A45" s="175">
        <v>9</v>
      </c>
      <c r="B45" s="102" t="s">
        <v>318</v>
      </c>
      <c r="C45" s="175">
        <v>1</v>
      </c>
      <c r="D45" s="103"/>
      <c r="E45" s="127">
        <v>14000</v>
      </c>
      <c r="F45" s="103">
        <v>0</v>
      </c>
      <c r="G45" s="103">
        <f t="shared" si="1"/>
        <v>2800</v>
      </c>
      <c r="H45" s="104">
        <v>50</v>
      </c>
      <c r="I45" s="175">
        <v>1.7</v>
      </c>
      <c r="J45" s="105">
        <f>((C45*D45*(H45/100+I45))*12)*1.2</f>
        <v>0</v>
      </c>
      <c r="K45" s="128"/>
    </row>
    <row r="46" spans="1:11" hidden="1" x14ac:dyDescent="0.25">
      <c r="A46" s="175">
        <v>10</v>
      </c>
      <c r="B46" s="102" t="s">
        <v>442</v>
      </c>
      <c r="C46" s="175">
        <v>1</v>
      </c>
      <c r="D46" s="103"/>
      <c r="E46" s="127">
        <v>13000</v>
      </c>
      <c r="F46" s="103">
        <v>0</v>
      </c>
      <c r="G46" s="103">
        <f t="shared" si="1"/>
        <v>2600</v>
      </c>
      <c r="H46" s="104">
        <v>50</v>
      </c>
      <c r="I46" s="175">
        <v>1.7</v>
      </c>
      <c r="J46" s="105">
        <f>((C46*D46*(H46/100+I46))*12)*1</f>
        <v>0</v>
      </c>
    </row>
    <row r="47" spans="1:11" hidden="1" x14ac:dyDescent="0.25">
      <c r="A47" s="175">
        <v>11</v>
      </c>
      <c r="B47" s="102" t="s">
        <v>443</v>
      </c>
      <c r="C47" s="175">
        <v>1</v>
      </c>
      <c r="D47" s="103"/>
      <c r="E47" s="127">
        <v>12000</v>
      </c>
      <c r="F47" s="103">
        <v>0</v>
      </c>
      <c r="G47" s="103">
        <f t="shared" si="1"/>
        <v>2400</v>
      </c>
      <c r="H47" s="104">
        <v>50</v>
      </c>
      <c r="I47" s="175">
        <v>1.7</v>
      </c>
      <c r="J47" s="105">
        <f>((C47*D47*(H47/100+I47))*12)*1.4</f>
        <v>0</v>
      </c>
    </row>
    <row r="48" spans="1:11" hidden="1" x14ac:dyDescent="0.25">
      <c r="A48" s="175">
        <v>12</v>
      </c>
      <c r="B48" s="102" t="s">
        <v>444</v>
      </c>
      <c r="C48" s="175">
        <v>2</v>
      </c>
      <c r="D48" s="103"/>
      <c r="E48" s="127">
        <v>14000</v>
      </c>
      <c r="F48" s="103">
        <v>0</v>
      </c>
      <c r="G48" s="103">
        <f t="shared" si="1"/>
        <v>2800</v>
      </c>
      <c r="H48" s="104">
        <v>50</v>
      </c>
      <c r="I48" s="175">
        <v>1.7</v>
      </c>
      <c r="J48" s="105">
        <f>((C48*D48*(H48/100+I48))*12)*1.3</f>
        <v>0</v>
      </c>
    </row>
    <row r="49" spans="1:11" s="206" customFormat="1" hidden="1" x14ac:dyDescent="0.25">
      <c r="A49" s="203"/>
      <c r="B49" s="204" t="s">
        <v>445</v>
      </c>
      <c r="C49" s="203">
        <f>SUM(C37:C48)</f>
        <v>15</v>
      </c>
      <c r="D49" s="203"/>
      <c r="E49" s="203">
        <f t="shared" ref="E49:J49" si="8">SUM(E37:E48)</f>
        <v>176600</v>
      </c>
      <c r="F49" s="203">
        <f t="shared" si="8"/>
        <v>0</v>
      </c>
      <c r="G49" s="203">
        <f t="shared" si="8"/>
        <v>35320</v>
      </c>
      <c r="H49" s="203">
        <v>0</v>
      </c>
      <c r="I49" s="203">
        <v>0</v>
      </c>
      <c r="J49" s="203">
        <f t="shared" si="8"/>
        <v>0</v>
      </c>
    </row>
    <row r="50" spans="1:11" ht="28.5" hidden="1" x14ac:dyDescent="0.25">
      <c r="A50" s="106"/>
      <c r="B50" s="107" t="s">
        <v>446</v>
      </c>
      <c r="C50" s="108">
        <f>C35+C49</f>
        <v>118.66</v>
      </c>
      <c r="D50" s="108">
        <f>D35+D49</f>
        <v>0</v>
      </c>
      <c r="E50" s="108" t="s">
        <v>14</v>
      </c>
      <c r="F50" s="108" t="s">
        <v>14</v>
      </c>
      <c r="G50" s="108" t="s">
        <v>14</v>
      </c>
      <c r="H50" s="108" t="s">
        <v>14</v>
      </c>
      <c r="I50" s="108" t="s">
        <v>14</v>
      </c>
      <c r="J50" s="108">
        <f>J35+J49</f>
        <v>0</v>
      </c>
    </row>
    <row r="51" spans="1:11" hidden="1" x14ac:dyDescent="0.25">
      <c r="A51" s="1572" t="s">
        <v>450</v>
      </c>
      <c r="B51" s="1575"/>
      <c r="C51" s="1575"/>
      <c r="D51" s="1575"/>
      <c r="E51" s="1575"/>
      <c r="F51" s="1575"/>
      <c r="G51" s="1575"/>
      <c r="H51" s="1575"/>
      <c r="I51" s="1575"/>
      <c r="J51" s="1575"/>
    </row>
    <row r="52" spans="1:11" hidden="1" x14ac:dyDescent="0.25">
      <c r="A52" s="175">
        <v>1</v>
      </c>
      <c r="B52" s="102" t="s">
        <v>321</v>
      </c>
      <c r="C52" s="175">
        <v>1</v>
      </c>
      <c r="D52" s="103"/>
      <c r="E52" s="127">
        <v>10000</v>
      </c>
      <c r="F52" s="103">
        <v>0</v>
      </c>
      <c r="G52" s="103">
        <f>E52*20%</f>
        <v>2000</v>
      </c>
      <c r="H52" s="104">
        <v>50</v>
      </c>
      <c r="I52" s="175">
        <v>1.7</v>
      </c>
      <c r="J52" s="105">
        <f>((C52*D52*(H52/100+I52))*12)*1.37</f>
        <v>0</v>
      </c>
      <c r="K52" s="128"/>
    </row>
    <row r="53" spans="1:11" hidden="1" x14ac:dyDescent="0.25">
      <c r="A53" s="175">
        <v>2</v>
      </c>
      <c r="B53" s="102" t="s">
        <v>448</v>
      </c>
      <c r="C53" s="175">
        <v>1</v>
      </c>
      <c r="D53" s="103"/>
      <c r="E53" s="127">
        <v>9500</v>
      </c>
      <c r="F53" s="103">
        <v>0</v>
      </c>
      <c r="G53" s="103"/>
      <c r="H53" s="104">
        <v>50</v>
      </c>
      <c r="I53" s="175">
        <v>1.7</v>
      </c>
      <c r="J53" s="105">
        <f>((C53*D53*(H53/100+I53))*12)*1.37</f>
        <v>0</v>
      </c>
      <c r="K53" s="128"/>
    </row>
    <row r="54" spans="1:11" ht="30" hidden="1" x14ac:dyDescent="0.25">
      <c r="A54" s="175">
        <v>3</v>
      </c>
      <c r="B54" s="102" t="s">
        <v>449</v>
      </c>
      <c r="C54" s="175">
        <v>0.17</v>
      </c>
      <c r="D54" s="103"/>
      <c r="E54" s="127">
        <v>8500</v>
      </c>
      <c r="F54" s="103">
        <v>0</v>
      </c>
      <c r="G54" s="103">
        <f>E54*20%</f>
        <v>1700</v>
      </c>
      <c r="H54" s="104">
        <v>50</v>
      </c>
      <c r="I54" s="175">
        <v>1.7</v>
      </c>
      <c r="J54" s="105">
        <f>((C54*D54*(H54/100+I54))*12)*1.22</f>
        <v>0</v>
      </c>
    </row>
    <row r="55" spans="1:11" ht="28.5" hidden="1" x14ac:dyDescent="0.25">
      <c r="A55" s="106"/>
      <c r="B55" s="107" t="s">
        <v>447</v>
      </c>
      <c r="C55" s="108">
        <f>SUM(C52:C54)</f>
        <v>2.17</v>
      </c>
      <c r="D55" s="110">
        <f>SUM(D52:D54)</f>
        <v>0</v>
      </c>
      <c r="E55" s="108" t="s">
        <v>14</v>
      </c>
      <c r="F55" s="108" t="s">
        <v>14</v>
      </c>
      <c r="G55" s="108" t="s">
        <v>14</v>
      </c>
      <c r="H55" s="108" t="s">
        <v>14</v>
      </c>
      <c r="I55" s="108" t="s">
        <v>14</v>
      </c>
      <c r="J55" s="111">
        <f>SUM(J52:J54)</f>
        <v>0</v>
      </c>
    </row>
    <row r="56" spans="1:11" hidden="1" x14ac:dyDescent="0.25">
      <c r="A56" s="1572" t="s">
        <v>451</v>
      </c>
      <c r="B56" s="1573"/>
      <c r="C56" s="1573"/>
      <c r="D56" s="1573"/>
      <c r="E56" s="1573"/>
      <c r="F56" s="1573"/>
      <c r="G56" s="1573"/>
      <c r="H56" s="1573"/>
      <c r="I56" s="1573"/>
      <c r="J56" s="1573"/>
    </row>
    <row r="57" spans="1:11" ht="30" hidden="1" x14ac:dyDescent="0.25">
      <c r="A57" s="175">
        <v>1</v>
      </c>
      <c r="B57" s="102" t="s">
        <v>309</v>
      </c>
      <c r="C57" s="175">
        <v>14</v>
      </c>
      <c r="D57" s="103"/>
      <c r="E57" s="127">
        <v>12500</v>
      </c>
      <c r="F57" s="103">
        <f>E57*2%</f>
        <v>250</v>
      </c>
      <c r="G57" s="103">
        <f>E57*18%</f>
        <v>2250</v>
      </c>
      <c r="H57" s="104">
        <v>50</v>
      </c>
      <c r="I57" s="175">
        <v>1.7</v>
      </c>
      <c r="J57" s="105">
        <f>((C57*D57*(H57/100+I57))*12)*1.2</f>
        <v>0</v>
      </c>
      <c r="K57" s="128"/>
    </row>
    <row r="58" spans="1:11" hidden="1" x14ac:dyDescent="0.25">
      <c r="A58" s="175">
        <v>2</v>
      </c>
      <c r="B58" s="102" t="s">
        <v>452</v>
      </c>
      <c r="C58" s="175">
        <v>1</v>
      </c>
      <c r="D58" s="103"/>
      <c r="E58" s="127">
        <v>12000</v>
      </c>
      <c r="F58" s="103">
        <v>0</v>
      </c>
      <c r="G58" s="103">
        <f>E58*20%</f>
        <v>2400</v>
      </c>
      <c r="H58" s="104">
        <v>50</v>
      </c>
      <c r="I58" s="175">
        <v>1.7</v>
      </c>
      <c r="J58" s="105">
        <f>((C58*D58*(H58/100+I58))*12)*1.2</f>
        <v>0</v>
      </c>
      <c r="K58" s="128"/>
    </row>
    <row r="59" spans="1:11" ht="45" hidden="1" x14ac:dyDescent="0.25">
      <c r="A59" s="175">
        <v>3</v>
      </c>
      <c r="B59" s="102" t="s">
        <v>307</v>
      </c>
      <c r="C59" s="175">
        <v>1.5</v>
      </c>
      <c r="D59" s="103"/>
      <c r="E59" s="127">
        <v>11000</v>
      </c>
      <c r="F59" s="103">
        <v>0</v>
      </c>
      <c r="G59" s="103">
        <f>E59*20%</f>
        <v>2200</v>
      </c>
      <c r="H59" s="104">
        <v>50</v>
      </c>
      <c r="I59" s="175">
        <v>1.7</v>
      </c>
      <c r="J59" s="105">
        <f>((C59*D59*(H59/100+I59))*12)*1.13</f>
        <v>0</v>
      </c>
    </row>
    <row r="60" spans="1:11" hidden="1" x14ac:dyDescent="0.25">
      <c r="A60" s="175">
        <v>4</v>
      </c>
      <c r="B60" s="102" t="s">
        <v>310</v>
      </c>
      <c r="C60" s="175">
        <v>3</v>
      </c>
      <c r="D60" s="103"/>
      <c r="E60" s="127">
        <v>12000</v>
      </c>
      <c r="F60" s="103">
        <v>0</v>
      </c>
      <c r="G60" s="103">
        <f t="shared" ref="G60:G63" si="9">E60*20%</f>
        <v>2400</v>
      </c>
      <c r="H60" s="104">
        <v>50</v>
      </c>
      <c r="I60" s="175">
        <v>1.7</v>
      </c>
      <c r="J60" s="105">
        <f t="shared" ref="J60:J63" si="10">((C60*D60*(H60/100+I60))*12)*1.13</f>
        <v>0</v>
      </c>
    </row>
    <row r="61" spans="1:11" hidden="1" x14ac:dyDescent="0.25">
      <c r="A61" s="175">
        <v>5</v>
      </c>
      <c r="B61" s="102" t="s">
        <v>453</v>
      </c>
      <c r="C61" s="175">
        <v>2</v>
      </c>
      <c r="D61" s="103"/>
      <c r="E61" s="127">
        <v>8000</v>
      </c>
      <c r="F61" s="103">
        <v>0</v>
      </c>
      <c r="G61" s="103">
        <f t="shared" si="9"/>
        <v>1600</v>
      </c>
      <c r="H61" s="104">
        <v>50</v>
      </c>
      <c r="I61" s="175">
        <v>1.7</v>
      </c>
      <c r="J61" s="105">
        <f t="shared" si="10"/>
        <v>0</v>
      </c>
    </row>
    <row r="62" spans="1:11" hidden="1" x14ac:dyDescent="0.25">
      <c r="A62" s="175">
        <v>6</v>
      </c>
      <c r="B62" s="102" t="s">
        <v>308</v>
      </c>
      <c r="C62" s="175">
        <v>1</v>
      </c>
      <c r="D62" s="103"/>
      <c r="E62" s="127">
        <v>10000</v>
      </c>
      <c r="F62" s="103">
        <v>0</v>
      </c>
      <c r="G62" s="103">
        <f t="shared" si="9"/>
        <v>2000</v>
      </c>
      <c r="H62" s="104">
        <v>50</v>
      </c>
      <c r="I62" s="175">
        <v>1.7</v>
      </c>
      <c r="J62" s="105">
        <f t="shared" si="10"/>
        <v>0</v>
      </c>
    </row>
    <row r="63" spans="1:11" hidden="1" x14ac:dyDescent="0.25">
      <c r="A63" s="175">
        <v>7</v>
      </c>
      <c r="B63" s="102" t="s">
        <v>311</v>
      </c>
      <c r="C63" s="175">
        <v>2</v>
      </c>
      <c r="D63" s="103"/>
      <c r="E63" s="127">
        <v>10000</v>
      </c>
      <c r="F63" s="103">
        <v>0</v>
      </c>
      <c r="G63" s="103">
        <f t="shared" si="9"/>
        <v>2000</v>
      </c>
      <c r="H63" s="104">
        <v>50</v>
      </c>
      <c r="I63" s="175">
        <v>1.7</v>
      </c>
      <c r="J63" s="105">
        <f t="shared" si="10"/>
        <v>0</v>
      </c>
    </row>
    <row r="64" spans="1:11" ht="28.5" hidden="1" x14ac:dyDescent="0.25">
      <c r="A64" s="106"/>
      <c r="B64" s="107" t="s">
        <v>454</v>
      </c>
      <c r="C64" s="108">
        <f>SUM(C57:C63)</f>
        <v>24.5</v>
      </c>
      <c r="D64" s="110">
        <f>SUM(D57:D63)</f>
        <v>0</v>
      </c>
      <c r="E64" s="108" t="s">
        <v>14</v>
      </c>
      <c r="F64" s="108" t="s">
        <v>14</v>
      </c>
      <c r="G64" s="108" t="s">
        <v>14</v>
      </c>
      <c r="H64" s="108" t="s">
        <v>14</v>
      </c>
      <c r="I64" s="108" t="s">
        <v>14</v>
      </c>
      <c r="J64" s="111">
        <f>SUM(J57:J63)</f>
        <v>0</v>
      </c>
      <c r="K64" s="129"/>
    </row>
    <row r="65" spans="1:12" s="41" customFormat="1" hidden="1" x14ac:dyDescent="0.2">
      <c r="A65" s="1582" t="s">
        <v>313</v>
      </c>
      <c r="B65" s="1583"/>
      <c r="C65" s="1583"/>
      <c r="D65" s="1583"/>
      <c r="E65" s="1583"/>
      <c r="F65" s="1583"/>
      <c r="G65" s="1583"/>
      <c r="H65" s="1583"/>
      <c r="I65" s="1583"/>
      <c r="J65" s="120"/>
    </row>
    <row r="66" spans="1:12" hidden="1" x14ac:dyDescent="0.25">
      <c r="A66" s="1584" t="s">
        <v>324</v>
      </c>
      <c r="B66" s="1584"/>
      <c r="C66" s="78">
        <f>C21+C50+C55+C64</f>
        <v>153.82999999999998</v>
      </c>
      <c r="D66" s="79">
        <f>D21+D50+D55+D64</f>
        <v>0</v>
      </c>
      <c r="E66" s="78" t="s">
        <v>14</v>
      </c>
      <c r="F66" s="78" t="s">
        <v>14</v>
      </c>
      <c r="G66" s="78" t="s">
        <v>14</v>
      </c>
      <c r="H66" s="78" t="s">
        <v>14</v>
      </c>
      <c r="I66" s="78" t="s">
        <v>14</v>
      </c>
      <c r="J66" s="144">
        <f>J21+J50+J55+J64</f>
        <v>0</v>
      </c>
      <c r="L66" s="77"/>
    </row>
    <row r="67" spans="1:12" ht="68.25" customHeight="1" x14ac:dyDescent="0.25">
      <c r="A67" s="1574" t="s">
        <v>743</v>
      </c>
      <c r="B67" s="1574"/>
      <c r="C67" s="252">
        <v>35</v>
      </c>
      <c r="D67" s="252">
        <f>SUM(E67:G67)</f>
        <v>5000</v>
      </c>
      <c r="E67" s="252">
        <v>5000</v>
      </c>
      <c r="F67" s="252">
        <v>0</v>
      </c>
      <c r="G67" s="252">
        <v>0</v>
      </c>
      <c r="H67" s="252">
        <v>0.5</v>
      </c>
      <c r="I67" s="252">
        <v>1.5</v>
      </c>
      <c r="J67" s="554">
        <f>C67*D67*(H67+I67)*12</f>
        <v>4200000</v>
      </c>
      <c r="L67" s="77"/>
    </row>
    <row r="68" spans="1:12" ht="21.75" customHeight="1" x14ac:dyDescent="0.25">
      <c r="A68" s="1586" t="s">
        <v>617</v>
      </c>
      <c r="B68" s="1587"/>
      <c r="C68" s="1587"/>
      <c r="D68" s="1587"/>
      <c r="E68" s="1587"/>
      <c r="F68" s="1587"/>
      <c r="G68" s="1587"/>
      <c r="H68" s="1587"/>
      <c r="I68" s="1588"/>
      <c r="J68" s="210">
        <f>J66+J67</f>
        <v>4200000</v>
      </c>
      <c r="L68" s="77"/>
    </row>
    <row r="69" spans="1:12" ht="39.75" hidden="1" customHeight="1" x14ac:dyDescent="0.25">
      <c r="A69" s="178"/>
      <c r="B69" s="179"/>
      <c r="C69" s="179"/>
      <c r="D69" s="179"/>
      <c r="E69" s="179"/>
      <c r="F69" s="179"/>
      <c r="G69" s="179"/>
      <c r="H69" s="179"/>
      <c r="I69" s="180"/>
      <c r="J69" s="143"/>
      <c r="L69" s="77"/>
    </row>
    <row r="70" spans="1:12" ht="15.75" hidden="1" x14ac:dyDescent="0.25">
      <c r="A70" s="112"/>
      <c r="B70" s="112"/>
      <c r="C70" s="170"/>
      <c r="D70" s="113"/>
      <c r="E70" s="170"/>
      <c r="F70" s="170"/>
      <c r="G70" s="170"/>
      <c r="H70" s="170"/>
      <c r="I70" s="170"/>
      <c r="J70" s="114"/>
    </row>
    <row r="71" spans="1:12" hidden="1" x14ac:dyDescent="0.25">
      <c r="A71" s="1579" t="s">
        <v>1</v>
      </c>
      <c r="B71" s="1579" t="s">
        <v>2</v>
      </c>
      <c r="C71" s="1579" t="s">
        <v>3</v>
      </c>
      <c r="D71" s="1574" t="s">
        <v>4</v>
      </c>
      <c r="E71" s="1574"/>
      <c r="F71" s="1574"/>
      <c r="G71" s="1574"/>
      <c r="H71" s="1579" t="s">
        <v>5</v>
      </c>
      <c r="I71" s="1579" t="s">
        <v>6</v>
      </c>
      <c r="J71" s="1579" t="s">
        <v>305</v>
      </c>
    </row>
    <row r="72" spans="1:12" hidden="1" x14ac:dyDescent="0.25">
      <c r="A72" s="1579"/>
      <c r="B72" s="1579"/>
      <c r="C72" s="1579"/>
      <c r="D72" s="1579" t="s">
        <v>8</v>
      </c>
      <c r="E72" s="1574" t="s">
        <v>9</v>
      </c>
      <c r="F72" s="1574"/>
      <c r="G72" s="1574"/>
      <c r="H72" s="1579"/>
      <c r="I72" s="1579"/>
      <c r="J72" s="1579"/>
    </row>
    <row r="73" spans="1:12" ht="75" hidden="1" x14ac:dyDescent="0.25">
      <c r="A73" s="1579"/>
      <c r="B73" s="1579"/>
      <c r="C73" s="1579"/>
      <c r="D73" s="1579"/>
      <c r="E73" s="171" t="s">
        <v>10</v>
      </c>
      <c r="F73" s="171" t="s">
        <v>11</v>
      </c>
      <c r="G73" s="171" t="s">
        <v>12</v>
      </c>
      <c r="H73" s="1579"/>
      <c r="I73" s="1579"/>
      <c r="J73" s="1579"/>
    </row>
    <row r="74" spans="1:12" hidden="1" x14ac:dyDescent="0.25">
      <c r="A74" s="175">
        <v>1</v>
      </c>
      <c r="B74" s="175">
        <v>2</v>
      </c>
      <c r="C74" s="175">
        <v>3</v>
      </c>
      <c r="D74" s="175">
        <v>4</v>
      </c>
      <c r="E74" s="175">
        <v>5</v>
      </c>
      <c r="F74" s="175">
        <v>6</v>
      </c>
      <c r="G74" s="175">
        <v>7</v>
      </c>
      <c r="H74" s="175">
        <v>8</v>
      </c>
      <c r="I74" s="175">
        <v>9</v>
      </c>
      <c r="J74" s="175">
        <v>10</v>
      </c>
    </row>
    <row r="75" spans="1:12" hidden="1" x14ac:dyDescent="0.25">
      <c r="A75" s="1572" t="s">
        <v>306</v>
      </c>
      <c r="B75" s="1573"/>
      <c r="C75" s="1573"/>
      <c r="D75" s="1573"/>
      <c r="E75" s="1573"/>
      <c r="F75" s="1573"/>
      <c r="G75" s="1573"/>
      <c r="H75" s="1573"/>
      <c r="I75" s="1573"/>
      <c r="J75" s="1573"/>
    </row>
    <row r="76" spans="1:12" ht="45" hidden="1" x14ac:dyDescent="0.25">
      <c r="A76" s="175">
        <v>1</v>
      </c>
      <c r="B76" s="102" t="s">
        <v>307</v>
      </c>
      <c r="C76" s="175"/>
      <c r="D76" s="115">
        <f>E76+F76+G76</f>
        <v>0</v>
      </c>
      <c r="E76" s="130"/>
      <c r="F76" s="115"/>
      <c r="G76" s="115">
        <f>(E76+F76)*20%</f>
        <v>0</v>
      </c>
      <c r="H76" s="104">
        <v>50</v>
      </c>
      <c r="I76" s="175">
        <v>1.7</v>
      </c>
      <c r="J76" s="116">
        <f>(C76*D76*(H76/100+I76))*12.5</f>
        <v>0</v>
      </c>
      <c r="L76" s="77"/>
    </row>
    <row r="77" spans="1:12" ht="15.75" hidden="1" customHeight="1" x14ac:dyDescent="0.25">
      <c r="A77" s="175">
        <v>2</v>
      </c>
      <c r="B77" s="102" t="s">
        <v>308</v>
      </c>
      <c r="C77" s="175"/>
      <c r="D77" s="115">
        <f t="shared" ref="D77:D78" si="11">E77+F77+G77</f>
        <v>0</v>
      </c>
      <c r="E77" s="130"/>
      <c r="F77" s="115"/>
      <c r="G77" s="115">
        <f>(E77+F77)*20%</f>
        <v>0</v>
      </c>
      <c r="H77" s="104">
        <v>50</v>
      </c>
      <c r="I77" s="175">
        <v>1.7</v>
      </c>
      <c r="J77" s="116">
        <f>(C77*D77*(H77/100+I77))*12.5</f>
        <v>0</v>
      </c>
    </row>
    <row r="78" spans="1:12" ht="30" hidden="1" x14ac:dyDescent="0.25">
      <c r="A78" s="175">
        <v>3</v>
      </c>
      <c r="B78" s="102" t="s">
        <v>309</v>
      </c>
      <c r="C78" s="175"/>
      <c r="D78" s="115">
        <f t="shared" si="11"/>
        <v>0</v>
      </c>
      <c r="E78" s="115"/>
      <c r="F78" s="115"/>
      <c r="G78" s="115">
        <f>(E78+F78)*20%</f>
        <v>0</v>
      </c>
      <c r="H78" s="104">
        <v>50</v>
      </c>
      <c r="I78" s="175">
        <v>1.7</v>
      </c>
      <c r="J78" s="116">
        <f>(C78*D78*(H78/100+I78))*12.5</f>
        <v>0</v>
      </c>
    </row>
    <row r="79" spans="1:12" hidden="1" x14ac:dyDescent="0.25">
      <c r="A79" s="175">
        <v>4</v>
      </c>
      <c r="B79" s="102" t="s">
        <v>310</v>
      </c>
      <c r="C79" s="175"/>
      <c r="D79" s="115">
        <f>E79+F79+G79</f>
        <v>0</v>
      </c>
      <c r="E79" s="115"/>
      <c r="F79" s="115"/>
      <c r="G79" s="115">
        <f>(E79+F79)*20%</f>
        <v>0</v>
      </c>
      <c r="H79" s="104">
        <v>50</v>
      </c>
      <c r="I79" s="175">
        <v>1.7</v>
      </c>
      <c r="J79" s="116">
        <f>(C79*D79*(H79/100+I79))*12.5</f>
        <v>0</v>
      </c>
    </row>
    <row r="80" spans="1:12" ht="21.75" hidden="1" customHeight="1" x14ac:dyDescent="0.25">
      <c r="A80" s="175">
        <v>5</v>
      </c>
      <c r="B80" s="102" t="s">
        <v>311</v>
      </c>
      <c r="C80" s="175"/>
      <c r="D80" s="115">
        <f t="shared" ref="D80" si="12">E80+F80+G80</f>
        <v>0</v>
      </c>
      <c r="E80" s="115"/>
      <c r="F80" s="115"/>
      <c r="G80" s="115">
        <f t="shared" ref="G80" si="13">(E80+F80)*20%</f>
        <v>0</v>
      </c>
      <c r="H80" s="104">
        <v>50</v>
      </c>
      <c r="I80" s="175">
        <v>1.7</v>
      </c>
      <c r="J80" s="116">
        <f>(C80*D80*(H80/100+I80))*12.5</f>
        <v>0</v>
      </c>
      <c r="K80" s="77"/>
    </row>
    <row r="81" spans="1:12" ht="16.5" hidden="1" customHeight="1" x14ac:dyDescent="0.25">
      <c r="A81" s="106"/>
      <c r="B81" s="117" t="s">
        <v>312</v>
      </c>
      <c r="C81" s="118">
        <f>SUM(C76:C80)</f>
        <v>0</v>
      </c>
      <c r="D81" s="119">
        <f>SUM(D76:D80)</f>
        <v>0</v>
      </c>
      <c r="E81" s="118" t="s">
        <v>14</v>
      </c>
      <c r="F81" s="118" t="s">
        <v>14</v>
      </c>
      <c r="G81" s="118" t="s">
        <v>14</v>
      </c>
      <c r="H81" s="118" t="s">
        <v>14</v>
      </c>
      <c r="I81" s="118" t="s">
        <v>14</v>
      </c>
      <c r="J81" s="120">
        <f>SUM(J76:J80)</f>
        <v>0</v>
      </c>
    </row>
    <row r="82" spans="1:12" ht="15.75" hidden="1" customHeight="1" x14ac:dyDescent="0.25">
      <c r="A82" s="1590" t="s">
        <v>336</v>
      </c>
      <c r="B82" s="1591"/>
      <c r="C82" s="1591"/>
      <c r="D82" s="1591"/>
      <c r="E82" s="1591"/>
      <c r="F82" s="1591"/>
      <c r="G82" s="1591"/>
      <c r="H82" s="1591"/>
      <c r="I82" s="1592"/>
      <c r="J82" s="120"/>
    </row>
    <row r="83" spans="1:12" s="41" customFormat="1" hidden="1" x14ac:dyDescent="0.2">
      <c r="A83" s="1590" t="s">
        <v>413</v>
      </c>
      <c r="B83" s="1591"/>
      <c r="C83" s="1591"/>
      <c r="D83" s="1591"/>
      <c r="E83" s="1591"/>
      <c r="F83" s="1591"/>
      <c r="G83" s="1591"/>
      <c r="H83" s="1591"/>
      <c r="I83" s="1592"/>
      <c r="J83" s="134"/>
    </row>
    <row r="84" spans="1:12" s="41" customFormat="1" hidden="1" x14ac:dyDescent="0.2">
      <c r="A84" s="207" t="s">
        <v>372</v>
      </c>
      <c r="B84" s="208"/>
      <c r="C84" s="209"/>
      <c r="D84" s="209"/>
      <c r="E84" s="209"/>
      <c r="F84" s="209"/>
      <c r="G84" s="209"/>
      <c r="H84" s="209"/>
      <c r="I84" s="209"/>
      <c r="J84" s="134"/>
    </row>
    <row r="85" spans="1:12" s="41" customFormat="1" ht="15.75" hidden="1" x14ac:dyDescent="0.2">
      <c r="A85" s="1593" t="s">
        <v>456</v>
      </c>
      <c r="B85" s="1594"/>
      <c r="C85" s="1594"/>
      <c r="D85" s="1594"/>
      <c r="E85" s="1594"/>
      <c r="F85" s="1594"/>
      <c r="G85" s="1594"/>
      <c r="H85" s="1594"/>
      <c r="I85" s="1594"/>
      <c r="J85" s="1595"/>
    </row>
    <row r="86" spans="1:12" ht="21" hidden="1" customHeight="1" x14ac:dyDescent="0.25">
      <c r="A86" s="1596" t="s">
        <v>457</v>
      </c>
      <c r="B86" s="1597"/>
      <c r="C86" s="121">
        <v>2.4</v>
      </c>
      <c r="D86" s="122">
        <f>D81</f>
        <v>0</v>
      </c>
      <c r="E86" s="123" t="s">
        <v>14</v>
      </c>
      <c r="F86" s="123" t="s">
        <v>14</v>
      </c>
      <c r="G86" s="123" t="s">
        <v>14</v>
      </c>
      <c r="H86" s="123" t="s">
        <v>14</v>
      </c>
      <c r="I86" s="123" t="s">
        <v>14</v>
      </c>
      <c r="J86" s="217">
        <v>0</v>
      </c>
      <c r="K86" s="77"/>
      <c r="L86" s="77"/>
    </row>
    <row r="87" spans="1:12" ht="21" customHeight="1" x14ac:dyDescent="0.25">
      <c r="A87" s="1598" t="s">
        <v>718</v>
      </c>
      <c r="B87" s="1599"/>
      <c r="C87" s="1599"/>
      <c r="D87" s="1599"/>
      <c r="E87" s="1599"/>
      <c r="F87" s="1599"/>
      <c r="G87" s="1599"/>
      <c r="H87" s="1599"/>
      <c r="I87" s="1599"/>
      <c r="J87" s="218">
        <f>J86+J68</f>
        <v>4200000</v>
      </c>
      <c r="K87" s="77"/>
      <c r="L87" s="77"/>
    </row>
    <row r="88" spans="1:12" ht="21" hidden="1" customHeight="1" x14ac:dyDescent="0.25">
      <c r="A88" s="211"/>
      <c r="B88" s="212"/>
      <c r="C88" s="213"/>
      <c r="D88" s="214"/>
      <c r="E88" s="215"/>
      <c r="F88" s="215"/>
      <c r="G88" s="215"/>
      <c r="H88" s="215"/>
      <c r="I88" s="215"/>
      <c r="J88" s="216"/>
      <c r="K88" s="77"/>
      <c r="L88" s="77"/>
    </row>
    <row r="89" spans="1:12" ht="20.25" hidden="1" customHeight="1" x14ac:dyDescent="0.25">
      <c r="A89" s="1562" t="s">
        <v>352</v>
      </c>
      <c r="B89" s="1563"/>
      <c r="C89" s="1563"/>
      <c r="D89" s="1563"/>
      <c r="E89" s="1563"/>
      <c r="F89" s="1563"/>
      <c r="G89" s="1563"/>
      <c r="H89" s="1563"/>
      <c r="I89" s="1563"/>
      <c r="J89" s="1564"/>
    </row>
    <row r="90" spans="1:12" ht="30" hidden="1" customHeight="1" x14ac:dyDescent="0.25">
      <c r="A90" s="176" t="s">
        <v>1</v>
      </c>
      <c r="B90" s="1600" t="s">
        <v>44</v>
      </c>
      <c r="C90" s="1600"/>
      <c r="D90" s="1600"/>
      <c r="E90" s="1600" t="s">
        <v>45</v>
      </c>
      <c r="F90" s="1600"/>
      <c r="G90" s="1600" t="s">
        <v>46</v>
      </c>
      <c r="H90" s="1600"/>
      <c r="I90" s="1600" t="s">
        <v>102</v>
      </c>
      <c r="J90" s="1600"/>
    </row>
    <row r="91" spans="1:12" ht="16.5" hidden="1" customHeight="1" x14ac:dyDescent="0.25">
      <c r="A91" s="177">
        <v>1</v>
      </c>
      <c r="B91" s="1535">
        <v>2</v>
      </c>
      <c r="C91" s="1535"/>
      <c r="D91" s="1535"/>
      <c r="E91" s="1535">
        <v>3</v>
      </c>
      <c r="F91" s="1535"/>
      <c r="G91" s="1535">
        <v>4</v>
      </c>
      <c r="H91" s="1535"/>
      <c r="I91" s="1535">
        <v>5</v>
      </c>
      <c r="J91" s="1535"/>
    </row>
    <row r="92" spans="1:12" ht="47.25" hidden="1" customHeight="1" x14ac:dyDescent="0.25">
      <c r="A92" s="150">
        <v>1</v>
      </c>
      <c r="B92" s="1463" t="s">
        <v>363</v>
      </c>
      <c r="C92" s="1464"/>
      <c r="D92" s="1465"/>
      <c r="E92" s="1571">
        <f>I92/G92</f>
        <v>0</v>
      </c>
      <c r="F92" s="1571"/>
      <c r="G92" s="1540">
        <v>12</v>
      </c>
      <c r="H92" s="1540"/>
      <c r="I92" s="1589">
        <v>0</v>
      </c>
      <c r="J92" s="1589"/>
    </row>
    <row r="93" spans="1:12" ht="51.75" hidden="1" customHeight="1" x14ac:dyDescent="0.25">
      <c r="A93" s="150" t="s">
        <v>75</v>
      </c>
      <c r="B93" s="1463" t="s">
        <v>618</v>
      </c>
      <c r="C93" s="1464"/>
      <c r="D93" s="1465"/>
      <c r="E93" s="1571">
        <v>0</v>
      </c>
      <c r="F93" s="1571"/>
      <c r="G93" s="1540"/>
      <c r="H93" s="1540"/>
      <c r="I93" s="1589">
        <v>0</v>
      </c>
      <c r="J93" s="1589"/>
      <c r="K93" s="1">
        <v>0</v>
      </c>
    </row>
    <row r="94" spans="1:12" ht="33.75" hidden="1" customHeight="1" x14ac:dyDescent="0.25">
      <c r="A94" s="234"/>
      <c r="B94" s="1177" t="s">
        <v>324</v>
      </c>
      <c r="C94" s="1178"/>
      <c r="D94" s="1601"/>
      <c r="E94" s="1167" t="s">
        <v>14</v>
      </c>
      <c r="F94" s="1168"/>
      <c r="G94" s="1167" t="s">
        <v>14</v>
      </c>
      <c r="H94" s="1201"/>
      <c r="I94" s="235"/>
      <c r="J94" s="236">
        <f>I93</f>
        <v>0</v>
      </c>
    </row>
    <row r="95" spans="1:12" s="41" customFormat="1" ht="40.5" customHeight="1" x14ac:dyDescent="0.25">
      <c r="A95" s="1507" t="s">
        <v>531</v>
      </c>
      <c r="B95" s="1507"/>
      <c r="C95" s="1507"/>
      <c r="D95" s="1507"/>
      <c r="E95" s="1507"/>
      <c r="F95" s="1507"/>
      <c r="G95" s="1507"/>
      <c r="H95" s="1507"/>
      <c r="I95" s="1507"/>
      <c r="J95" s="1507"/>
    </row>
    <row r="96" spans="1:12" ht="38.25" x14ac:dyDescent="0.25">
      <c r="A96" s="177" t="s">
        <v>1</v>
      </c>
      <c r="B96" s="1535" t="s">
        <v>15</v>
      </c>
      <c r="C96" s="1535"/>
      <c r="D96" s="1535"/>
      <c r="E96" s="1535" t="s">
        <v>16</v>
      </c>
      <c r="F96" s="1535"/>
      <c r="G96" s="177" t="s">
        <v>17</v>
      </c>
      <c r="H96" s="177" t="s">
        <v>18</v>
      </c>
      <c r="I96" s="1535" t="s">
        <v>104</v>
      </c>
      <c r="J96" s="1535"/>
    </row>
    <row r="97" spans="1:14" x14ac:dyDescent="0.25">
      <c r="A97" s="177">
        <v>1</v>
      </c>
      <c r="B97" s="1535">
        <v>2</v>
      </c>
      <c r="C97" s="1535"/>
      <c r="D97" s="1535"/>
      <c r="E97" s="1535">
        <v>3</v>
      </c>
      <c r="F97" s="1535"/>
      <c r="G97" s="177">
        <v>4</v>
      </c>
      <c r="H97" s="177">
        <v>5</v>
      </c>
      <c r="I97" s="1535">
        <v>6</v>
      </c>
      <c r="J97" s="1535"/>
    </row>
    <row r="98" spans="1:14" ht="16.5" customHeight="1" x14ac:dyDescent="0.25">
      <c r="A98" s="1566" t="s">
        <v>354</v>
      </c>
      <c r="B98" s="1567"/>
      <c r="C98" s="1567"/>
      <c r="D98" s="1567"/>
      <c r="E98" s="1567"/>
      <c r="F98" s="1567"/>
      <c r="G98" s="1567"/>
      <c r="H98" s="1567"/>
      <c r="I98" s="1567"/>
      <c r="J98" s="1568"/>
    </row>
    <row r="99" spans="1:14" ht="99" hidden="1" customHeight="1" x14ac:dyDescent="0.25">
      <c r="A99" s="1553" t="s">
        <v>753</v>
      </c>
      <c r="B99" s="1553"/>
      <c r="C99" s="1553"/>
      <c r="D99" s="1553"/>
      <c r="E99" s="1553"/>
      <c r="F99" s="1553"/>
      <c r="G99" s="1553"/>
      <c r="H99" s="1553"/>
      <c r="I99" s="1553"/>
      <c r="J99" s="1554"/>
    </row>
    <row r="100" spans="1:14" ht="30" hidden="1" customHeight="1" x14ac:dyDescent="0.25">
      <c r="A100" s="169">
        <v>1</v>
      </c>
      <c r="B100" s="1330" t="s">
        <v>754</v>
      </c>
      <c r="C100" s="1331"/>
      <c r="D100" s="1332"/>
      <c r="E100" s="1327" t="s">
        <v>755</v>
      </c>
      <c r="F100" s="1329"/>
      <c r="G100" s="1327">
        <v>0</v>
      </c>
      <c r="H100" s="1329"/>
      <c r="I100" s="1422">
        <v>0</v>
      </c>
      <c r="J100" s="1423"/>
    </row>
    <row r="101" spans="1:14" ht="16.5" hidden="1" customHeight="1" x14ac:dyDescent="0.25">
      <c r="A101" s="238"/>
      <c r="B101" s="1424"/>
      <c r="C101" s="1427"/>
      <c r="D101" s="1425"/>
      <c r="E101" s="1424"/>
      <c r="F101" s="1425"/>
      <c r="G101" s="1424"/>
      <c r="H101" s="1425"/>
      <c r="I101" s="1424"/>
      <c r="J101" s="1425"/>
    </row>
    <row r="102" spans="1:14" ht="42.75" customHeight="1" x14ac:dyDescent="0.25">
      <c r="A102" s="1333" t="s">
        <v>510</v>
      </c>
      <c r="B102" s="1334"/>
      <c r="C102" s="1334"/>
      <c r="D102" s="1334"/>
      <c r="E102" s="1334"/>
      <c r="F102" s="1334"/>
      <c r="G102" s="1334"/>
      <c r="H102" s="1334"/>
      <c r="I102" s="1334"/>
      <c r="J102" s="1335"/>
    </row>
    <row r="103" spans="1:14" ht="36.75" customHeight="1" x14ac:dyDescent="0.25">
      <c r="A103" s="168">
        <v>1</v>
      </c>
      <c r="B103" s="1367" t="s">
        <v>511</v>
      </c>
      <c r="C103" s="1367"/>
      <c r="D103" s="1367"/>
      <c r="E103" s="1565">
        <v>2</v>
      </c>
      <c r="F103" s="1565"/>
      <c r="G103" s="1428">
        <v>300</v>
      </c>
      <c r="H103" s="1429"/>
      <c r="I103" s="1426">
        <v>12000</v>
      </c>
      <c r="J103" s="1426"/>
    </row>
    <row r="104" spans="1:14" ht="16.5" hidden="1" customHeight="1" x14ac:dyDescent="0.25">
      <c r="A104" s="239"/>
      <c r="B104" s="1534"/>
      <c r="C104" s="1534"/>
      <c r="D104" s="1534"/>
      <c r="E104" s="1427"/>
      <c r="F104" s="1427"/>
      <c r="G104" s="1427"/>
      <c r="H104" s="1427"/>
      <c r="I104" s="1427"/>
      <c r="J104" s="1425"/>
    </row>
    <row r="105" spans="1:14" ht="16.5" hidden="1" customHeight="1" x14ac:dyDescent="0.25">
      <c r="A105" s="173"/>
      <c r="B105" s="1427"/>
      <c r="C105" s="1427"/>
      <c r="D105" s="1427"/>
      <c r="E105" s="1427"/>
      <c r="F105" s="1427"/>
      <c r="G105" s="1427"/>
      <c r="H105" s="1427"/>
      <c r="I105" s="1427"/>
      <c r="J105" s="1425"/>
    </row>
    <row r="106" spans="1:14" ht="16.5" hidden="1" customHeight="1" x14ac:dyDescent="0.25">
      <c r="A106" s="173"/>
      <c r="B106" s="1427"/>
      <c r="C106" s="1427"/>
      <c r="D106" s="1427"/>
      <c r="E106" s="1427"/>
      <c r="F106" s="1427"/>
      <c r="G106" s="1427"/>
      <c r="H106" s="1427"/>
      <c r="I106" s="1427"/>
      <c r="J106" s="1425"/>
    </row>
    <row r="107" spans="1:14" ht="15" hidden="1" customHeight="1" x14ac:dyDescent="0.25">
      <c r="A107" s="1562" t="s">
        <v>356</v>
      </c>
      <c r="B107" s="1563"/>
      <c r="C107" s="1563"/>
      <c r="D107" s="1563"/>
      <c r="E107" s="1563"/>
      <c r="F107" s="1563"/>
      <c r="G107" s="1563"/>
      <c r="H107" s="1563"/>
      <c r="I107" s="1563"/>
      <c r="J107" s="1564"/>
    </row>
    <row r="108" spans="1:14" ht="53.25" hidden="1" customHeight="1" x14ac:dyDescent="0.25">
      <c r="A108" s="193" t="s">
        <v>70</v>
      </c>
      <c r="B108" s="1557" t="s">
        <v>458</v>
      </c>
      <c r="C108" s="1558"/>
      <c r="D108" s="1559"/>
      <c r="E108" s="1534"/>
      <c r="F108" s="1534"/>
      <c r="G108" s="219"/>
      <c r="H108" s="219">
        <v>1</v>
      </c>
      <c r="I108" s="1569">
        <v>0</v>
      </c>
      <c r="J108" s="1570"/>
    </row>
    <row r="109" spans="1:14" ht="48.75" hidden="1" customHeight="1" x14ac:dyDescent="0.25">
      <c r="A109" s="174" t="s">
        <v>75</v>
      </c>
      <c r="B109" s="1557" t="s">
        <v>459</v>
      </c>
      <c r="C109" s="1558"/>
      <c r="D109" s="1559"/>
      <c r="E109" s="1560"/>
      <c r="F109" s="1560"/>
      <c r="G109" s="131"/>
      <c r="H109" s="151">
        <v>1</v>
      </c>
      <c r="I109" s="1561">
        <f>E109*G109</f>
        <v>0</v>
      </c>
      <c r="J109" s="1561"/>
    </row>
    <row r="110" spans="1:14" x14ac:dyDescent="0.25">
      <c r="A110" s="1562" t="s">
        <v>357</v>
      </c>
      <c r="B110" s="1563"/>
      <c r="C110" s="1563"/>
      <c r="D110" s="1563"/>
      <c r="E110" s="1563"/>
      <c r="F110" s="1563"/>
      <c r="G110" s="1563"/>
      <c r="H110" s="1563"/>
      <c r="I110" s="1563"/>
      <c r="J110" s="1564"/>
    </row>
    <row r="111" spans="1:14" ht="130.5" hidden="1" customHeight="1" x14ac:dyDescent="0.25">
      <c r="A111" s="1553" t="s">
        <v>753</v>
      </c>
      <c r="B111" s="1553"/>
      <c r="C111" s="1553"/>
      <c r="D111" s="1553"/>
      <c r="E111" s="1553"/>
      <c r="F111" s="1553"/>
      <c r="G111" s="1553"/>
      <c r="H111" s="1553"/>
      <c r="I111" s="1553"/>
      <c r="J111" s="1554"/>
      <c r="L111" s="1" t="s">
        <v>765</v>
      </c>
    </row>
    <row r="112" spans="1:14" ht="36.75" hidden="1" customHeight="1" x14ac:dyDescent="0.25">
      <c r="A112" s="459">
        <v>1</v>
      </c>
      <c r="B112" s="1322" t="s">
        <v>756</v>
      </c>
      <c r="C112" s="1322"/>
      <c r="D112" s="1322"/>
      <c r="E112" s="1034" t="s">
        <v>299</v>
      </c>
      <c r="F112" s="1035"/>
      <c r="G112" s="459">
        <v>1</v>
      </c>
      <c r="H112" s="458">
        <v>0</v>
      </c>
      <c r="I112" s="1608">
        <f>G112*H112</f>
        <v>0</v>
      </c>
      <c r="J112" s="1609"/>
      <c r="K112" s="1">
        <v>5365</v>
      </c>
      <c r="L112" s="1">
        <v>5110</v>
      </c>
      <c r="N112" s="129">
        <f>I112+I114</f>
        <v>0</v>
      </c>
    </row>
    <row r="113" spans="1:14" ht="36.75" hidden="1" customHeight="1" x14ac:dyDescent="0.25">
      <c r="A113" s="459">
        <v>2</v>
      </c>
      <c r="B113" s="1322" t="s">
        <v>757</v>
      </c>
      <c r="C113" s="1322"/>
      <c r="D113" s="1322"/>
      <c r="E113" s="1034" t="s">
        <v>299</v>
      </c>
      <c r="F113" s="1035"/>
      <c r="G113" s="459">
        <v>2</v>
      </c>
      <c r="H113" s="458">
        <v>0</v>
      </c>
      <c r="I113" s="1608">
        <f>G113*H113</f>
        <v>0</v>
      </c>
      <c r="J113" s="1609"/>
      <c r="K113" s="1">
        <v>10730</v>
      </c>
      <c r="L113" s="1">
        <v>10220</v>
      </c>
      <c r="N113" s="129">
        <f>I113+I115+I116</f>
        <v>0</v>
      </c>
    </row>
    <row r="114" spans="1:14" ht="36.75" hidden="1" customHeight="1" x14ac:dyDescent="0.25">
      <c r="A114" s="459">
        <v>3</v>
      </c>
      <c r="B114" s="1322" t="s">
        <v>758</v>
      </c>
      <c r="C114" s="1322"/>
      <c r="D114" s="1322"/>
      <c r="E114" s="1034" t="s">
        <v>299</v>
      </c>
      <c r="F114" s="1035"/>
      <c r="G114" s="459">
        <v>3</v>
      </c>
      <c r="H114" s="458">
        <v>0</v>
      </c>
      <c r="I114" s="1608">
        <f>G114*H114</f>
        <v>0</v>
      </c>
      <c r="J114" s="1609"/>
      <c r="K114" s="1">
        <v>9000</v>
      </c>
      <c r="L114" s="1">
        <v>9000</v>
      </c>
    </row>
    <row r="115" spans="1:14" ht="36.75" hidden="1" customHeight="1" x14ac:dyDescent="0.25">
      <c r="A115" s="459">
        <v>4</v>
      </c>
      <c r="B115" s="1322" t="s">
        <v>759</v>
      </c>
      <c r="C115" s="1322"/>
      <c r="D115" s="1322"/>
      <c r="E115" s="1034" t="s">
        <v>299</v>
      </c>
      <c r="F115" s="1035"/>
      <c r="G115" s="459">
        <v>6</v>
      </c>
      <c r="H115" s="458">
        <v>0</v>
      </c>
      <c r="I115" s="1608">
        <f>G115*H115</f>
        <v>0</v>
      </c>
      <c r="J115" s="1609"/>
      <c r="K115" s="1">
        <v>12000</v>
      </c>
      <c r="L115" s="1">
        <v>12000</v>
      </c>
    </row>
    <row r="116" spans="1:14" ht="45" hidden="1" customHeight="1" x14ac:dyDescent="0.25">
      <c r="A116" s="459">
        <v>5</v>
      </c>
      <c r="B116" s="1214" t="s">
        <v>760</v>
      </c>
      <c r="C116" s="1215"/>
      <c r="D116" s="1216"/>
      <c r="E116" s="1034" t="s">
        <v>299</v>
      </c>
      <c r="F116" s="1035"/>
      <c r="G116" s="459">
        <v>16</v>
      </c>
      <c r="H116" s="458">
        <v>0</v>
      </c>
      <c r="I116" s="1608">
        <v>0</v>
      </c>
      <c r="J116" s="1609"/>
      <c r="K116" s="1">
        <v>6840</v>
      </c>
      <c r="L116" s="1">
        <v>7200</v>
      </c>
    </row>
    <row r="117" spans="1:14" ht="47.25" hidden="1" customHeight="1" x14ac:dyDescent="0.25">
      <c r="A117" s="240">
        <v>6</v>
      </c>
      <c r="B117" s="1322" t="s">
        <v>512</v>
      </c>
      <c r="C117" s="1322"/>
      <c r="D117" s="1322"/>
      <c r="E117" s="1387">
        <v>0</v>
      </c>
      <c r="F117" s="1388"/>
      <c r="G117" s="460"/>
      <c r="H117" s="461"/>
      <c r="I117" s="1555">
        <v>0</v>
      </c>
      <c r="J117" s="1556"/>
    </row>
    <row r="118" spans="1:14" ht="47.25" hidden="1" customHeight="1" x14ac:dyDescent="0.25">
      <c r="A118" s="98">
        <v>7</v>
      </c>
      <c r="B118" s="1322" t="s">
        <v>513</v>
      </c>
      <c r="C118" s="1322"/>
      <c r="D118" s="1322"/>
      <c r="E118" s="1602">
        <v>0</v>
      </c>
      <c r="F118" s="1603"/>
      <c r="G118" s="241"/>
      <c r="H118" s="241"/>
      <c r="I118" s="1604">
        <v>0</v>
      </c>
      <c r="J118" s="1605"/>
    </row>
    <row r="119" spans="1:14" ht="50.25" customHeight="1" x14ac:dyDescent="0.25">
      <c r="A119" s="1333" t="s">
        <v>515</v>
      </c>
      <c r="B119" s="1334"/>
      <c r="C119" s="1334"/>
      <c r="D119" s="1334"/>
      <c r="E119" s="1334"/>
      <c r="F119" s="1334"/>
      <c r="G119" s="1334"/>
      <c r="H119" s="1334"/>
      <c r="I119" s="1334"/>
      <c r="J119" s="1335"/>
    </row>
    <row r="120" spans="1:14" ht="35.25" customHeight="1" x14ac:dyDescent="0.25">
      <c r="A120" s="240">
        <v>2</v>
      </c>
      <c r="B120" s="1367" t="s">
        <v>518</v>
      </c>
      <c r="C120" s="1367"/>
      <c r="D120" s="1367"/>
      <c r="E120" s="1387">
        <v>2</v>
      </c>
      <c r="F120" s="1388"/>
      <c r="G120" s="240"/>
      <c r="H120" s="240">
        <v>0</v>
      </c>
      <c r="I120" s="1541">
        <v>65360</v>
      </c>
      <c r="J120" s="1542"/>
    </row>
    <row r="121" spans="1:14" ht="35.25" customHeight="1" x14ac:dyDescent="0.25">
      <c r="A121" s="241">
        <v>3</v>
      </c>
      <c r="B121" s="1367" t="s">
        <v>717</v>
      </c>
      <c r="C121" s="1367"/>
      <c r="D121" s="1367"/>
      <c r="E121" s="1387">
        <v>10</v>
      </c>
      <c r="F121" s="1388"/>
      <c r="G121" s="241"/>
      <c r="H121" s="241">
        <v>0</v>
      </c>
      <c r="I121" s="1606">
        <v>95200</v>
      </c>
      <c r="J121" s="1607"/>
    </row>
    <row r="122" spans="1:14" x14ac:dyDescent="0.25">
      <c r="A122" s="174"/>
      <c r="B122" s="1539" t="s">
        <v>13</v>
      </c>
      <c r="C122" s="1539"/>
      <c r="D122" s="1539"/>
      <c r="E122" s="1540" t="s">
        <v>14</v>
      </c>
      <c r="F122" s="1540"/>
      <c r="G122" s="174" t="s">
        <v>14</v>
      </c>
      <c r="H122" s="174" t="s">
        <v>14</v>
      </c>
      <c r="I122" s="1543">
        <f>I100+I103+I117+I120+I118+I121+I112+I113+I114+I115+I116</f>
        <v>172560</v>
      </c>
      <c r="J122" s="1543"/>
    </row>
    <row r="123" spans="1:14" ht="19.5" hidden="1" customHeight="1" x14ac:dyDescent="0.25">
      <c r="A123" s="1480" t="s">
        <v>359</v>
      </c>
      <c r="B123" s="1480"/>
      <c r="C123" s="1480"/>
      <c r="D123" s="1480"/>
      <c r="E123" s="1480"/>
      <c r="F123" s="1480"/>
      <c r="G123" s="1480"/>
      <c r="H123" s="1480"/>
      <c r="I123" s="1480"/>
      <c r="J123" s="1480"/>
    </row>
    <row r="124" spans="1:14" ht="51" hidden="1" x14ac:dyDescent="0.25">
      <c r="A124" s="177" t="s">
        <v>1</v>
      </c>
      <c r="B124" s="1535" t="s">
        <v>15</v>
      </c>
      <c r="C124" s="1535"/>
      <c r="D124" s="1535"/>
      <c r="E124" s="1544" t="s">
        <v>20</v>
      </c>
      <c r="F124" s="1545"/>
      <c r="G124" s="177" t="s">
        <v>21</v>
      </c>
      <c r="H124" s="177" t="s">
        <v>22</v>
      </c>
      <c r="I124" s="1535" t="s">
        <v>19</v>
      </c>
      <c r="J124" s="1535"/>
    </row>
    <row r="125" spans="1:14" hidden="1" x14ac:dyDescent="0.25">
      <c r="A125" s="177">
        <v>1</v>
      </c>
      <c r="B125" s="1535">
        <v>2</v>
      </c>
      <c r="C125" s="1535"/>
      <c r="D125" s="1535"/>
      <c r="E125" s="1544">
        <v>3</v>
      </c>
      <c r="F125" s="1545"/>
      <c r="G125" s="177">
        <v>4</v>
      </c>
      <c r="H125" s="177">
        <v>5</v>
      </c>
      <c r="I125" s="1535">
        <v>6</v>
      </c>
      <c r="J125" s="1535"/>
    </row>
    <row r="126" spans="1:14" ht="47.25" hidden="1" customHeight="1" x14ac:dyDescent="0.25">
      <c r="A126" s="175" t="s">
        <v>70</v>
      </c>
      <c r="B126" s="1546" t="s">
        <v>79</v>
      </c>
      <c r="C126" s="1547"/>
      <c r="D126" s="1548"/>
      <c r="E126" s="1549"/>
      <c r="F126" s="1550"/>
      <c r="G126" s="154">
        <v>12</v>
      </c>
      <c r="H126" s="154">
        <v>85</v>
      </c>
      <c r="I126" s="1551">
        <f>E126*G126*H126</f>
        <v>0</v>
      </c>
      <c r="J126" s="1551"/>
    </row>
    <row r="127" spans="1:14" ht="17.25" hidden="1" customHeight="1" x14ac:dyDescent="0.25">
      <c r="A127" s="153"/>
      <c r="B127" s="1536" t="s">
        <v>13</v>
      </c>
      <c r="C127" s="1536"/>
      <c r="D127" s="1536"/>
      <c r="E127" s="1537" t="s">
        <v>14</v>
      </c>
      <c r="F127" s="1538"/>
      <c r="G127" s="174" t="s">
        <v>14</v>
      </c>
      <c r="H127" s="174" t="s">
        <v>14</v>
      </c>
      <c r="I127" s="1543">
        <f>SUM(I126)</f>
        <v>0</v>
      </c>
      <c r="J127" s="1552"/>
    </row>
    <row r="128" spans="1:14" s="41" customFormat="1" ht="54" customHeight="1" x14ac:dyDescent="0.25">
      <c r="A128" s="1507" t="s">
        <v>288</v>
      </c>
      <c r="B128" s="1507"/>
      <c r="C128" s="1507"/>
      <c r="D128" s="1507"/>
      <c r="E128" s="1507"/>
      <c r="F128" s="1507"/>
      <c r="G128" s="1507"/>
      <c r="H128" s="1507"/>
      <c r="I128" s="1507"/>
      <c r="J128" s="1507"/>
    </row>
    <row r="129" spans="1:10" ht="25.5" customHeight="1" x14ac:dyDescent="0.25">
      <c r="A129" s="172" t="s">
        <v>1</v>
      </c>
      <c r="B129" s="1508" t="s">
        <v>23</v>
      </c>
      <c r="C129" s="1508"/>
      <c r="D129" s="1508"/>
      <c r="E129" s="1508"/>
      <c r="F129" s="1508"/>
      <c r="G129" s="1508" t="s">
        <v>24</v>
      </c>
      <c r="H129" s="1508"/>
      <c r="I129" s="1508" t="s">
        <v>25</v>
      </c>
      <c r="J129" s="1508"/>
    </row>
    <row r="130" spans="1:10" ht="12" customHeight="1" x14ac:dyDescent="0.25">
      <c r="A130" s="188">
        <v>1</v>
      </c>
      <c r="B130" s="1346">
        <v>2</v>
      </c>
      <c r="C130" s="1346"/>
      <c r="D130" s="1346"/>
      <c r="E130" s="1346"/>
      <c r="F130" s="1346"/>
      <c r="G130" s="1346">
        <v>3</v>
      </c>
      <c r="H130" s="1346"/>
      <c r="I130" s="1346">
        <v>4</v>
      </c>
      <c r="J130" s="1346"/>
    </row>
    <row r="131" spans="1:10" ht="17.25" customHeight="1" x14ac:dyDescent="0.25">
      <c r="A131" s="187" t="s">
        <v>70</v>
      </c>
      <c r="B131" s="1527" t="s">
        <v>26</v>
      </c>
      <c r="C131" s="1527"/>
      <c r="D131" s="1527"/>
      <c r="E131" s="1527"/>
      <c r="F131" s="1527"/>
      <c r="G131" s="1532" t="s">
        <v>14</v>
      </c>
      <c r="H131" s="1532"/>
      <c r="I131" s="1531">
        <f>SUM(I133:J135)</f>
        <v>924000</v>
      </c>
      <c r="J131" s="1531"/>
    </row>
    <row r="132" spans="1:10" ht="16.5" customHeight="1" x14ac:dyDescent="0.25">
      <c r="A132" s="89"/>
      <c r="B132" s="1387" t="s">
        <v>9</v>
      </c>
      <c r="C132" s="1444"/>
      <c r="D132" s="1444"/>
      <c r="E132" s="1444"/>
      <c r="F132" s="1388"/>
      <c r="G132" s="1505"/>
      <c r="H132" s="1505"/>
      <c r="I132" s="1504"/>
      <c r="J132" s="1504"/>
    </row>
    <row r="133" spans="1:10" ht="17.25" customHeight="1" x14ac:dyDescent="0.25">
      <c r="A133" s="191" t="s">
        <v>27</v>
      </c>
      <c r="B133" s="1533" t="s">
        <v>28</v>
      </c>
      <c r="C133" s="1533"/>
      <c r="D133" s="1533"/>
      <c r="E133" s="1533"/>
      <c r="F133" s="1533"/>
      <c r="G133" s="1503">
        <f>J68</f>
        <v>4200000</v>
      </c>
      <c r="H133" s="1503"/>
      <c r="I133" s="1504">
        <f>G133*22%</f>
        <v>924000</v>
      </c>
      <c r="J133" s="1504"/>
    </row>
    <row r="134" spans="1:10" ht="15" customHeight="1" x14ac:dyDescent="0.25">
      <c r="A134" s="191" t="s">
        <v>29</v>
      </c>
      <c r="B134" s="1386" t="s">
        <v>30</v>
      </c>
      <c r="C134" s="1386"/>
      <c r="D134" s="1386"/>
      <c r="E134" s="1386"/>
      <c r="F134" s="1386"/>
      <c r="G134" s="1505"/>
      <c r="H134" s="1505"/>
      <c r="I134" s="1504">
        <f>G134*10%</f>
        <v>0</v>
      </c>
      <c r="J134" s="1504"/>
    </row>
    <row r="135" spans="1:10" ht="29.45" customHeight="1" x14ac:dyDescent="0.25">
      <c r="A135" s="191" t="s">
        <v>31</v>
      </c>
      <c r="B135" s="1506" t="s">
        <v>32</v>
      </c>
      <c r="C135" s="1506"/>
      <c r="D135" s="1506"/>
      <c r="E135" s="1506"/>
      <c r="F135" s="1506"/>
      <c r="G135" s="1505"/>
      <c r="H135" s="1505"/>
      <c r="I135" s="1504"/>
      <c r="J135" s="1504"/>
    </row>
    <row r="136" spans="1:10" ht="29.25" customHeight="1" x14ac:dyDescent="0.25">
      <c r="A136" s="187" t="s">
        <v>75</v>
      </c>
      <c r="B136" s="1527" t="s">
        <v>33</v>
      </c>
      <c r="C136" s="1527"/>
      <c r="D136" s="1527"/>
      <c r="E136" s="1527"/>
      <c r="F136" s="1527"/>
      <c r="G136" s="1532" t="s">
        <v>14</v>
      </c>
      <c r="H136" s="1532"/>
      <c r="I136" s="1531">
        <f>SUM(I138:J142)</f>
        <v>130199.99999999999</v>
      </c>
      <c r="J136" s="1531"/>
    </row>
    <row r="137" spans="1:10" ht="15.75" customHeight="1" x14ac:dyDescent="0.25">
      <c r="A137" s="89"/>
      <c r="B137" s="1387" t="s">
        <v>9</v>
      </c>
      <c r="C137" s="1444"/>
      <c r="D137" s="1444"/>
      <c r="E137" s="1444"/>
      <c r="F137" s="1388"/>
      <c r="G137" s="1505"/>
      <c r="H137" s="1505"/>
      <c r="I137" s="1504"/>
      <c r="J137" s="1504"/>
    </row>
    <row r="138" spans="1:10" ht="27.75" customHeight="1" x14ac:dyDescent="0.25">
      <c r="A138" s="191" t="s">
        <v>34</v>
      </c>
      <c r="B138" s="1506" t="s">
        <v>35</v>
      </c>
      <c r="C138" s="1506"/>
      <c r="D138" s="1506"/>
      <c r="E138" s="1506"/>
      <c r="F138" s="1506"/>
      <c r="G138" s="1503">
        <f>G133+G134</f>
        <v>4200000</v>
      </c>
      <c r="H138" s="1503"/>
      <c r="I138" s="1504">
        <f>G138*2.9%</f>
        <v>121799.99999999999</v>
      </c>
      <c r="J138" s="1504"/>
    </row>
    <row r="139" spans="1:10" ht="15" customHeight="1" x14ac:dyDescent="0.25">
      <c r="A139" s="191" t="s">
        <v>36</v>
      </c>
      <c r="B139" s="1506" t="s">
        <v>37</v>
      </c>
      <c r="C139" s="1506"/>
      <c r="D139" s="1506"/>
      <c r="E139" s="1506"/>
      <c r="F139" s="1506"/>
      <c r="G139" s="1505"/>
      <c r="H139" s="1505"/>
      <c r="I139" s="1504"/>
      <c r="J139" s="1504"/>
    </row>
    <row r="140" spans="1:10" ht="35.25" customHeight="1" x14ac:dyDescent="0.25">
      <c r="A140" s="191" t="s">
        <v>38</v>
      </c>
      <c r="B140" s="1506" t="s">
        <v>39</v>
      </c>
      <c r="C140" s="1506"/>
      <c r="D140" s="1506"/>
      <c r="E140" s="1506"/>
      <c r="F140" s="1506"/>
      <c r="G140" s="1503">
        <f>G133+G134</f>
        <v>4200000</v>
      </c>
      <c r="H140" s="1503"/>
      <c r="I140" s="1504">
        <f>G140*0.2%</f>
        <v>8400</v>
      </c>
      <c r="J140" s="1504"/>
    </row>
    <row r="141" spans="1:10" s="41" customFormat="1" ht="15" customHeight="1" x14ac:dyDescent="0.25">
      <c r="A141" s="191" t="s">
        <v>40</v>
      </c>
      <c r="B141" s="1506" t="s">
        <v>41</v>
      </c>
      <c r="C141" s="1506"/>
      <c r="D141" s="1506"/>
      <c r="E141" s="1506"/>
      <c r="F141" s="1506"/>
      <c r="G141" s="1505"/>
      <c r="H141" s="1505"/>
      <c r="I141" s="1504"/>
      <c r="J141" s="1504"/>
    </row>
    <row r="142" spans="1:10" ht="15" customHeight="1" x14ac:dyDescent="0.25">
      <c r="A142" s="191" t="s">
        <v>42</v>
      </c>
      <c r="B142" s="1506" t="s">
        <v>41</v>
      </c>
      <c r="C142" s="1506"/>
      <c r="D142" s="1506"/>
      <c r="E142" s="1506"/>
      <c r="F142" s="1506"/>
      <c r="G142" s="1505"/>
      <c r="H142" s="1505"/>
      <c r="I142" s="1504"/>
      <c r="J142" s="1504"/>
    </row>
    <row r="143" spans="1:10" ht="30" customHeight="1" x14ac:dyDescent="0.25">
      <c r="A143" s="187" t="s">
        <v>77</v>
      </c>
      <c r="B143" s="1527" t="s">
        <v>43</v>
      </c>
      <c r="C143" s="1527"/>
      <c r="D143" s="1527"/>
      <c r="E143" s="1527"/>
      <c r="F143" s="1527"/>
      <c r="G143" s="1530">
        <f>G133+G134</f>
        <v>4200000</v>
      </c>
      <c r="H143" s="1530"/>
      <c r="I143" s="1531">
        <f>G143*5.1%</f>
        <v>214200</v>
      </c>
      <c r="J143" s="1531"/>
    </row>
    <row r="144" spans="1:10" ht="19.5" customHeight="1" x14ac:dyDescent="0.25">
      <c r="A144" s="191"/>
      <c r="B144" s="1338" t="s">
        <v>617</v>
      </c>
      <c r="C144" s="1338"/>
      <c r="D144" s="1338"/>
      <c r="E144" s="1338"/>
      <c r="F144" s="1338"/>
      <c r="G144" s="1341" t="s">
        <v>14</v>
      </c>
      <c r="H144" s="1341"/>
      <c r="I144" s="1529">
        <f>I131+I136+I143</f>
        <v>1268400</v>
      </c>
      <c r="J144" s="1529"/>
    </row>
    <row r="145" spans="1:10" ht="36" hidden="1" customHeight="1" x14ac:dyDescent="0.25">
      <c r="A145" s="172" t="s">
        <v>1</v>
      </c>
      <c r="B145" s="1501" t="s">
        <v>23</v>
      </c>
      <c r="C145" s="1528"/>
      <c r="D145" s="1528"/>
      <c r="E145" s="1528"/>
      <c r="F145" s="1502"/>
      <c r="G145" s="1501" t="s">
        <v>24</v>
      </c>
      <c r="H145" s="1502"/>
      <c r="I145" s="1501" t="s">
        <v>25</v>
      </c>
      <c r="J145" s="1502"/>
    </row>
    <row r="146" spans="1:10" ht="11.25" hidden="1" customHeight="1" x14ac:dyDescent="0.25">
      <c r="A146" s="188">
        <v>1</v>
      </c>
      <c r="B146" s="1344">
        <v>2</v>
      </c>
      <c r="C146" s="1392"/>
      <c r="D146" s="1392"/>
      <c r="E146" s="1392"/>
      <c r="F146" s="1345"/>
      <c r="G146" s="1344">
        <v>3</v>
      </c>
      <c r="H146" s="1345"/>
      <c r="I146" s="1344">
        <v>4</v>
      </c>
      <c r="J146" s="1345"/>
    </row>
    <row r="147" spans="1:10" ht="20.25" hidden="1" customHeight="1" x14ac:dyDescent="0.25">
      <c r="A147" s="187" t="s">
        <v>70</v>
      </c>
      <c r="B147" s="1484" t="s">
        <v>26</v>
      </c>
      <c r="C147" s="1485"/>
      <c r="D147" s="1485"/>
      <c r="E147" s="1485"/>
      <c r="F147" s="1486"/>
      <c r="G147" s="1362" t="s">
        <v>14</v>
      </c>
      <c r="H147" s="1363"/>
      <c r="I147" s="1487">
        <f>SUM(I149:J151)</f>
        <v>0</v>
      </c>
      <c r="J147" s="1488"/>
    </row>
    <row r="148" spans="1:10" ht="18" hidden="1" customHeight="1" x14ac:dyDescent="0.25">
      <c r="A148" s="89"/>
      <c r="B148" s="1387" t="s">
        <v>9</v>
      </c>
      <c r="C148" s="1444"/>
      <c r="D148" s="1444"/>
      <c r="E148" s="1444"/>
      <c r="F148" s="1388"/>
      <c r="G148" s="1489"/>
      <c r="H148" s="1490"/>
      <c r="I148" s="1491"/>
      <c r="J148" s="1492"/>
    </row>
    <row r="149" spans="1:10" s="41" customFormat="1" ht="20.25" hidden="1" customHeight="1" x14ac:dyDescent="0.25">
      <c r="A149" s="191" t="s">
        <v>27</v>
      </c>
      <c r="B149" s="1495" t="s">
        <v>28</v>
      </c>
      <c r="C149" s="1496"/>
      <c r="D149" s="1496"/>
      <c r="E149" s="1496"/>
      <c r="F149" s="1497"/>
      <c r="G149" s="1493">
        <f>J86</f>
        <v>0</v>
      </c>
      <c r="H149" s="1494"/>
      <c r="I149" s="1491">
        <f>G149*22%</f>
        <v>0</v>
      </c>
      <c r="J149" s="1492"/>
    </row>
    <row r="150" spans="1:10" hidden="1" x14ac:dyDescent="0.25">
      <c r="A150" s="191" t="s">
        <v>29</v>
      </c>
      <c r="B150" s="1402" t="s">
        <v>30</v>
      </c>
      <c r="C150" s="1403"/>
      <c r="D150" s="1403"/>
      <c r="E150" s="1403"/>
      <c r="F150" s="1404"/>
      <c r="G150" s="1489"/>
      <c r="H150" s="1490"/>
      <c r="I150" s="1491"/>
      <c r="J150" s="1492"/>
    </row>
    <row r="151" spans="1:10" ht="15" hidden="1" customHeight="1" x14ac:dyDescent="0.25">
      <c r="A151" s="191" t="s">
        <v>31</v>
      </c>
      <c r="B151" s="1498" t="s">
        <v>32</v>
      </c>
      <c r="C151" s="1499"/>
      <c r="D151" s="1499"/>
      <c r="E151" s="1499"/>
      <c r="F151" s="1500"/>
      <c r="G151" s="1489"/>
      <c r="H151" s="1490"/>
      <c r="I151" s="1491"/>
      <c r="J151" s="1492"/>
    </row>
    <row r="152" spans="1:10" ht="15" hidden="1" customHeight="1" x14ac:dyDescent="0.25">
      <c r="A152" s="187" t="s">
        <v>75</v>
      </c>
      <c r="B152" s="1484" t="s">
        <v>33</v>
      </c>
      <c r="C152" s="1485"/>
      <c r="D152" s="1485"/>
      <c r="E152" s="1485"/>
      <c r="F152" s="1486"/>
      <c r="G152" s="1362" t="s">
        <v>14</v>
      </c>
      <c r="H152" s="1363"/>
      <c r="I152" s="1487">
        <f>SUM(I154:J158)</f>
        <v>-4.0000000000000001E-3</v>
      </c>
      <c r="J152" s="1488"/>
    </row>
    <row r="153" spans="1:10" ht="15" hidden="1" customHeight="1" x14ac:dyDescent="0.25">
      <c r="A153" s="89"/>
      <c r="B153" s="1387" t="s">
        <v>9</v>
      </c>
      <c r="C153" s="1444"/>
      <c r="D153" s="1444"/>
      <c r="E153" s="1444"/>
      <c r="F153" s="1388"/>
      <c r="G153" s="1489"/>
      <c r="H153" s="1490"/>
      <c r="I153" s="1491"/>
      <c r="J153" s="1492"/>
    </row>
    <row r="154" spans="1:10" ht="26.25" hidden="1" customHeight="1" x14ac:dyDescent="0.25">
      <c r="A154" s="191" t="s">
        <v>34</v>
      </c>
      <c r="B154" s="1498" t="s">
        <v>35</v>
      </c>
      <c r="C154" s="1499"/>
      <c r="D154" s="1499"/>
      <c r="E154" s="1499"/>
      <c r="F154" s="1500"/>
      <c r="G154" s="1493">
        <f>G149</f>
        <v>0</v>
      </c>
      <c r="H154" s="1494"/>
      <c r="I154" s="1491">
        <f>G154*2.9%</f>
        <v>0</v>
      </c>
      <c r="J154" s="1492"/>
    </row>
    <row r="155" spans="1:10" hidden="1" x14ac:dyDescent="0.25">
      <c r="A155" s="191" t="s">
        <v>36</v>
      </c>
      <c r="B155" s="1498" t="s">
        <v>37</v>
      </c>
      <c r="C155" s="1499"/>
      <c r="D155" s="1499"/>
      <c r="E155" s="1499"/>
      <c r="F155" s="1500"/>
      <c r="G155" s="1489"/>
      <c r="H155" s="1490"/>
      <c r="I155" s="1491"/>
      <c r="J155" s="1492"/>
    </row>
    <row r="156" spans="1:10" ht="26.25" hidden="1" customHeight="1" x14ac:dyDescent="0.25">
      <c r="A156" s="191" t="s">
        <v>38</v>
      </c>
      <c r="B156" s="1498" t="s">
        <v>39</v>
      </c>
      <c r="C156" s="1499"/>
      <c r="D156" s="1499"/>
      <c r="E156" s="1499"/>
      <c r="F156" s="1500"/>
      <c r="G156" s="1493">
        <f>G149</f>
        <v>0</v>
      </c>
      <c r="H156" s="1494"/>
      <c r="I156" s="1491">
        <f>G156*0.2%-0.004</f>
        <v>-4.0000000000000001E-3</v>
      </c>
      <c r="J156" s="1492"/>
    </row>
    <row r="157" spans="1:10" s="41" customFormat="1" ht="14.25" hidden="1" customHeight="1" x14ac:dyDescent="0.25">
      <c r="A157" s="191" t="s">
        <v>40</v>
      </c>
      <c r="B157" s="1498" t="s">
        <v>41</v>
      </c>
      <c r="C157" s="1499"/>
      <c r="D157" s="1499"/>
      <c r="E157" s="1499"/>
      <c r="F157" s="1500"/>
      <c r="G157" s="1489"/>
      <c r="H157" s="1490"/>
      <c r="I157" s="1491"/>
      <c r="J157" s="1492"/>
    </row>
    <row r="158" spans="1:10" ht="15" hidden="1" customHeight="1" x14ac:dyDescent="0.25">
      <c r="A158" s="191" t="s">
        <v>42</v>
      </c>
      <c r="B158" s="1498" t="s">
        <v>41</v>
      </c>
      <c r="C158" s="1499"/>
      <c r="D158" s="1499"/>
      <c r="E158" s="1499"/>
      <c r="F158" s="1500"/>
      <c r="G158" s="1489"/>
      <c r="H158" s="1490"/>
      <c r="I158" s="1491"/>
      <c r="J158" s="1492"/>
    </row>
    <row r="159" spans="1:10" hidden="1" x14ac:dyDescent="0.25">
      <c r="A159" s="187" t="s">
        <v>77</v>
      </c>
      <c r="B159" s="1484" t="s">
        <v>43</v>
      </c>
      <c r="C159" s="1485"/>
      <c r="D159" s="1485"/>
      <c r="E159" s="1485"/>
      <c r="F159" s="1486"/>
      <c r="G159" s="1524">
        <f>G149</f>
        <v>0</v>
      </c>
      <c r="H159" s="1525"/>
      <c r="I159" s="1487">
        <f>G159*5.1%</f>
        <v>0</v>
      </c>
      <c r="J159" s="1488"/>
    </row>
    <row r="160" spans="1:10" hidden="1" x14ac:dyDescent="0.25">
      <c r="A160" s="191"/>
      <c r="B160" s="1431" t="s">
        <v>373</v>
      </c>
      <c r="C160" s="1432"/>
      <c r="D160" s="1432"/>
      <c r="E160" s="1432"/>
      <c r="F160" s="1433"/>
      <c r="G160" s="1406" t="s">
        <v>14</v>
      </c>
      <c r="H160" s="1407"/>
      <c r="I160" s="1520">
        <f>I147+I152+I159</f>
        <v>-4.0000000000000001E-3</v>
      </c>
      <c r="J160" s="1521"/>
    </row>
    <row r="161" spans="1:12" hidden="1" x14ac:dyDescent="0.25">
      <c r="A161" s="191"/>
      <c r="B161" s="1431" t="s">
        <v>506</v>
      </c>
      <c r="C161" s="1432"/>
      <c r="D161" s="1432"/>
      <c r="E161" s="1432"/>
      <c r="F161" s="1433"/>
      <c r="G161" s="182"/>
      <c r="H161" s="183"/>
      <c r="I161" s="1520">
        <v>0</v>
      </c>
      <c r="J161" s="1521"/>
    </row>
    <row r="162" spans="1:12" s="41" customFormat="1" ht="18.75" customHeight="1" x14ac:dyDescent="0.25">
      <c r="A162" s="100"/>
      <c r="B162" s="1526" t="s">
        <v>719</v>
      </c>
      <c r="C162" s="1526"/>
      <c r="D162" s="1526"/>
      <c r="E162" s="1526"/>
      <c r="F162" s="1526"/>
      <c r="G162" s="1522" t="s">
        <v>14</v>
      </c>
      <c r="H162" s="1522"/>
      <c r="I162" s="1523">
        <f>I144+I160+I161</f>
        <v>1268399.996</v>
      </c>
      <c r="J162" s="1523"/>
      <c r="K162" s="1474"/>
      <c r="L162" s="1474"/>
    </row>
    <row r="163" spans="1:12" s="41" customFormat="1" ht="38.25" hidden="1" customHeight="1" x14ac:dyDescent="0.2">
      <c r="A163" s="1477" t="s">
        <v>414</v>
      </c>
      <c r="B163" s="1477"/>
      <c r="C163" s="1477"/>
      <c r="D163" s="1477"/>
      <c r="E163" s="1477"/>
      <c r="F163" s="1477"/>
      <c r="G163" s="1477"/>
      <c r="H163" s="1477"/>
      <c r="I163" s="1477"/>
      <c r="J163" s="1477"/>
    </row>
    <row r="164" spans="1:12" ht="19.5" hidden="1" customHeight="1" x14ac:dyDescent="0.25">
      <c r="A164" s="1480" t="s">
        <v>542</v>
      </c>
      <c r="B164" s="1480"/>
      <c r="C164" s="1480"/>
      <c r="D164" s="1480"/>
      <c r="E164" s="1480"/>
      <c r="F164" s="1480"/>
      <c r="G164" s="1480"/>
      <c r="H164" s="1480"/>
      <c r="I164" s="1480"/>
      <c r="J164" s="1480"/>
      <c r="K164" s="11"/>
      <c r="L164" s="11"/>
    </row>
    <row r="165" spans="1:12" ht="15" hidden="1" customHeight="1" x14ac:dyDescent="0.25">
      <c r="A165" s="80" t="s">
        <v>80</v>
      </c>
      <c r="B165" s="81"/>
      <c r="C165" s="84">
        <v>350</v>
      </c>
      <c r="D165" s="84"/>
      <c r="E165" s="84"/>
      <c r="F165" s="85"/>
      <c r="G165" s="85"/>
      <c r="H165" s="85"/>
      <c r="I165" s="85"/>
      <c r="J165" s="85"/>
      <c r="K165" s="11"/>
      <c r="L165" s="11"/>
    </row>
    <row r="166" spans="1:12" ht="16.5" hidden="1" customHeight="1" x14ac:dyDescent="0.25">
      <c r="A166" s="80" t="s">
        <v>81</v>
      </c>
      <c r="B166" s="81"/>
      <c r="C166" s="81"/>
      <c r="D166" s="81"/>
      <c r="E166" s="86"/>
      <c r="F166" s="87"/>
      <c r="G166" s="87"/>
      <c r="H166" s="87"/>
      <c r="I166" s="87"/>
      <c r="J166" s="87"/>
      <c r="K166" s="11"/>
      <c r="L166" s="11"/>
    </row>
    <row r="167" spans="1:12" ht="36" hidden="1" customHeight="1" x14ac:dyDescent="0.25">
      <c r="A167" s="188" t="s">
        <v>1</v>
      </c>
      <c r="B167" s="1344" t="s">
        <v>44</v>
      </c>
      <c r="C167" s="1392"/>
      <c r="D167" s="1345"/>
      <c r="E167" s="1344" t="s">
        <v>45</v>
      </c>
      <c r="F167" s="1345"/>
      <c r="G167" s="1344" t="s">
        <v>46</v>
      </c>
      <c r="H167" s="1345"/>
      <c r="I167" s="1344" t="s">
        <v>102</v>
      </c>
      <c r="J167" s="1345"/>
      <c r="K167" s="11"/>
      <c r="L167" s="11"/>
    </row>
    <row r="168" spans="1:12" ht="16.5" hidden="1" customHeight="1" x14ac:dyDescent="0.25">
      <c r="A168" s="188">
        <v>1</v>
      </c>
      <c r="B168" s="1344">
        <v>2</v>
      </c>
      <c r="C168" s="1392"/>
      <c r="D168" s="1345"/>
      <c r="E168" s="1344">
        <v>3</v>
      </c>
      <c r="F168" s="1345"/>
      <c r="G168" s="1344">
        <v>4</v>
      </c>
      <c r="H168" s="1345"/>
      <c r="I168" s="1344">
        <v>5</v>
      </c>
      <c r="J168" s="1345"/>
      <c r="K168" s="11"/>
      <c r="L168" s="11"/>
    </row>
    <row r="169" spans="1:12" ht="132" hidden="1" customHeight="1" x14ac:dyDescent="0.25">
      <c r="A169" s="1398" t="s">
        <v>545</v>
      </c>
      <c r="B169" s="1399"/>
      <c r="C169" s="1399"/>
      <c r="D169" s="1399"/>
      <c r="E169" s="1399"/>
      <c r="F169" s="1399"/>
      <c r="G169" s="1399"/>
      <c r="H169" s="1399"/>
      <c r="I169" s="1399"/>
      <c r="J169" s="1400"/>
    </row>
    <row r="170" spans="1:12" ht="40.5" hidden="1" customHeight="1" x14ac:dyDescent="0.25">
      <c r="A170" s="191">
        <v>1</v>
      </c>
      <c r="B170" s="1322" t="s">
        <v>543</v>
      </c>
      <c r="C170" s="1322"/>
      <c r="D170" s="1322"/>
      <c r="E170" s="1387">
        <v>0</v>
      </c>
      <c r="F170" s="1388"/>
      <c r="G170" s="1478">
        <v>0</v>
      </c>
      <c r="H170" s="1479"/>
      <c r="I170" s="1478">
        <v>0</v>
      </c>
      <c r="J170" s="1479"/>
    </row>
    <row r="171" spans="1:12" ht="33.75" hidden="1" customHeight="1" x14ac:dyDescent="0.25">
      <c r="A171" s="191">
        <v>2</v>
      </c>
      <c r="B171" s="1447" t="s">
        <v>544</v>
      </c>
      <c r="C171" s="1448"/>
      <c r="D171" s="1449"/>
      <c r="E171" s="1387">
        <v>0</v>
      </c>
      <c r="F171" s="1425"/>
      <c r="G171" s="1387">
        <v>0</v>
      </c>
      <c r="H171" s="1425"/>
      <c r="I171" s="1478">
        <v>0</v>
      </c>
      <c r="J171" s="1483"/>
    </row>
    <row r="172" spans="1:12" hidden="1" x14ac:dyDescent="0.25">
      <c r="A172" s="189"/>
      <c r="B172" s="1431" t="s">
        <v>13</v>
      </c>
      <c r="C172" s="1432"/>
      <c r="D172" s="1433"/>
      <c r="E172" s="1406" t="s">
        <v>14</v>
      </c>
      <c r="F172" s="1407"/>
      <c r="G172" s="1406" t="s">
        <v>14</v>
      </c>
      <c r="H172" s="1407"/>
      <c r="I172" s="1481">
        <f>SUM(I170:J171)</f>
        <v>0</v>
      </c>
      <c r="J172" s="1482"/>
    </row>
    <row r="173" spans="1:12" s="41" customFormat="1" ht="21" hidden="1" customHeight="1" x14ac:dyDescent="0.25">
      <c r="A173" s="1480" t="s">
        <v>362</v>
      </c>
      <c r="B173" s="1480"/>
      <c r="C173" s="1480"/>
      <c r="D173" s="1480"/>
      <c r="E173" s="1480"/>
      <c r="F173" s="1480"/>
      <c r="G173" s="1480"/>
      <c r="H173" s="1480"/>
      <c r="I173" s="1480"/>
      <c r="J173" s="1480"/>
    </row>
    <row r="174" spans="1:12" s="41" customFormat="1" ht="21" hidden="1" customHeight="1" x14ac:dyDescent="0.25">
      <c r="A174" s="80" t="s">
        <v>80</v>
      </c>
      <c r="B174" s="81"/>
      <c r="C174" s="84">
        <v>851</v>
      </c>
      <c r="D174" s="84">
        <v>852</v>
      </c>
      <c r="E174" s="84">
        <v>853</v>
      </c>
      <c r="F174" s="85"/>
      <c r="G174" s="85"/>
      <c r="H174" s="85"/>
      <c r="I174" s="85"/>
      <c r="J174" s="85"/>
      <c r="K174" s="42"/>
      <c r="L174" s="43"/>
    </row>
    <row r="175" spans="1:12" s="41" customFormat="1" ht="15.75" hidden="1" x14ac:dyDescent="0.25">
      <c r="A175" s="80" t="s">
        <v>81</v>
      </c>
      <c r="B175" s="81"/>
      <c r="C175" s="81"/>
      <c r="D175" s="81"/>
      <c r="E175" s="86"/>
      <c r="F175" s="87"/>
      <c r="G175" s="87"/>
      <c r="H175" s="87"/>
      <c r="I175" s="87"/>
      <c r="J175" s="87"/>
    </row>
    <row r="176" spans="1:12" ht="39.75" hidden="1" customHeight="1" x14ac:dyDescent="0.25">
      <c r="A176" s="188" t="s">
        <v>1</v>
      </c>
      <c r="B176" s="1346" t="s">
        <v>15</v>
      </c>
      <c r="C176" s="1346"/>
      <c r="D176" s="1346"/>
      <c r="E176" s="1346" t="s">
        <v>47</v>
      </c>
      <c r="F176" s="1346"/>
      <c r="G176" s="1346" t="s">
        <v>48</v>
      </c>
      <c r="H176" s="1346"/>
      <c r="I176" s="1346" t="s">
        <v>103</v>
      </c>
      <c r="J176" s="1346"/>
    </row>
    <row r="177" spans="1:12" ht="15" hidden="1" customHeight="1" x14ac:dyDescent="0.25">
      <c r="A177" s="188">
        <v>1</v>
      </c>
      <c r="B177" s="1346">
        <v>2</v>
      </c>
      <c r="C177" s="1346"/>
      <c r="D177" s="1346"/>
      <c r="E177" s="1346">
        <v>3</v>
      </c>
      <c r="F177" s="1346"/>
      <c r="G177" s="1346">
        <v>4</v>
      </c>
      <c r="H177" s="1346"/>
      <c r="I177" s="1346">
        <v>5</v>
      </c>
      <c r="J177" s="1346"/>
    </row>
    <row r="178" spans="1:12" ht="20.25" hidden="1" customHeight="1" x14ac:dyDescent="0.25">
      <c r="A178" s="1512" t="s">
        <v>70</v>
      </c>
      <c r="B178" s="1517" t="s">
        <v>289</v>
      </c>
      <c r="C178" s="1518"/>
      <c r="D178" s="194" t="s">
        <v>460</v>
      </c>
      <c r="E178" s="1519"/>
      <c r="F178" s="1519"/>
      <c r="G178" s="1516">
        <v>2.1999999999999999E-2</v>
      </c>
      <c r="H178" s="1516"/>
      <c r="I178" s="1468">
        <v>0</v>
      </c>
      <c r="J178" s="1468"/>
    </row>
    <row r="179" spans="1:12" ht="17.25" hidden="1" customHeight="1" x14ac:dyDescent="0.25">
      <c r="A179" s="1513"/>
      <c r="B179" s="1518"/>
      <c r="C179" s="1518"/>
      <c r="D179" s="195" t="s">
        <v>461</v>
      </c>
      <c r="E179" s="1519"/>
      <c r="F179" s="1519"/>
      <c r="G179" s="1516">
        <v>2.1999999999999999E-2</v>
      </c>
      <c r="H179" s="1516"/>
      <c r="I179" s="1468">
        <v>0</v>
      </c>
      <c r="J179" s="1468"/>
    </row>
    <row r="180" spans="1:12" ht="18" hidden="1" customHeight="1" x14ac:dyDescent="0.25">
      <c r="A180" s="191" t="s">
        <v>75</v>
      </c>
      <c r="B180" s="1402" t="s">
        <v>291</v>
      </c>
      <c r="C180" s="1403"/>
      <c r="D180" s="1404"/>
      <c r="E180" s="1445">
        <v>0</v>
      </c>
      <c r="F180" s="1445"/>
      <c r="G180" s="1445">
        <v>0</v>
      </c>
      <c r="H180" s="1445"/>
      <c r="I180" s="1468">
        <v>0</v>
      </c>
      <c r="J180" s="1468"/>
    </row>
    <row r="181" spans="1:12" ht="31.5" hidden="1" customHeight="1" x14ac:dyDescent="0.25">
      <c r="A181" s="191" t="s">
        <v>77</v>
      </c>
      <c r="B181" s="1402" t="s">
        <v>292</v>
      </c>
      <c r="C181" s="1403"/>
      <c r="D181" s="1404"/>
      <c r="E181" s="1445">
        <v>0</v>
      </c>
      <c r="F181" s="1445"/>
      <c r="G181" s="1445">
        <v>0</v>
      </c>
      <c r="H181" s="1445"/>
      <c r="I181" s="1468">
        <v>0</v>
      </c>
      <c r="J181" s="1468"/>
    </row>
    <row r="182" spans="1:12" ht="31.5" hidden="1" customHeight="1" x14ac:dyDescent="0.25">
      <c r="A182" s="191" t="s">
        <v>86</v>
      </c>
      <c r="B182" s="1402" t="s">
        <v>290</v>
      </c>
      <c r="C182" s="1403"/>
      <c r="D182" s="1404"/>
      <c r="E182" s="1387">
        <v>0</v>
      </c>
      <c r="F182" s="1388"/>
      <c r="G182" s="1387">
        <v>0</v>
      </c>
      <c r="H182" s="1388"/>
      <c r="I182" s="1514">
        <v>0</v>
      </c>
      <c r="J182" s="1515"/>
    </row>
    <row r="183" spans="1:12" ht="15.75" hidden="1" customHeight="1" x14ac:dyDescent="0.25">
      <c r="A183" s="189"/>
      <c r="B183" s="1338" t="s">
        <v>13</v>
      </c>
      <c r="C183" s="1338"/>
      <c r="D183" s="1338"/>
      <c r="E183" s="1341" t="s">
        <v>74</v>
      </c>
      <c r="F183" s="1341"/>
      <c r="G183" s="1341" t="s">
        <v>14</v>
      </c>
      <c r="H183" s="1341"/>
      <c r="I183" s="1347">
        <f>SUM(I178:J182)</f>
        <v>0</v>
      </c>
      <c r="J183" s="1341"/>
    </row>
    <row r="184" spans="1:12" ht="27" hidden="1" customHeight="1" x14ac:dyDescent="0.25">
      <c r="A184" s="1480" t="s">
        <v>85</v>
      </c>
      <c r="B184" s="1480"/>
      <c r="C184" s="1480"/>
      <c r="D184" s="1480"/>
      <c r="E184" s="1480"/>
      <c r="F184" s="1480"/>
      <c r="G184" s="1480"/>
      <c r="H184" s="1480"/>
      <c r="I184" s="1480"/>
      <c r="J184" s="1480"/>
      <c r="K184" s="1474"/>
      <c r="L184" s="1474"/>
    </row>
    <row r="185" spans="1:12" s="41" customFormat="1" ht="15.75" hidden="1" customHeight="1" x14ac:dyDescent="0.25">
      <c r="A185" s="80" t="s">
        <v>80</v>
      </c>
      <c r="B185" s="81"/>
      <c r="C185" s="84"/>
      <c r="D185" s="84"/>
      <c r="E185" s="84"/>
      <c r="F185" s="85"/>
      <c r="G185" s="85"/>
      <c r="H185" s="85"/>
      <c r="I185" s="85"/>
      <c r="J185" s="85"/>
      <c r="K185" s="42"/>
      <c r="L185" s="43"/>
    </row>
    <row r="186" spans="1:12" s="41" customFormat="1" ht="15.75" hidden="1" x14ac:dyDescent="0.25">
      <c r="A186" s="80" t="s">
        <v>81</v>
      </c>
      <c r="B186" s="81"/>
      <c r="C186" s="81"/>
      <c r="D186" s="81"/>
      <c r="E186" s="86"/>
      <c r="F186" s="87"/>
      <c r="G186" s="87"/>
      <c r="H186" s="87"/>
      <c r="I186" s="87"/>
      <c r="J186" s="87"/>
    </row>
    <row r="187" spans="1:12" ht="24.75" hidden="1" customHeight="1" x14ac:dyDescent="0.25">
      <c r="A187" s="188" t="s">
        <v>1</v>
      </c>
      <c r="B187" s="1346" t="s">
        <v>44</v>
      </c>
      <c r="C187" s="1346"/>
      <c r="D187" s="1346"/>
      <c r="E187" s="1346" t="s">
        <v>45</v>
      </c>
      <c r="F187" s="1346"/>
      <c r="G187" s="1346" t="s">
        <v>46</v>
      </c>
      <c r="H187" s="1346"/>
      <c r="I187" s="1346" t="s">
        <v>102</v>
      </c>
      <c r="J187" s="1346"/>
      <c r="K187" s="11"/>
      <c r="L187" s="11"/>
    </row>
    <row r="188" spans="1:12" ht="14.25" hidden="1" customHeight="1" x14ac:dyDescent="0.25">
      <c r="A188" s="188">
        <v>1</v>
      </c>
      <c r="B188" s="1346">
        <v>2</v>
      </c>
      <c r="C188" s="1346"/>
      <c r="D188" s="1346"/>
      <c r="E188" s="1346">
        <v>3</v>
      </c>
      <c r="F188" s="1346"/>
      <c r="G188" s="1346">
        <v>4</v>
      </c>
      <c r="H188" s="1346"/>
      <c r="I188" s="1346">
        <v>5</v>
      </c>
      <c r="J188" s="1346"/>
      <c r="K188" s="201"/>
      <c r="L188" s="202"/>
    </row>
    <row r="189" spans="1:12" ht="15" hidden="1" customHeight="1" x14ac:dyDescent="0.25">
      <c r="A189" s="191"/>
      <c r="B189" s="1387"/>
      <c r="C189" s="1444"/>
      <c r="D189" s="1388"/>
      <c r="E189" s="1387"/>
      <c r="F189" s="1388"/>
      <c r="G189" s="1387"/>
      <c r="H189" s="1388"/>
      <c r="I189" s="1387"/>
      <c r="J189" s="1388"/>
      <c r="K189" s="11"/>
      <c r="L189" s="11"/>
    </row>
    <row r="190" spans="1:12" ht="17.25" hidden="1" customHeight="1" x14ac:dyDescent="0.25">
      <c r="A190" s="189"/>
      <c r="B190" s="1338" t="s">
        <v>13</v>
      </c>
      <c r="C190" s="1338"/>
      <c r="D190" s="1338"/>
      <c r="E190" s="1341" t="s">
        <v>14</v>
      </c>
      <c r="F190" s="1341"/>
      <c r="G190" s="1341" t="s">
        <v>14</v>
      </c>
      <c r="H190" s="1341"/>
      <c r="I190" s="1341"/>
      <c r="J190" s="1341"/>
      <c r="K190" s="11"/>
      <c r="L190" s="11"/>
    </row>
    <row r="191" spans="1:12" ht="16.5" hidden="1" customHeight="1" x14ac:dyDescent="0.25">
      <c r="A191" s="1446" t="s">
        <v>91</v>
      </c>
      <c r="B191" s="1446"/>
      <c r="C191" s="1446"/>
      <c r="D191" s="1446"/>
      <c r="E191" s="1446"/>
      <c r="F191" s="1446"/>
      <c r="G191" s="1446"/>
      <c r="H191" s="1446"/>
      <c r="I191" s="1446"/>
      <c r="J191" s="1446"/>
      <c r="K191" s="11"/>
      <c r="L191" s="11"/>
    </row>
    <row r="192" spans="1:12" ht="18" hidden="1" customHeight="1" x14ac:dyDescent="0.25">
      <c r="A192" s="80" t="s">
        <v>80</v>
      </c>
      <c r="B192" s="81"/>
      <c r="C192" s="84">
        <v>244</v>
      </c>
      <c r="D192" s="84"/>
      <c r="E192" s="84"/>
      <c r="F192" s="85"/>
      <c r="G192" s="85"/>
      <c r="H192" s="85"/>
      <c r="I192" s="85"/>
      <c r="J192" s="85"/>
      <c r="K192" s="11"/>
      <c r="L192" s="11"/>
    </row>
    <row r="193" spans="1:13" ht="18" hidden="1" customHeight="1" x14ac:dyDescent="0.25">
      <c r="A193" s="80" t="s">
        <v>81</v>
      </c>
      <c r="B193" s="81"/>
      <c r="C193" s="81"/>
      <c r="D193" s="81"/>
      <c r="E193" s="86" t="s">
        <v>82</v>
      </c>
      <c r="F193" s="87"/>
      <c r="G193" s="86"/>
      <c r="H193" s="87"/>
      <c r="I193" s="87"/>
      <c r="J193" s="87"/>
      <c r="K193" s="11"/>
      <c r="L193" s="11"/>
    </row>
    <row r="194" spans="1:13" ht="18" hidden="1" customHeight="1" x14ac:dyDescent="0.25">
      <c r="A194" s="1442" t="s">
        <v>507</v>
      </c>
      <c r="B194" s="1442"/>
      <c r="C194" s="1442"/>
      <c r="D194" s="1442"/>
      <c r="E194" s="1442"/>
      <c r="F194" s="1442"/>
      <c r="G194" s="1442"/>
      <c r="H194" s="1442"/>
      <c r="I194" s="1442"/>
      <c r="J194" s="1442"/>
      <c r="K194" s="11"/>
      <c r="L194" s="11"/>
    </row>
    <row r="195" spans="1:13" ht="30" hidden="1" customHeight="1" x14ac:dyDescent="0.25">
      <c r="A195" s="188" t="s">
        <v>1</v>
      </c>
      <c r="B195" s="1346" t="s">
        <v>44</v>
      </c>
      <c r="C195" s="1346"/>
      <c r="D195" s="1346"/>
      <c r="E195" s="1346" t="s">
        <v>45</v>
      </c>
      <c r="F195" s="1346"/>
      <c r="G195" s="1346" t="s">
        <v>46</v>
      </c>
      <c r="H195" s="1346"/>
      <c r="I195" s="1346" t="s">
        <v>102</v>
      </c>
      <c r="J195" s="1346"/>
      <c r="K195" s="135"/>
      <c r="L195" s="11"/>
    </row>
    <row r="196" spans="1:13" ht="17.25" hidden="1" customHeight="1" x14ac:dyDescent="0.25">
      <c r="A196" s="188">
        <v>1</v>
      </c>
      <c r="B196" s="1346">
        <v>2</v>
      </c>
      <c r="C196" s="1346"/>
      <c r="D196" s="1346"/>
      <c r="E196" s="1346">
        <v>3</v>
      </c>
      <c r="F196" s="1346"/>
      <c r="G196" s="1346">
        <v>4</v>
      </c>
      <c r="H196" s="1346"/>
      <c r="I196" s="1346">
        <v>5</v>
      </c>
      <c r="J196" s="1346"/>
      <c r="K196" s="11"/>
      <c r="L196" s="11"/>
    </row>
    <row r="197" spans="1:13" ht="21.75" hidden="1" customHeight="1" x14ac:dyDescent="0.25">
      <c r="A197" s="191" t="s">
        <v>70</v>
      </c>
      <c r="B197" s="1402" t="s">
        <v>508</v>
      </c>
      <c r="C197" s="1403"/>
      <c r="D197" s="1404"/>
      <c r="E197" s="1387">
        <v>0</v>
      </c>
      <c r="F197" s="1388"/>
      <c r="G197" s="1387">
        <v>1</v>
      </c>
      <c r="H197" s="1388"/>
      <c r="I197" s="1475">
        <f>E197*G197</f>
        <v>0</v>
      </c>
      <c r="J197" s="1476"/>
      <c r="K197" s="11"/>
      <c r="L197" s="136"/>
    </row>
    <row r="198" spans="1:13" ht="38.25" hidden="1" customHeight="1" x14ac:dyDescent="0.25">
      <c r="A198" s="191" t="s">
        <v>75</v>
      </c>
      <c r="B198" s="1447" t="s">
        <v>487</v>
      </c>
      <c r="C198" s="1448"/>
      <c r="D198" s="1449"/>
      <c r="E198" s="1387">
        <v>0</v>
      </c>
      <c r="F198" s="1388"/>
      <c r="G198" s="1387">
        <v>2</v>
      </c>
      <c r="H198" s="1388"/>
      <c r="I198" s="1475">
        <f>E198*G198</f>
        <v>0</v>
      </c>
      <c r="J198" s="1476"/>
      <c r="K198" s="11"/>
      <c r="L198" s="136"/>
    </row>
    <row r="199" spans="1:13" ht="15" hidden="1" customHeight="1" x14ac:dyDescent="0.25">
      <c r="A199" s="237"/>
      <c r="B199" s="1509" t="s">
        <v>13</v>
      </c>
      <c r="C199" s="1509"/>
      <c r="D199" s="1509"/>
      <c r="E199" s="1510" t="s">
        <v>14</v>
      </c>
      <c r="F199" s="1510"/>
      <c r="G199" s="1510" t="s">
        <v>14</v>
      </c>
      <c r="H199" s="1510"/>
      <c r="I199" s="1511">
        <f>I197+I198</f>
        <v>0</v>
      </c>
      <c r="J199" s="1511"/>
      <c r="K199" s="11"/>
      <c r="L199" s="11"/>
      <c r="M199" s="14"/>
    </row>
    <row r="200" spans="1:13" ht="22.5" customHeight="1" x14ac:dyDescent="0.25">
      <c r="A200" s="1446" t="s">
        <v>49</v>
      </c>
      <c r="B200" s="1446"/>
      <c r="C200" s="1446"/>
      <c r="D200" s="1446"/>
      <c r="E200" s="1446"/>
      <c r="F200" s="1446"/>
      <c r="G200" s="1446"/>
      <c r="H200" s="1446"/>
      <c r="I200" s="1446"/>
      <c r="J200" s="1446"/>
      <c r="K200" s="11"/>
      <c r="L200" s="11"/>
      <c r="M200" s="14"/>
    </row>
    <row r="201" spans="1:13" ht="19.5" customHeight="1" x14ac:dyDescent="0.25">
      <c r="A201" s="80" t="s">
        <v>80</v>
      </c>
      <c r="B201" s="81"/>
      <c r="C201" s="84">
        <v>244</v>
      </c>
      <c r="D201" s="84"/>
      <c r="E201" s="84"/>
      <c r="F201" s="85"/>
      <c r="G201" s="85"/>
      <c r="H201" s="85"/>
      <c r="I201" s="85"/>
      <c r="J201" s="85"/>
      <c r="K201" s="11"/>
      <c r="L201" s="11"/>
      <c r="M201" s="14"/>
    </row>
    <row r="202" spans="1:13" ht="17.25" customHeight="1" x14ac:dyDescent="0.25">
      <c r="A202" s="80" t="s">
        <v>81</v>
      </c>
      <c r="B202" s="81"/>
      <c r="C202" s="81"/>
      <c r="D202" s="81"/>
      <c r="E202" s="86" t="s">
        <v>82</v>
      </c>
      <c r="F202" s="87"/>
      <c r="G202" s="86" t="s">
        <v>195</v>
      </c>
      <c r="H202" s="87"/>
      <c r="I202" s="87"/>
      <c r="J202" s="87"/>
      <c r="K202" s="11"/>
      <c r="L202" s="11"/>
      <c r="M202" s="14"/>
    </row>
    <row r="203" spans="1:13" ht="17.25" hidden="1" customHeight="1" x14ac:dyDescent="0.25">
      <c r="A203" s="1446" t="s">
        <v>294</v>
      </c>
      <c r="B203" s="1446"/>
      <c r="C203" s="1446"/>
      <c r="D203" s="1446"/>
      <c r="E203" s="1446"/>
      <c r="F203" s="1446"/>
      <c r="G203" s="1446"/>
      <c r="H203" s="1446"/>
      <c r="I203" s="1446"/>
      <c r="J203" s="1446"/>
      <c r="K203" s="11"/>
      <c r="L203" s="11"/>
      <c r="M203" s="14"/>
    </row>
    <row r="204" spans="1:13" ht="39.75" hidden="1" customHeight="1" x14ac:dyDescent="0.25">
      <c r="A204" s="188" t="s">
        <v>1</v>
      </c>
      <c r="B204" s="1346" t="s">
        <v>15</v>
      </c>
      <c r="C204" s="1346"/>
      <c r="D204" s="1346"/>
      <c r="E204" s="188" t="s">
        <v>50</v>
      </c>
      <c r="F204" s="188" t="s">
        <v>51</v>
      </c>
      <c r="G204" s="1346" t="s">
        <v>52</v>
      </c>
      <c r="H204" s="1346"/>
      <c r="I204" s="1346" t="s">
        <v>104</v>
      </c>
      <c r="J204" s="1346"/>
      <c r="K204" s="11"/>
      <c r="L204" s="11"/>
      <c r="M204" s="14"/>
    </row>
    <row r="205" spans="1:13" ht="15" hidden="1" customHeight="1" x14ac:dyDescent="0.25">
      <c r="A205" s="188">
        <v>1</v>
      </c>
      <c r="B205" s="1346">
        <v>2</v>
      </c>
      <c r="C205" s="1346"/>
      <c r="D205" s="1346"/>
      <c r="E205" s="188">
        <v>3</v>
      </c>
      <c r="F205" s="188">
        <v>4</v>
      </c>
      <c r="G205" s="1346">
        <v>5</v>
      </c>
      <c r="H205" s="1346"/>
      <c r="I205" s="1346">
        <v>6</v>
      </c>
      <c r="J205" s="1346"/>
      <c r="K205" s="11"/>
      <c r="L205" s="11"/>
      <c r="M205" s="14"/>
    </row>
    <row r="206" spans="1:13" ht="14.25" hidden="1" customHeight="1" x14ac:dyDescent="0.25">
      <c r="A206" s="187">
        <v>1</v>
      </c>
      <c r="B206" s="1357" t="s">
        <v>341</v>
      </c>
      <c r="C206" s="1358"/>
      <c r="D206" s="1359"/>
      <c r="E206" s="146" t="s">
        <v>74</v>
      </c>
      <c r="F206" s="146" t="s">
        <v>74</v>
      </c>
      <c r="G206" s="1469" t="s">
        <v>74</v>
      </c>
      <c r="H206" s="1469"/>
      <c r="I206" s="1470">
        <f>I207+I208+I209+I210</f>
        <v>0</v>
      </c>
      <c r="J206" s="1470"/>
      <c r="K206" s="11"/>
      <c r="L206" s="11"/>
      <c r="M206" s="14"/>
    </row>
    <row r="207" spans="1:13" ht="15" hidden="1" customHeight="1" x14ac:dyDescent="0.25">
      <c r="A207" s="191" t="s">
        <v>342</v>
      </c>
      <c r="B207" s="1386" t="s">
        <v>93</v>
      </c>
      <c r="C207" s="1386"/>
      <c r="D207" s="1386"/>
      <c r="E207" s="191">
        <v>6</v>
      </c>
      <c r="F207" s="191">
        <v>12</v>
      </c>
      <c r="G207" s="1471">
        <v>0</v>
      </c>
      <c r="H207" s="1471"/>
      <c r="I207" s="1468">
        <v>0</v>
      </c>
      <c r="J207" s="1468"/>
      <c r="K207" s="13"/>
      <c r="L207" s="13"/>
      <c r="M207" s="14"/>
    </row>
    <row r="208" spans="1:13" hidden="1" x14ac:dyDescent="0.25">
      <c r="A208" s="191" t="s">
        <v>343</v>
      </c>
      <c r="B208" s="1386" t="s">
        <v>95</v>
      </c>
      <c r="C208" s="1386"/>
      <c r="D208" s="1386"/>
      <c r="E208" s="191"/>
      <c r="F208" s="191"/>
      <c r="G208" s="1472"/>
      <c r="H208" s="1472"/>
      <c r="I208" s="1468"/>
      <c r="J208" s="1468"/>
      <c r="M208" s="14"/>
    </row>
    <row r="209" spans="1:14" hidden="1" x14ac:dyDescent="0.25">
      <c r="A209" s="191" t="s">
        <v>344</v>
      </c>
      <c r="B209" s="1386" t="s">
        <v>96</v>
      </c>
      <c r="C209" s="1386"/>
      <c r="D209" s="1386"/>
      <c r="E209" s="191"/>
      <c r="F209" s="191"/>
      <c r="G209" s="1467"/>
      <c r="H209" s="1467"/>
      <c r="I209" s="1473"/>
      <c r="J209" s="1473"/>
      <c r="M209" s="14"/>
    </row>
    <row r="210" spans="1:14" hidden="1" x14ac:dyDescent="0.25">
      <c r="A210" s="191" t="s">
        <v>264</v>
      </c>
      <c r="B210" s="1386" t="s">
        <v>199</v>
      </c>
      <c r="C210" s="1386"/>
      <c r="D210" s="1386"/>
      <c r="E210" s="191"/>
      <c r="F210" s="191"/>
      <c r="G210" s="1467"/>
      <c r="H210" s="1467"/>
      <c r="I210" s="1468"/>
      <c r="J210" s="1468"/>
      <c r="M210" s="14"/>
    </row>
    <row r="211" spans="1:14" hidden="1" x14ac:dyDescent="0.25">
      <c r="A211" s="187">
        <v>2</v>
      </c>
      <c r="B211" s="1357" t="s">
        <v>345</v>
      </c>
      <c r="C211" s="1358"/>
      <c r="D211" s="1359"/>
      <c r="E211" s="146" t="s">
        <v>74</v>
      </c>
      <c r="F211" s="146" t="s">
        <v>74</v>
      </c>
      <c r="G211" s="1469" t="s">
        <v>74</v>
      </c>
      <c r="H211" s="1469"/>
      <c r="I211" s="1470">
        <f>I212</f>
        <v>0</v>
      </c>
      <c r="J211" s="1470"/>
      <c r="M211" s="14"/>
    </row>
    <row r="212" spans="1:14" s="41" customFormat="1" ht="19.5" hidden="1" customHeight="1" x14ac:dyDescent="0.25">
      <c r="A212" s="191" t="s">
        <v>346</v>
      </c>
      <c r="B212" s="1386" t="s">
        <v>199</v>
      </c>
      <c r="C212" s="1386"/>
      <c r="D212" s="1386"/>
      <c r="E212" s="191">
        <v>1</v>
      </c>
      <c r="F212" s="191">
        <v>10</v>
      </c>
      <c r="G212" s="1467">
        <v>25000</v>
      </c>
      <c r="H212" s="1467"/>
      <c r="I212" s="1468">
        <v>0</v>
      </c>
      <c r="J212" s="1468"/>
    </row>
    <row r="213" spans="1:14" ht="16.5" hidden="1" customHeight="1" x14ac:dyDescent="0.25">
      <c r="A213" s="191"/>
      <c r="B213" s="1338" t="s">
        <v>325</v>
      </c>
      <c r="C213" s="1338"/>
      <c r="D213" s="1338"/>
      <c r="E213" s="189" t="s">
        <v>14</v>
      </c>
      <c r="F213" s="189" t="s">
        <v>14</v>
      </c>
      <c r="G213" s="1341" t="s">
        <v>14</v>
      </c>
      <c r="H213" s="1341"/>
      <c r="I213" s="1347">
        <f>I206+I211</f>
        <v>0</v>
      </c>
      <c r="J213" s="1341"/>
      <c r="K213" s="124"/>
      <c r="N213" s="126"/>
    </row>
    <row r="214" spans="1:14" ht="12" hidden="1" customHeight="1" x14ac:dyDescent="0.25">
      <c r="A214" s="88"/>
      <c r="B214" s="81"/>
      <c r="C214" s="81"/>
      <c r="D214" s="81"/>
      <c r="E214" s="81"/>
      <c r="F214" s="81"/>
      <c r="G214" s="81"/>
      <c r="H214" s="81"/>
      <c r="I214" s="81"/>
      <c r="J214" s="81"/>
      <c r="K214" s="14"/>
      <c r="M214" s="73"/>
    </row>
    <row r="215" spans="1:14" ht="18.75" hidden="1" customHeight="1" x14ac:dyDescent="0.25">
      <c r="A215" s="1446" t="s">
        <v>278</v>
      </c>
      <c r="B215" s="1446"/>
      <c r="C215" s="1446"/>
      <c r="D215" s="1446"/>
      <c r="E215" s="1446"/>
      <c r="F215" s="1446"/>
      <c r="G215" s="1446"/>
      <c r="H215" s="1446"/>
      <c r="I215" s="1446"/>
      <c r="J215" s="1446"/>
      <c r="K215" s="14"/>
      <c r="M215" s="73"/>
    </row>
    <row r="216" spans="1:14" ht="12.75" hidden="1" customHeight="1" x14ac:dyDescent="0.25">
      <c r="A216" s="188" t="s">
        <v>1</v>
      </c>
      <c r="B216" s="1346" t="s">
        <v>15</v>
      </c>
      <c r="C216" s="1346"/>
      <c r="D216" s="1346"/>
      <c r="E216" s="1346" t="s">
        <v>53</v>
      </c>
      <c r="F216" s="1346"/>
      <c r="G216" s="1346" t="s">
        <v>54</v>
      </c>
      <c r="H216" s="1346"/>
      <c r="I216" s="1346" t="s">
        <v>260</v>
      </c>
      <c r="J216" s="1346"/>
      <c r="K216" s="14"/>
      <c r="M216" s="73"/>
    </row>
    <row r="217" spans="1:14" ht="15" hidden="1" customHeight="1" x14ac:dyDescent="0.25">
      <c r="A217" s="188">
        <v>1</v>
      </c>
      <c r="B217" s="1346">
        <v>2</v>
      </c>
      <c r="C217" s="1346"/>
      <c r="D217" s="1346"/>
      <c r="E217" s="1346">
        <v>3</v>
      </c>
      <c r="F217" s="1346"/>
      <c r="G217" s="1346">
        <v>4</v>
      </c>
      <c r="H217" s="1346"/>
      <c r="I217" s="1346">
        <v>5</v>
      </c>
      <c r="J217" s="1346"/>
      <c r="K217" s="14"/>
      <c r="M217" s="73"/>
    </row>
    <row r="218" spans="1:14" ht="17.25" hidden="1" customHeight="1" x14ac:dyDescent="0.25">
      <c r="A218" s="191">
        <v>1</v>
      </c>
      <c r="B218" s="1463" t="s">
        <v>322</v>
      </c>
      <c r="C218" s="1464"/>
      <c r="D218" s="1465"/>
      <c r="E218" s="1445"/>
      <c r="F218" s="1445"/>
      <c r="G218" s="1466"/>
      <c r="H218" s="1466"/>
      <c r="I218" s="1466">
        <f>E218*G218</f>
        <v>0</v>
      </c>
      <c r="J218" s="1466"/>
      <c r="K218" s="14"/>
      <c r="M218" s="73"/>
    </row>
    <row r="219" spans="1:14" hidden="1" x14ac:dyDescent="0.25">
      <c r="A219" s="191"/>
      <c r="B219" s="1338" t="s">
        <v>13</v>
      </c>
      <c r="C219" s="1338"/>
      <c r="D219" s="1338"/>
      <c r="E219" s="1341" t="s">
        <v>74</v>
      </c>
      <c r="F219" s="1341"/>
      <c r="G219" s="1341" t="s">
        <v>74</v>
      </c>
      <c r="H219" s="1341"/>
      <c r="I219" s="1385">
        <f>I218</f>
        <v>0</v>
      </c>
      <c r="J219" s="1341"/>
    </row>
    <row r="220" spans="1:14" ht="24" hidden="1" customHeight="1" x14ac:dyDescent="0.25">
      <c r="A220" s="1446" t="s">
        <v>274</v>
      </c>
      <c r="B220" s="1446"/>
      <c r="C220" s="1446"/>
      <c r="D220" s="1446"/>
      <c r="E220" s="1446"/>
      <c r="F220" s="1446"/>
      <c r="G220" s="1446"/>
      <c r="H220" s="1446"/>
      <c r="I220" s="1446"/>
      <c r="J220" s="1446"/>
    </row>
    <row r="221" spans="1:14" s="41" customFormat="1" ht="25.5" hidden="1" customHeight="1" x14ac:dyDescent="0.2">
      <c r="A221" s="188" t="s">
        <v>1</v>
      </c>
      <c r="B221" s="1346" t="s">
        <v>44</v>
      </c>
      <c r="C221" s="1346"/>
      <c r="D221" s="1346"/>
      <c r="E221" s="188" t="s">
        <v>55</v>
      </c>
      <c r="F221" s="1346" t="s">
        <v>56</v>
      </c>
      <c r="G221" s="1346"/>
      <c r="H221" s="188" t="s">
        <v>57</v>
      </c>
      <c r="I221" s="1346" t="s">
        <v>104</v>
      </c>
      <c r="J221" s="1346"/>
    </row>
    <row r="222" spans="1:14" s="41" customFormat="1" ht="12.75" hidden="1" x14ac:dyDescent="0.2">
      <c r="A222" s="188">
        <v>1</v>
      </c>
      <c r="B222" s="1346">
        <v>2</v>
      </c>
      <c r="C222" s="1346"/>
      <c r="D222" s="1346"/>
      <c r="E222" s="188">
        <v>3</v>
      </c>
      <c r="F222" s="1346">
        <v>4</v>
      </c>
      <c r="G222" s="1346"/>
      <c r="H222" s="188">
        <v>5</v>
      </c>
      <c r="I222" s="1346">
        <v>6</v>
      </c>
      <c r="J222" s="1346"/>
    </row>
    <row r="223" spans="1:14" ht="15" hidden="1" customHeight="1" x14ac:dyDescent="0.25">
      <c r="A223" s="187" t="s">
        <v>70</v>
      </c>
      <c r="B223" s="1357" t="s">
        <v>151</v>
      </c>
      <c r="C223" s="1358"/>
      <c r="D223" s="1359"/>
      <c r="E223" s="90">
        <f>E224+E225</f>
        <v>1242.06</v>
      </c>
      <c r="F223" s="1460"/>
      <c r="G223" s="1461"/>
      <c r="H223" s="91">
        <f>F225/F224-100%</f>
        <v>3.5000412984224072E-2</v>
      </c>
      <c r="I223" s="1462"/>
      <c r="J223" s="1462"/>
      <c r="K223" s="14"/>
    </row>
    <row r="224" spans="1:14" ht="15" hidden="1" customHeight="1" x14ac:dyDescent="0.25">
      <c r="A224" s="191"/>
      <c r="B224" s="1445" t="s">
        <v>100</v>
      </c>
      <c r="C224" s="1445"/>
      <c r="D224" s="1445"/>
      <c r="E224" s="190">
        <f>679+21.16</f>
        <v>700.16</v>
      </c>
      <c r="F224" s="1373">
        <v>1937.12</v>
      </c>
      <c r="G224" s="1374"/>
      <c r="H224" s="191"/>
      <c r="I224" s="1459"/>
      <c r="J224" s="1459"/>
      <c r="K224" s="14"/>
    </row>
    <row r="225" spans="1:11" ht="15" hidden="1" customHeight="1" x14ac:dyDescent="0.25">
      <c r="A225" s="191"/>
      <c r="B225" s="1445" t="s">
        <v>101</v>
      </c>
      <c r="C225" s="1445"/>
      <c r="D225" s="1445"/>
      <c r="E225" s="190">
        <f>318+203+14.4+4.5+2</f>
        <v>541.9</v>
      </c>
      <c r="F225" s="1373">
        <v>2004.92</v>
      </c>
      <c r="G225" s="1374"/>
      <c r="H225" s="191"/>
      <c r="I225" s="1459"/>
      <c r="J225" s="1459"/>
      <c r="K225" s="14"/>
    </row>
    <row r="226" spans="1:11" ht="15" hidden="1" customHeight="1" x14ac:dyDescent="0.25">
      <c r="A226" s="187" t="s">
        <v>75</v>
      </c>
      <c r="B226" s="1357" t="s">
        <v>152</v>
      </c>
      <c r="C226" s="1358"/>
      <c r="D226" s="1359"/>
      <c r="E226" s="90">
        <f>E227+E228</f>
        <v>854</v>
      </c>
      <c r="F226" s="1460"/>
      <c r="G226" s="1461"/>
      <c r="H226" s="91">
        <f>F228/F227-100%</f>
        <v>3.5040944581984368E-2</v>
      </c>
      <c r="I226" s="1462"/>
      <c r="J226" s="1462"/>
      <c r="K226" s="14"/>
    </row>
    <row r="227" spans="1:11" ht="15" hidden="1" customHeight="1" x14ac:dyDescent="0.25">
      <c r="A227" s="191"/>
      <c r="B227" s="1445" t="s">
        <v>100</v>
      </c>
      <c r="C227" s="1445"/>
      <c r="D227" s="1445"/>
      <c r="E227" s="190">
        <v>460</v>
      </c>
      <c r="F227" s="1373">
        <v>52.51</v>
      </c>
      <c r="G227" s="1374"/>
      <c r="H227" s="191"/>
      <c r="I227" s="1459"/>
      <c r="J227" s="1459"/>
      <c r="K227" s="14"/>
    </row>
    <row r="228" spans="1:11" ht="15" hidden="1" customHeight="1" x14ac:dyDescent="0.25">
      <c r="A228" s="191"/>
      <c r="B228" s="1445" t="s">
        <v>101</v>
      </c>
      <c r="C228" s="1445"/>
      <c r="D228" s="1445"/>
      <c r="E228" s="190">
        <f>313+81</f>
        <v>394</v>
      </c>
      <c r="F228" s="1373">
        <v>54.35</v>
      </c>
      <c r="G228" s="1374"/>
      <c r="H228" s="191"/>
      <c r="I228" s="1459"/>
      <c r="J228" s="1459"/>
      <c r="K228" s="99"/>
    </row>
    <row r="229" spans="1:11" ht="15" hidden="1" customHeight="1" x14ac:dyDescent="0.25">
      <c r="A229" s="187" t="s">
        <v>77</v>
      </c>
      <c r="B229" s="1357" t="s">
        <v>153</v>
      </c>
      <c r="C229" s="1358"/>
      <c r="D229" s="1359"/>
      <c r="E229" s="90">
        <f>E230+E231</f>
        <v>1517</v>
      </c>
      <c r="F229" s="1460"/>
      <c r="G229" s="1461"/>
      <c r="H229" s="91">
        <f>F231/F230-100%</f>
        <v>3.5040944581984368E-2</v>
      </c>
      <c r="I229" s="1462"/>
      <c r="J229" s="1462"/>
      <c r="K229" s="14"/>
    </row>
    <row r="230" spans="1:11" ht="15" hidden="1" customHeight="1" x14ac:dyDescent="0.25">
      <c r="A230" s="191"/>
      <c r="B230" s="1445" t="s">
        <v>100</v>
      </c>
      <c r="C230" s="1445"/>
      <c r="D230" s="1445"/>
      <c r="E230" s="190">
        <f>722</f>
        <v>722</v>
      </c>
      <c r="F230" s="1373">
        <v>52.51</v>
      </c>
      <c r="G230" s="1374"/>
      <c r="H230" s="191"/>
      <c r="I230" s="1459"/>
      <c r="J230" s="1459"/>
      <c r="K230" s="14"/>
    </row>
    <row r="231" spans="1:11" ht="15" hidden="1" customHeight="1" x14ac:dyDescent="0.25">
      <c r="A231" s="191"/>
      <c r="B231" s="1445" t="s">
        <v>101</v>
      </c>
      <c r="C231" s="1445"/>
      <c r="D231" s="1445"/>
      <c r="E231" s="190">
        <f>559+236</f>
        <v>795</v>
      </c>
      <c r="F231" s="1373">
        <v>54.35</v>
      </c>
      <c r="G231" s="1374"/>
      <c r="H231" s="191"/>
      <c r="I231" s="1459"/>
      <c r="J231" s="1459"/>
      <c r="K231" s="14"/>
    </row>
    <row r="232" spans="1:11" ht="15" hidden="1" customHeight="1" x14ac:dyDescent="0.25">
      <c r="A232" s="187" t="s">
        <v>86</v>
      </c>
      <c r="B232" s="1357" t="s">
        <v>154</v>
      </c>
      <c r="C232" s="1358"/>
      <c r="D232" s="1359"/>
      <c r="E232" s="90">
        <f>E233+E234</f>
        <v>2426</v>
      </c>
      <c r="F232" s="1460"/>
      <c r="G232" s="1461"/>
      <c r="H232" s="91">
        <f>F234/F233-100%</f>
        <v>3.461841070023608E-2</v>
      </c>
      <c r="I232" s="1462"/>
      <c r="J232" s="1462"/>
      <c r="K232" s="166">
        <f>I232+I229</f>
        <v>0</v>
      </c>
    </row>
    <row r="233" spans="1:11" ht="15" hidden="1" customHeight="1" x14ac:dyDescent="0.35">
      <c r="A233" s="191"/>
      <c r="B233" s="1445" t="s">
        <v>100</v>
      </c>
      <c r="C233" s="1445"/>
      <c r="D233" s="1445"/>
      <c r="E233" s="190">
        <v>1249</v>
      </c>
      <c r="F233" s="1373">
        <v>63.55</v>
      </c>
      <c r="G233" s="1374"/>
      <c r="H233" s="191"/>
      <c r="I233" s="1459"/>
      <c r="J233" s="1459"/>
      <c r="K233" s="137"/>
    </row>
    <row r="234" spans="1:11" ht="15" hidden="1" customHeight="1" x14ac:dyDescent="0.25">
      <c r="A234" s="191"/>
      <c r="B234" s="1445" t="s">
        <v>101</v>
      </c>
      <c r="C234" s="1445"/>
      <c r="D234" s="1445"/>
      <c r="E234" s="190">
        <f>860+317</f>
        <v>1177</v>
      </c>
      <c r="F234" s="1373">
        <v>65.75</v>
      </c>
      <c r="G234" s="1374"/>
      <c r="H234" s="191"/>
      <c r="I234" s="1459"/>
      <c r="J234" s="1459"/>
      <c r="K234" s="15"/>
    </row>
    <row r="235" spans="1:11" ht="15" hidden="1" customHeight="1" x14ac:dyDescent="0.25">
      <c r="A235" s="187" t="s">
        <v>87</v>
      </c>
      <c r="B235" s="1357" t="s">
        <v>155</v>
      </c>
      <c r="C235" s="1358"/>
      <c r="D235" s="1359"/>
      <c r="E235" s="230">
        <f>E236+E237</f>
        <v>149022</v>
      </c>
      <c r="F235" s="1460"/>
      <c r="G235" s="1461"/>
      <c r="H235" s="91">
        <f>F237/F236-100%</f>
        <v>3.7676609105180559E-2</v>
      </c>
      <c r="I235" s="1462"/>
      <c r="J235" s="1462"/>
      <c r="K235" s="14"/>
    </row>
    <row r="236" spans="1:11" ht="15" hidden="1" customHeight="1" x14ac:dyDescent="0.25">
      <c r="A236" s="191"/>
      <c r="B236" s="1445" t="s">
        <v>100</v>
      </c>
      <c r="C236" s="1445"/>
      <c r="D236" s="1445"/>
      <c r="E236" s="196">
        <v>75960</v>
      </c>
      <c r="F236" s="1373">
        <v>6.37</v>
      </c>
      <c r="G236" s="1374"/>
      <c r="H236" s="191"/>
      <c r="I236" s="1459"/>
      <c r="J236" s="1459"/>
      <c r="K236" s="14"/>
    </row>
    <row r="237" spans="1:11" ht="15" hidden="1" customHeight="1" x14ac:dyDescent="0.25">
      <c r="A237" s="191"/>
      <c r="B237" s="1445" t="s">
        <v>101</v>
      </c>
      <c r="C237" s="1445"/>
      <c r="D237" s="1445"/>
      <c r="E237" s="196">
        <f>53108+19954</f>
        <v>73062</v>
      </c>
      <c r="F237" s="1373">
        <v>6.61</v>
      </c>
      <c r="G237" s="1374"/>
      <c r="H237" s="191"/>
      <c r="I237" s="1459"/>
      <c r="J237" s="1459"/>
    </row>
    <row r="238" spans="1:11" ht="15" hidden="1" customHeight="1" x14ac:dyDescent="0.25">
      <c r="A238" s="187" t="s">
        <v>97</v>
      </c>
      <c r="B238" s="1357" t="s">
        <v>371</v>
      </c>
      <c r="C238" s="1358"/>
      <c r="D238" s="1359"/>
      <c r="E238" s="230">
        <f>E239+E240</f>
        <v>147.19999999999999</v>
      </c>
      <c r="F238" s="1460"/>
      <c r="G238" s="1461"/>
      <c r="H238" s="91">
        <v>0</v>
      </c>
      <c r="I238" s="1462"/>
      <c r="J238" s="1462"/>
      <c r="K238" s="126"/>
    </row>
    <row r="239" spans="1:11" ht="15" hidden="1" customHeight="1" x14ac:dyDescent="0.25">
      <c r="A239" s="191"/>
      <c r="B239" s="1445" t="s">
        <v>100</v>
      </c>
      <c r="C239" s="1445"/>
      <c r="D239" s="1445"/>
      <c r="E239" s="196">
        <v>73.599999999999994</v>
      </c>
      <c r="F239" s="1373">
        <v>747.07</v>
      </c>
      <c r="G239" s="1374"/>
      <c r="H239" s="191"/>
      <c r="I239" s="1459"/>
      <c r="J239" s="1459"/>
    </row>
    <row r="240" spans="1:11" ht="15" hidden="1" customHeight="1" x14ac:dyDescent="0.25">
      <c r="A240" s="191"/>
      <c r="B240" s="1445" t="s">
        <v>101</v>
      </c>
      <c r="C240" s="1445"/>
      <c r="D240" s="1445"/>
      <c r="E240" s="196">
        <v>73.599999999999994</v>
      </c>
      <c r="F240" s="1373">
        <v>747.07</v>
      </c>
      <c r="G240" s="1374"/>
      <c r="H240" s="191"/>
      <c r="I240" s="1459"/>
      <c r="J240" s="1459"/>
    </row>
    <row r="241" spans="1:11" ht="15" hidden="1" customHeight="1" x14ac:dyDescent="0.25">
      <c r="A241" s="191"/>
      <c r="B241" s="1338" t="s">
        <v>13</v>
      </c>
      <c r="C241" s="1338"/>
      <c r="D241" s="1338"/>
      <c r="E241" s="189" t="s">
        <v>14</v>
      </c>
      <c r="F241" s="1341" t="s">
        <v>14</v>
      </c>
      <c r="G241" s="1341"/>
      <c r="H241" s="189" t="s">
        <v>14</v>
      </c>
      <c r="I241" s="1347">
        <f>I223+I226+I229+I232+I235+I238</f>
        <v>0</v>
      </c>
      <c r="J241" s="1347"/>
    </row>
    <row r="242" spans="1:11" s="41" customFormat="1" ht="19.5" hidden="1" customHeight="1" x14ac:dyDescent="0.25">
      <c r="A242" s="1446" t="s">
        <v>279</v>
      </c>
      <c r="B242" s="1446"/>
      <c r="C242" s="1446"/>
      <c r="D242" s="1446"/>
      <c r="E242" s="1446"/>
      <c r="F242" s="1446"/>
      <c r="G242" s="1446"/>
      <c r="H242" s="1446"/>
      <c r="I242" s="1446"/>
      <c r="J242" s="1446"/>
    </row>
    <row r="243" spans="1:11" s="41" customFormat="1" ht="15" hidden="1" customHeight="1" x14ac:dyDescent="0.2">
      <c r="A243" s="188" t="s">
        <v>1</v>
      </c>
      <c r="B243" s="1346" t="s">
        <v>44</v>
      </c>
      <c r="C243" s="1346"/>
      <c r="D243" s="1346"/>
      <c r="E243" s="1346" t="s">
        <v>58</v>
      </c>
      <c r="F243" s="1346"/>
      <c r="G243" s="1346" t="s">
        <v>59</v>
      </c>
      <c r="H243" s="1346"/>
      <c r="I243" s="1346" t="s">
        <v>60</v>
      </c>
      <c r="J243" s="1346"/>
    </row>
    <row r="244" spans="1:11" ht="15" hidden="1" customHeight="1" x14ac:dyDescent="0.25">
      <c r="A244" s="188">
        <v>1</v>
      </c>
      <c r="B244" s="1346">
        <v>2</v>
      </c>
      <c r="C244" s="1346"/>
      <c r="D244" s="1346"/>
      <c r="E244" s="1346">
        <v>3</v>
      </c>
      <c r="F244" s="1346"/>
      <c r="G244" s="1346">
        <v>4</v>
      </c>
      <c r="H244" s="1346"/>
      <c r="I244" s="1346">
        <v>5</v>
      </c>
      <c r="J244" s="1346"/>
      <c r="K244" s="15"/>
    </row>
    <row r="245" spans="1:11" ht="15" hidden="1" customHeight="1" x14ac:dyDescent="0.25">
      <c r="A245" s="191"/>
      <c r="B245" s="1387"/>
      <c r="C245" s="1444"/>
      <c r="D245" s="1388"/>
      <c r="E245" s="1445"/>
      <c r="F245" s="1445"/>
      <c r="G245" s="1445"/>
      <c r="H245" s="1445"/>
      <c r="I245" s="1445"/>
      <c r="J245" s="1445"/>
      <c r="K245" s="14"/>
    </row>
    <row r="246" spans="1:11" ht="15" hidden="1" customHeight="1" x14ac:dyDescent="0.25">
      <c r="A246" s="189"/>
      <c r="B246" s="1338" t="s">
        <v>13</v>
      </c>
      <c r="C246" s="1338"/>
      <c r="D246" s="1338"/>
      <c r="E246" s="1341" t="s">
        <v>14</v>
      </c>
      <c r="F246" s="1341"/>
      <c r="G246" s="1341" t="s">
        <v>14</v>
      </c>
      <c r="H246" s="1341"/>
      <c r="I246" s="1341"/>
      <c r="J246" s="1341"/>
    </row>
    <row r="247" spans="1:11" ht="16.5" customHeight="1" x14ac:dyDescent="0.25">
      <c r="A247" s="1446" t="s">
        <v>275</v>
      </c>
      <c r="B247" s="1446"/>
      <c r="C247" s="1446"/>
      <c r="D247" s="1446"/>
      <c r="E247" s="1446"/>
      <c r="F247" s="1446"/>
      <c r="G247" s="1446"/>
      <c r="H247" s="1446"/>
      <c r="I247" s="1446"/>
      <c r="J247" s="1446"/>
    </row>
    <row r="248" spans="1:11" ht="15" customHeight="1" x14ac:dyDescent="0.25">
      <c r="A248" s="1414" t="s">
        <v>1</v>
      </c>
      <c r="B248" s="1416" t="s">
        <v>15</v>
      </c>
      <c r="C248" s="1417"/>
      <c r="D248" s="1418"/>
      <c r="E248" s="1414" t="s">
        <v>61</v>
      </c>
      <c r="F248" s="1414" t="s">
        <v>62</v>
      </c>
      <c r="G248" s="1346" t="s">
        <v>63</v>
      </c>
      <c r="H248" s="1346"/>
      <c r="I248" s="1346"/>
      <c r="J248" s="1346"/>
    </row>
    <row r="249" spans="1:11" ht="24" customHeight="1" x14ac:dyDescent="0.25">
      <c r="A249" s="1415"/>
      <c r="B249" s="1419"/>
      <c r="C249" s="1420"/>
      <c r="D249" s="1421"/>
      <c r="E249" s="1415"/>
      <c r="F249" s="1415"/>
      <c r="G249" s="188" t="s">
        <v>298</v>
      </c>
      <c r="H249" s="188" t="s">
        <v>295</v>
      </c>
      <c r="I249" s="184" t="s">
        <v>296</v>
      </c>
      <c r="J249" s="188" t="s">
        <v>297</v>
      </c>
    </row>
    <row r="250" spans="1:11" ht="11.25" customHeight="1" x14ac:dyDescent="0.25">
      <c r="A250" s="188">
        <v>1</v>
      </c>
      <c r="B250" s="1346">
        <v>2</v>
      </c>
      <c r="C250" s="1346"/>
      <c r="D250" s="1346"/>
      <c r="E250" s="188">
        <v>3</v>
      </c>
      <c r="F250" s="188">
        <v>4</v>
      </c>
      <c r="G250" s="1344">
        <v>5</v>
      </c>
      <c r="H250" s="1392"/>
      <c r="I250" s="1392"/>
      <c r="J250" s="1345"/>
    </row>
    <row r="251" spans="1:11" ht="37.5" customHeight="1" x14ac:dyDescent="0.25">
      <c r="A251" s="1319" t="s">
        <v>745</v>
      </c>
      <c r="B251" s="1320"/>
      <c r="C251" s="1320"/>
      <c r="D251" s="1320"/>
      <c r="E251" s="1320"/>
      <c r="F251" s="1320"/>
      <c r="G251" s="1320"/>
      <c r="H251" s="1320"/>
      <c r="I251" s="1320"/>
      <c r="J251" s="1321"/>
    </row>
    <row r="252" spans="1:11" ht="2.25" hidden="1" customHeight="1" x14ac:dyDescent="0.25">
      <c r="A252" s="191" t="s">
        <v>75</v>
      </c>
      <c r="B252" s="1040"/>
      <c r="C252" s="1040"/>
      <c r="D252" s="1040"/>
      <c r="E252" s="439"/>
      <c r="F252" s="439"/>
      <c r="G252" s="439"/>
      <c r="H252" s="439"/>
      <c r="I252" s="163"/>
      <c r="J252" s="440"/>
    </row>
    <row r="253" spans="1:11" ht="30" customHeight="1" x14ac:dyDescent="0.25">
      <c r="A253" s="191">
        <v>1</v>
      </c>
      <c r="B253" s="1040" t="s">
        <v>1177</v>
      </c>
      <c r="C253" s="1040"/>
      <c r="D253" s="1040"/>
      <c r="E253" s="191"/>
      <c r="F253" s="191">
        <v>1</v>
      </c>
      <c r="G253" s="191" t="s">
        <v>299</v>
      </c>
      <c r="H253" s="191">
        <v>1</v>
      </c>
      <c r="I253" s="163">
        <f>68000-68000</f>
        <v>0</v>
      </c>
      <c r="J253" s="156">
        <f>H253*I253</f>
        <v>0</v>
      </c>
      <c r="K253" s="165">
        <v>2023</v>
      </c>
    </row>
    <row r="254" spans="1:11" ht="30" hidden="1" customHeight="1" x14ac:dyDescent="0.25">
      <c r="A254" s="250">
        <v>2</v>
      </c>
      <c r="B254" s="1017"/>
      <c r="C254" s="1018"/>
      <c r="D254" s="1019"/>
      <c r="E254" s="253"/>
      <c r="F254" s="253">
        <v>1</v>
      </c>
      <c r="G254" s="253" t="s">
        <v>299</v>
      </c>
      <c r="H254" s="253">
        <v>1</v>
      </c>
      <c r="I254" s="163">
        <v>0</v>
      </c>
      <c r="J254" s="255">
        <f>I254</f>
        <v>0</v>
      </c>
      <c r="K254" s="251"/>
    </row>
    <row r="255" spans="1:11" ht="30" hidden="1" customHeight="1" x14ac:dyDescent="0.25">
      <c r="A255" s="256"/>
      <c r="B255" s="1026"/>
      <c r="C255" s="1052"/>
      <c r="D255" s="1027"/>
      <c r="E255" s="256"/>
      <c r="F255" s="256">
        <v>1</v>
      </c>
      <c r="G255" s="256" t="s">
        <v>299</v>
      </c>
      <c r="H255" s="256">
        <v>1</v>
      </c>
      <c r="I255" s="163">
        <v>0</v>
      </c>
      <c r="J255" s="260">
        <f>I255</f>
        <v>0</v>
      </c>
      <c r="K255" s="251"/>
    </row>
    <row r="256" spans="1:11" ht="66" hidden="1" customHeight="1" x14ac:dyDescent="0.25">
      <c r="A256" s="1456" t="s">
        <v>560</v>
      </c>
      <c r="B256" s="1457"/>
      <c r="C256" s="1457"/>
      <c r="D256" s="1457"/>
      <c r="E256" s="1457"/>
      <c r="F256" s="1457"/>
      <c r="G256" s="1457"/>
      <c r="H256" s="1457"/>
      <c r="I256" s="1457"/>
      <c r="J256" s="1458"/>
    </row>
    <row r="257" spans="1:12" ht="41.25" hidden="1" customHeight="1" x14ac:dyDescent="0.25">
      <c r="A257" s="191">
        <v>2</v>
      </c>
      <c r="B257" s="1040" t="s">
        <v>552</v>
      </c>
      <c r="C257" s="1040"/>
      <c r="D257" s="1040"/>
      <c r="E257" s="191"/>
      <c r="F257" s="191">
        <v>1</v>
      </c>
      <c r="G257" s="191" t="s">
        <v>299</v>
      </c>
      <c r="H257" s="191">
        <v>1</v>
      </c>
      <c r="I257" s="163"/>
      <c r="J257" s="156">
        <f>I257</f>
        <v>0</v>
      </c>
    </row>
    <row r="258" spans="1:12" ht="42" hidden="1" customHeight="1" x14ac:dyDescent="0.25">
      <c r="A258" s="191"/>
      <c r="B258" s="1040"/>
      <c r="C258" s="1040"/>
      <c r="D258" s="1040"/>
      <c r="E258" s="191"/>
      <c r="F258" s="191"/>
      <c r="G258" s="191"/>
      <c r="H258" s="191"/>
      <c r="I258" s="163"/>
      <c r="J258" s="156"/>
      <c r="K258" s="157"/>
      <c r="L258" s="133"/>
    </row>
    <row r="259" spans="1:12" ht="45.75" hidden="1" customHeight="1" x14ac:dyDescent="0.25">
      <c r="A259" s="191"/>
      <c r="B259" s="1040"/>
      <c r="C259" s="1040"/>
      <c r="D259" s="1040"/>
      <c r="E259" s="191"/>
      <c r="F259" s="191"/>
      <c r="G259" s="191"/>
      <c r="H259" s="191"/>
      <c r="I259" s="163"/>
      <c r="J259" s="156"/>
      <c r="K259" s="157"/>
      <c r="L259" s="133"/>
    </row>
    <row r="260" spans="1:12" ht="24" hidden="1" customHeight="1" x14ac:dyDescent="0.25">
      <c r="A260" s="191"/>
      <c r="B260" s="1040"/>
      <c r="C260" s="1040"/>
      <c r="D260" s="1040"/>
      <c r="E260" s="191"/>
      <c r="F260" s="191"/>
      <c r="G260" s="191"/>
      <c r="H260" s="191"/>
      <c r="I260" s="163"/>
      <c r="J260" s="156"/>
    </row>
    <row r="261" spans="1:12" ht="30" hidden="1" customHeight="1" x14ac:dyDescent="0.25">
      <c r="A261" s="191"/>
      <c r="B261" s="1450"/>
      <c r="C261" s="1450"/>
      <c r="D261" s="1450"/>
      <c r="E261" s="191"/>
      <c r="F261" s="191"/>
      <c r="G261" s="191"/>
      <c r="H261" s="191"/>
      <c r="I261" s="162"/>
      <c r="J261" s="155"/>
      <c r="K261" s="11"/>
      <c r="L261" s="11"/>
    </row>
    <row r="262" spans="1:12" ht="29.25" hidden="1" customHeight="1" x14ac:dyDescent="0.25">
      <c r="A262" s="191"/>
      <c r="B262" s="1040"/>
      <c r="C262" s="1040"/>
      <c r="D262" s="1040"/>
      <c r="E262" s="191"/>
      <c r="F262" s="191"/>
      <c r="G262" s="191"/>
      <c r="H262" s="191"/>
      <c r="I262" s="163"/>
      <c r="J262" s="156"/>
      <c r="K262" s="11"/>
      <c r="L262" s="11"/>
    </row>
    <row r="263" spans="1:12" ht="23.25" hidden="1" customHeight="1" x14ac:dyDescent="0.25">
      <c r="A263" s="191"/>
      <c r="B263" s="1040"/>
      <c r="C263" s="1040"/>
      <c r="D263" s="1040"/>
      <c r="E263" s="191"/>
      <c r="F263" s="191"/>
      <c r="G263" s="191"/>
      <c r="H263" s="191"/>
      <c r="I263" s="163"/>
      <c r="J263" s="156"/>
      <c r="K263" s="11"/>
      <c r="L263" s="11"/>
    </row>
    <row r="264" spans="1:12" ht="46.5" hidden="1" customHeight="1" x14ac:dyDescent="0.25">
      <c r="A264" s="191"/>
      <c r="B264" s="1040"/>
      <c r="C264" s="1040"/>
      <c r="D264" s="1040"/>
      <c r="E264" s="191"/>
      <c r="F264" s="191"/>
      <c r="G264" s="191"/>
      <c r="H264" s="191"/>
      <c r="I264" s="163"/>
      <c r="J264" s="156"/>
    </row>
    <row r="265" spans="1:12" ht="25.5" hidden="1" customHeight="1" x14ac:dyDescent="0.25">
      <c r="A265" s="191"/>
      <c r="B265" s="1017"/>
      <c r="C265" s="1451"/>
      <c r="D265" s="1452"/>
      <c r="E265" s="191"/>
      <c r="F265" s="191"/>
      <c r="G265" s="191"/>
      <c r="H265" s="191"/>
      <c r="I265" s="163"/>
      <c r="J265" s="156"/>
    </row>
    <row r="266" spans="1:12" ht="38.25" hidden="1" customHeight="1" x14ac:dyDescent="0.25">
      <c r="A266" s="191"/>
      <c r="B266" s="1040"/>
      <c r="C266" s="1040"/>
      <c r="D266" s="1040"/>
      <c r="E266" s="191"/>
      <c r="F266" s="191"/>
      <c r="G266" s="191"/>
      <c r="H266" s="191"/>
      <c r="I266" s="163"/>
      <c r="J266" s="156"/>
    </row>
    <row r="267" spans="1:12" ht="38.25" hidden="1" customHeight="1" x14ac:dyDescent="0.25">
      <c r="A267" s="191"/>
      <c r="B267" s="1017"/>
      <c r="C267" s="1018"/>
      <c r="D267" s="1019"/>
      <c r="E267" s="191"/>
      <c r="F267" s="191"/>
      <c r="G267" s="191"/>
      <c r="H267" s="191"/>
      <c r="I267" s="163"/>
      <c r="J267" s="156"/>
    </row>
    <row r="268" spans="1:12" ht="38.25" hidden="1" customHeight="1" x14ac:dyDescent="0.25">
      <c r="A268" s="191"/>
      <c r="B268" s="1017"/>
      <c r="C268" s="1018"/>
      <c r="D268" s="1019"/>
      <c r="E268" s="191"/>
      <c r="F268" s="191"/>
      <c r="G268" s="191"/>
      <c r="H268" s="191"/>
      <c r="I268" s="163"/>
      <c r="J268" s="156"/>
    </row>
    <row r="269" spans="1:12" ht="38.25" hidden="1" customHeight="1" x14ac:dyDescent="0.25">
      <c r="A269" s="191"/>
      <c r="B269" s="1026"/>
      <c r="C269" s="1052"/>
      <c r="D269" s="1027"/>
      <c r="E269" s="191"/>
      <c r="F269" s="191"/>
      <c r="G269" s="191"/>
      <c r="H269" s="191"/>
      <c r="I269" s="163"/>
      <c r="J269" s="156"/>
    </row>
    <row r="270" spans="1:12" ht="38.25" hidden="1" customHeight="1" x14ac:dyDescent="0.25">
      <c r="A270" s="191"/>
      <c r="B270" s="1026"/>
      <c r="C270" s="1052"/>
      <c r="D270" s="1027"/>
      <c r="E270" s="191"/>
      <c r="F270" s="191"/>
      <c r="G270" s="191"/>
      <c r="H270" s="191"/>
      <c r="I270" s="163"/>
      <c r="J270" s="156"/>
    </row>
    <row r="271" spans="1:12" x14ac:dyDescent="0.25">
      <c r="A271" s="189"/>
      <c r="B271" s="1338" t="s">
        <v>13</v>
      </c>
      <c r="C271" s="1338"/>
      <c r="D271" s="1338"/>
      <c r="E271" s="189" t="s">
        <v>14</v>
      </c>
      <c r="F271" s="189" t="s">
        <v>14</v>
      </c>
      <c r="G271" s="1396">
        <f>J257+J254+J253+J255</f>
        <v>0</v>
      </c>
      <c r="H271" s="1397"/>
      <c r="I271" s="1397"/>
      <c r="J271" s="1397"/>
    </row>
    <row r="272" spans="1:12" ht="17.25" customHeight="1" x14ac:dyDescent="0.25">
      <c r="A272" s="1446" t="s">
        <v>280</v>
      </c>
      <c r="B272" s="1446"/>
      <c r="C272" s="1446"/>
      <c r="D272" s="1446"/>
      <c r="E272" s="1446"/>
      <c r="F272" s="1446"/>
      <c r="G272" s="1446"/>
      <c r="H272" s="1446"/>
      <c r="I272" s="1446"/>
      <c r="J272" s="1446"/>
    </row>
    <row r="273" spans="1:11" ht="17.25" customHeight="1" x14ac:dyDescent="0.25">
      <c r="A273" s="1414" t="s">
        <v>1</v>
      </c>
      <c r="B273" s="1416" t="s">
        <v>15</v>
      </c>
      <c r="C273" s="1417"/>
      <c r="D273" s="1418"/>
      <c r="E273" s="1416" t="s">
        <v>64</v>
      </c>
      <c r="F273" s="1418"/>
      <c r="G273" s="1346" t="s">
        <v>65</v>
      </c>
      <c r="H273" s="1346"/>
      <c r="I273" s="1346"/>
      <c r="J273" s="1346"/>
    </row>
    <row r="274" spans="1:11" ht="27.75" customHeight="1" x14ac:dyDescent="0.25">
      <c r="A274" s="1415"/>
      <c r="B274" s="1419"/>
      <c r="C274" s="1420"/>
      <c r="D274" s="1421"/>
      <c r="E274" s="1419"/>
      <c r="F274" s="1421"/>
      <c r="G274" s="188" t="s">
        <v>298</v>
      </c>
      <c r="H274" s="188" t="s">
        <v>295</v>
      </c>
      <c r="I274" s="188" t="s">
        <v>296</v>
      </c>
      <c r="J274" s="188" t="s">
        <v>297</v>
      </c>
    </row>
    <row r="275" spans="1:11" ht="14.25" customHeight="1" x14ac:dyDescent="0.25">
      <c r="A275" s="188">
        <v>1</v>
      </c>
      <c r="B275" s="1346">
        <v>2</v>
      </c>
      <c r="C275" s="1346"/>
      <c r="D275" s="1346"/>
      <c r="E275" s="1344">
        <v>3</v>
      </c>
      <c r="F275" s="1345"/>
      <c r="G275" s="1346">
        <v>4</v>
      </c>
      <c r="H275" s="1346"/>
      <c r="I275" s="1346"/>
      <c r="J275" s="1346"/>
    </row>
    <row r="276" spans="1:11" ht="51.75" hidden="1" customHeight="1" x14ac:dyDescent="0.25">
      <c r="A276" s="1453" t="s">
        <v>509</v>
      </c>
      <c r="B276" s="1454"/>
      <c r="C276" s="1454"/>
      <c r="D276" s="1454"/>
      <c r="E276" s="1454"/>
      <c r="F276" s="1454"/>
      <c r="G276" s="1454"/>
      <c r="H276" s="1454"/>
      <c r="I276" s="1454"/>
      <c r="J276" s="1455"/>
    </row>
    <row r="277" spans="1:11" ht="24" hidden="1" customHeight="1" x14ac:dyDescent="0.25">
      <c r="A277" s="191">
        <v>1</v>
      </c>
      <c r="B277" s="1322" t="s">
        <v>514</v>
      </c>
      <c r="C277" s="1322"/>
      <c r="D277" s="1322"/>
      <c r="E277" s="1387">
        <v>1</v>
      </c>
      <c r="F277" s="1388"/>
      <c r="G277" s="191"/>
      <c r="H277" s="191">
        <v>1</v>
      </c>
      <c r="I277" s="161">
        <v>0</v>
      </c>
      <c r="J277" s="156">
        <f t="shared" ref="J277" si="14">H277*I277</f>
        <v>0</v>
      </c>
    </row>
    <row r="278" spans="1:11" ht="33.75" customHeight="1" x14ac:dyDescent="0.25">
      <c r="A278" s="1333" t="s">
        <v>746</v>
      </c>
      <c r="B278" s="1334"/>
      <c r="C278" s="1334"/>
      <c r="D278" s="1334"/>
      <c r="E278" s="1334"/>
      <c r="F278" s="1334"/>
      <c r="G278" s="1334"/>
      <c r="H278" s="1334"/>
      <c r="I278" s="1334"/>
      <c r="J278" s="1335"/>
    </row>
    <row r="279" spans="1:11" ht="22.5" customHeight="1" x14ac:dyDescent="0.25">
      <c r="A279" s="191">
        <v>1</v>
      </c>
      <c r="B279" s="1447" t="s">
        <v>516</v>
      </c>
      <c r="C279" s="1448"/>
      <c r="D279" s="1449"/>
      <c r="E279" s="1387">
        <v>1</v>
      </c>
      <c r="F279" s="1388"/>
      <c r="G279" s="191"/>
      <c r="H279" s="191">
        <v>1</v>
      </c>
      <c r="I279" s="161">
        <v>0</v>
      </c>
      <c r="J279" s="101">
        <v>20000</v>
      </c>
    </row>
    <row r="280" spans="1:11" ht="30" customHeight="1" x14ac:dyDescent="0.25">
      <c r="A280" s="191">
        <v>2</v>
      </c>
      <c r="B280" s="1367" t="s">
        <v>517</v>
      </c>
      <c r="C280" s="1367"/>
      <c r="D280" s="1367"/>
      <c r="E280" s="1387">
        <v>1</v>
      </c>
      <c r="F280" s="1388"/>
      <c r="G280" s="191"/>
      <c r="H280" s="191">
        <v>1</v>
      </c>
      <c r="I280" s="161">
        <v>0</v>
      </c>
      <c r="J280" s="101">
        <v>64840</v>
      </c>
    </row>
    <row r="281" spans="1:11" ht="30" customHeight="1" x14ac:dyDescent="0.25">
      <c r="A281" s="191">
        <v>3</v>
      </c>
      <c r="B281" s="1367" t="s">
        <v>720</v>
      </c>
      <c r="C281" s="1367"/>
      <c r="D281" s="1367"/>
      <c r="E281" s="1026">
        <v>1</v>
      </c>
      <c r="F281" s="1027"/>
      <c r="G281" s="160"/>
      <c r="H281" s="160">
        <v>1</v>
      </c>
      <c r="I281" s="161">
        <v>0</v>
      </c>
      <c r="J281" s="101">
        <v>5290</v>
      </c>
      <c r="K281" s="164"/>
    </row>
    <row r="282" spans="1:11" ht="24.75" customHeight="1" x14ac:dyDescent="0.25">
      <c r="A282" s="191">
        <v>4</v>
      </c>
      <c r="B282" s="1447" t="s">
        <v>1178</v>
      </c>
      <c r="C282" s="1448"/>
      <c r="D282" s="1449"/>
      <c r="E282" s="1387">
        <v>1</v>
      </c>
      <c r="F282" s="1388"/>
      <c r="G282" s="191"/>
      <c r="H282" s="191">
        <v>1</v>
      </c>
      <c r="I282" s="161">
        <f>6000-6000</f>
        <v>0</v>
      </c>
      <c r="J282" s="101">
        <v>100000</v>
      </c>
    </row>
    <row r="283" spans="1:11" ht="48" hidden="1" customHeight="1" x14ac:dyDescent="0.25">
      <c r="A283" s="191"/>
      <c r="B283" s="1386"/>
      <c r="C283" s="1386"/>
      <c r="D283" s="1386"/>
      <c r="E283" s="1387"/>
      <c r="F283" s="1388"/>
      <c r="G283" s="191"/>
      <c r="H283" s="191"/>
      <c r="I283" s="161"/>
      <c r="J283" s="101"/>
    </row>
    <row r="284" spans="1:11" ht="30" hidden="1" customHeight="1" x14ac:dyDescent="0.25">
      <c r="A284" s="191"/>
      <c r="B284" s="1386"/>
      <c r="C284" s="1386"/>
      <c r="D284" s="1386"/>
      <c r="E284" s="1387"/>
      <c r="F284" s="1388"/>
      <c r="G284" s="191"/>
      <c r="H284" s="190"/>
      <c r="I284" s="161"/>
      <c r="J284" s="101"/>
    </row>
    <row r="285" spans="1:11" ht="30" hidden="1" customHeight="1" x14ac:dyDescent="0.25">
      <c r="A285" s="191"/>
      <c r="B285" s="1040"/>
      <c r="C285" s="1040"/>
      <c r="D285" s="1040"/>
      <c r="E285" s="1387"/>
      <c r="F285" s="1388"/>
      <c r="G285" s="191"/>
      <c r="H285" s="191"/>
      <c r="I285" s="161"/>
      <c r="J285" s="101"/>
    </row>
    <row r="286" spans="1:11" ht="30" customHeight="1" x14ac:dyDescent="0.25">
      <c r="A286" s="1333" t="s">
        <v>747</v>
      </c>
      <c r="B286" s="1334"/>
      <c r="C286" s="1334"/>
      <c r="D286" s="1334"/>
      <c r="E286" s="1334"/>
      <c r="F286" s="1334"/>
      <c r="G286" s="1334"/>
      <c r="H286" s="1334"/>
      <c r="I286" s="1334"/>
      <c r="J286" s="1335"/>
    </row>
    <row r="287" spans="1:11" ht="30" customHeight="1" x14ac:dyDescent="0.25">
      <c r="A287" s="191">
        <v>5</v>
      </c>
      <c r="B287" s="1386" t="s">
        <v>721</v>
      </c>
      <c r="C287" s="1386"/>
      <c r="D287" s="1386"/>
      <c r="E287" s="1387">
        <v>1</v>
      </c>
      <c r="F287" s="1388"/>
      <c r="G287" s="191"/>
      <c r="H287" s="191">
        <v>1</v>
      </c>
      <c r="I287" s="92">
        <v>0</v>
      </c>
      <c r="J287" s="101">
        <v>20000</v>
      </c>
    </row>
    <row r="288" spans="1:11" ht="30" hidden="1" customHeight="1" x14ac:dyDescent="0.25">
      <c r="A288" s="191">
        <v>5</v>
      </c>
      <c r="B288" s="1386"/>
      <c r="C288" s="1386"/>
      <c r="D288" s="1386"/>
      <c r="E288" s="1387"/>
      <c r="F288" s="1388"/>
      <c r="G288" s="191"/>
      <c r="H288" s="191"/>
      <c r="I288" s="92"/>
      <c r="J288" s="101"/>
    </row>
    <row r="289" spans="1:11" ht="30" hidden="1" customHeight="1" x14ac:dyDescent="0.25">
      <c r="A289" s="187" t="s">
        <v>86</v>
      </c>
      <c r="B289" s="1357" t="s">
        <v>349</v>
      </c>
      <c r="C289" s="1358"/>
      <c r="D289" s="1359"/>
      <c r="E289" s="1349" t="s">
        <v>74</v>
      </c>
      <c r="F289" s="1350"/>
      <c r="G289" s="146" t="s">
        <v>74</v>
      </c>
      <c r="H289" s="146" t="s">
        <v>74</v>
      </c>
      <c r="I289" s="147" t="s">
        <v>74</v>
      </c>
      <c r="J289" s="145">
        <f>J290+J291</f>
        <v>0</v>
      </c>
      <c r="K289" s="1" t="s">
        <v>478</v>
      </c>
    </row>
    <row r="290" spans="1:11" ht="30" hidden="1" customHeight="1" x14ac:dyDescent="0.25">
      <c r="A290" s="160" t="s">
        <v>473</v>
      </c>
      <c r="B290" s="1017"/>
      <c r="C290" s="1018"/>
      <c r="D290" s="1019"/>
      <c r="E290" s="1034"/>
      <c r="F290" s="1035"/>
      <c r="G290" s="222"/>
      <c r="H290" s="222"/>
      <c r="I290" s="223"/>
      <c r="J290" s="156"/>
    </row>
    <row r="291" spans="1:11" ht="30" hidden="1" customHeight="1" x14ac:dyDescent="0.25">
      <c r="A291" s="160" t="s">
        <v>474</v>
      </c>
      <c r="B291" s="1017"/>
      <c r="C291" s="1018"/>
      <c r="D291" s="1019"/>
      <c r="E291" s="225"/>
      <c r="F291" s="224"/>
      <c r="G291" s="222"/>
      <c r="H291" s="222"/>
      <c r="I291" s="223"/>
      <c r="J291" s="156"/>
    </row>
    <row r="292" spans="1:11" ht="55.5" hidden="1" customHeight="1" x14ac:dyDescent="0.25">
      <c r="A292" s="187" t="s">
        <v>87</v>
      </c>
      <c r="B292" s="1357" t="s">
        <v>475</v>
      </c>
      <c r="C292" s="1358"/>
      <c r="D292" s="1359"/>
      <c r="E292" s="1349" t="s">
        <v>74</v>
      </c>
      <c r="F292" s="1350"/>
      <c r="G292" s="146" t="s">
        <v>74</v>
      </c>
      <c r="H292" s="146" t="s">
        <v>74</v>
      </c>
      <c r="I292" s="147" t="s">
        <v>74</v>
      </c>
      <c r="J292" s="227">
        <f>J293</f>
        <v>0</v>
      </c>
    </row>
    <row r="293" spans="1:11" ht="30" hidden="1" customHeight="1" x14ac:dyDescent="0.25">
      <c r="A293" s="160" t="s">
        <v>476</v>
      </c>
      <c r="B293" s="1017"/>
      <c r="C293" s="1018"/>
      <c r="D293" s="1019"/>
      <c r="E293" s="1034"/>
      <c r="F293" s="1035"/>
      <c r="G293" s="222"/>
      <c r="H293" s="222"/>
      <c r="I293" s="223"/>
      <c r="J293" s="226"/>
    </row>
    <row r="294" spans="1:11" ht="54.75" hidden="1" customHeight="1" x14ac:dyDescent="0.25">
      <c r="A294" s="187" t="s">
        <v>97</v>
      </c>
      <c r="B294" s="1357" t="s">
        <v>479</v>
      </c>
      <c r="C294" s="1358"/>
      <c r="D294" s="1359"/>
      <c r="E294" s="1349" t="s">
        <v>74</v>
      </c>
      <c r="F294" s="1350"/>
      <c r="G294" s="146" t="s">
        <v>74</v>
      </c>
      <c r="H294" s="146" t="s">
        <v>74</v>
      </c>
      <c r="I294" s="147" t="s">
        <v>74</v>
      </c>
      <c r="J294" s="227">
        <f>J295+J296+J297+J298</f>
        <v>0</v>
      </c>
    </row>
    <row r="295" spans="1:11" ht="30" hidden="1" customHeight="1" x14ac:dyDescent="0.25">
      <c r="A295" s="160" t="s">
        <v>480</v>
      </c>
      <c r="B295" s="1099"/>
      <c r="C295" s="1100"/>
      <c r="D295" s="1101"/>
      <c r="E295" s="1034"/>
      <c r="F295" s="1035"/>
      <c r="G295" s="222"/>
      <c r="H295" s="222"/>
      <c r="I295" s="223"/>
      <c r="J295" s="156"/>
    </row>
    <row r="296" spans="1:11" ht="30" hidden="1" customHeight="1" x14ac:dyDescent="0.25">
      <c r="A296" s="160" t="s">
        <v>481</v>
      </c>
      <c r="B296" s="1099"/>
      <c r="C296" s="1100"/>
      <c r="D296" s="1101"/>
      <c r="E296" s="1034"/>
      <c r="F296" s="1035"/>
      <c r="G296" s="222"/>
      <c r="H296" s="222"/>
      <c r="I296" s="223"/>
      <c r="J296" s="156"/>
    </row>
    <row r="297" spans="1:11" ht="30" hidden="1" customHeight="1" x14ac:dyDescent="0.25">
      <c r="A297" s="160" t="s">
        <v>482</v>
      </c>
      <c r="B297" s="1099"/>
      <c r="C297" s="1100"/>
      <c r="D297" s="1101"/>
      <c r="E297" s="1034"/>
      <c r="F297" s="1035"/>
      <c r="G297" s="222"/>
      <c r="H297" s="222"/>
      <c r="I297" s="223"/>
      <c r="J297" s="156"/>
    </row>
    <row r="298" spans="1:11" ht="30" hidden="1" customHeight="1" x14ac:dyDescent="0.25">
      <c r="A298" s="160" t="s">
        <v>483</v>
      </c>
      <c r="B298" s="1367"/>
      <c r="C298" s="1367"/>
      <c r="D298" s="1367"/>
      <c r="E298" s="1387"/>
      <c r="F298" s="1388"/>
      <c r="G298" s="191"/>
      <c r="H298" s="191"/>
      <c r="I298" s="92"/>
      <c r="J298" s="101"/>
    </row>
    <row r="299" spans="1:11" ht="30" hidden="1" customHeight="1" x14ac:dyDescent="0.25">
      <c r="A299" s="1074" t="s">
        <v>375</v>
      </c>
      <c r="B299" s="1074"/>
      <c r="C299" s="1074"/>
      <c r="D299" s="1074"/>
      <c r="E299" s="1074"/>
      <c r="F299" s="1074"/>
      <c r="G299" s="1074"/>
      <c r="H299" s="1074"/>
      <c r="I299" s="1074"/>
      <c r="J299" s="1074"/>
    </row>
    <row r="300" spans="1:11" ht="30" hidden="1" customHeight="1" x14ac:dyDescent="0.25">
      <c r="A300" s="188" t="s">
        <v>1</v>
      </c>
      <c r="B300" s="1346" t="s">
        <v>44</v>
      </c>
      <c r="C300" s="1346"/>
      <c r="D300" s="1346"/>
      <c r="E300" s="1346" t="s">
        <v>58</v>
      </c>
      <c r="F300" s="1346"/>
      <c r="G300" s="1344" t="s">
        <v>66</v>
      </c>
      <c r="H300" s="1345"/>
      <c r="I300" s="1346" t="s">
        <v>60</v>
      </c>
      <c r="J300" s="1346"/>
    </row>
    <row r="301" spans="1:11" ht="18" hidden="1" customHeight="1" x14ac:dyDescent="0.25">
      <c r="A301" s="188">
        <v>1</v>
      </c>
      <c r="B301" s="1346">
        <v>2</v>
      </c>
      <c r="C301" s="1346"/>
      <c r="D301" s="1346"/>
      <c r="E301" s="1346">
        <v>3</v>
      </c>
      <c r="F301" s="1346"/>
      <c r="G301" s="1346">
        <v>4</v>
      </c>
      <c r="H301" s="1346"/>
      <c r="I301" s="1346">
        <v>5</v>
      </c>
      <c r="J301" s="1346"/>
    </row>
    <row r="302" spans="1:11" ht="36.75" hidden="1" customHeight="1" x14ac:dyDescent="0.25">
      <c r="A302" s="1333"/>
      <c r="B302" s="1334"/>
      <c r="C302" s="1334"/>
      <c r="D302" s="1334"/>
      <c r="E302" s="1334"/>
      <c r="F302" s="1334"/>
      <c r="G302" s="1334"/>
      <c r="H302" s="1334"/>
      <c r="I302" s="1334"/>
      <c r="J302" s="1335"/>
    </row>
    <row r="303" spans="1:11" ht="36.75" hidden="1" customHeight="1" x14ac:dyDescent="0.25">
      <c r="A303" s="228">
        <v>1</v>
      </c>
      <c r="B303" s="1257"/>
      <c r="C303" s="1257"/>
      <c r="D303" s="1257"/>
      <c r="E303" s="1353"/>
      <c r="F303" s="1354"/>
      <c r="G303" s="1355"/>
      <c r="H303" s="1356"/>
      <c r="I303" s="1355"/>
      <c r="J303" s="1356"/>
      <c r="K303" s="1">
        <v>57077</v>
      </c>
    </row>
    <row r="304" spans="1:11" ht="36.75" hidden="1" customHeight="1" x14ac:dyDescent="0.25">
      <c r="A304" s="228">
        <v>2</v>
      </c>
      <c r="B304" s="1257"/>
      <c r="C304" s="1257"/>
      <c r="D304" s="1257"/>
      <c r="E304" s="1353"/>
      <c r="F304" s="1354"/>
      <c r="G304" s="1355"/>
      <c r="H304" s="1356"/>
      <c r="I304" s="1355"/>
      <c r="J304" s="1356"/>
      <c r="K304" s="1">
        <v>50925</v>
      </c>
    </row>
    <row r="305" spans="1:10" s="267" customFormat="1" ht="36.75" hidden="1" customHeight="1" x14ac:dyDescent="0.25">
      <c r="A305" s="266">
        <v>3</v>
      </c>
      <c r="B305" s="1099"/>
      <c r="C305" s="1100"/>
      <c r="D305" s="1101"/>
      <c r="E305" s="1360"/>
      <c r="F305" s="1361"/>
      <c r="G305" s="1382"/>
      <c r="H305" s="1383"/>
      <c r="I305" s="1375"/>
      <c r="J305" s="1376"/>
    </row>
    <row r="306" spans="1:10" ht="30" hidden="1" customHeight="1" x14ac:dyDescent="0.25">
      <c r="A306" s="191"/>
      <c r="B306" s="1387"/>
      <c r="C306" s="1444"/>
      <c r="D306" s="1388"/>
      <c r="E306" s="1445"/>
      <c r="F306" s="1445"/>
      <c r="G306" s="1445"/>
      <c r="H306" s="1445"/>
      <c r="I306" s="1355"/>
      <c r="J306" s="1356"/>
    </row>
    <row r="307" spans="1:10" ht="30" hidden="1" customHeight="1" x14ac:dyDescent="0.25">
      <c r="A307" s="189"/>
      <c r="B307" s="1338" t="s">
        <v>13</v>
      </c>
      <c r="C307" s="1338"/>
      <c r="D307" s="1338"/>
      <c r="E307" s="1341" t="s">
        <v>14</v>
      </c>
      <c r="F307" s="1341"/>
      <c r="G307" s="1341" t="s">
        <v>14</v>
      </c>
      <c r="H307" s="1341"/>
      <c r="I307" s="1385">
        <f>SUM(I303:J306)</f>
        <v>0</v>
      </c>
      <c r="J307" s="1341"/>
    </row>
    <row r="308" spans="1:10" ht="108.75" hidden="1" customHeight="1" x14ac:dyDescent="0.25">
      <c r="A308" s="1443" t="s">
        <v>762</v>
      </c>
      <c r="B308" s="1443"/>
      <c r="C308" s="1443"/>
      <c r="D308" s="1443"/>
      <c r="E308" s="1443"/>
      <c r="F308" s="1443"/>
      <c r="G308" s="1443"/>
      <c r="H308" s="1443"/>
      <c r="I308" s="1443"/>
      <c r="J308" s="1443"/>
    </row>
    <row r="309" spans="1:10" ht="17.25" hidden="1" customHeight="1" x14ac:dyDescent="0.25">
      <c r="A309" s="191">
        <v>6</v>
      </c>
      <c r="B309" s="1377" t="s">
        <v>763</v>
      </c>
      <c r="C309" s="1378"/>
      <c r="D309" s="1379"/>
      <c r="E309" s="94" t="s">
        <v>299</v>
      </c>
      <c r="F309" s="94">
        <v>1</v>
      </c>
      <c r="G309" s="1373" t="s">
        <v>256</v>
      </c>
      <c r="H309" s="1374"/>
      <c r="I309" s="1430">
        <v>0</v>
      </c>
      <c r="J309" s="1381"/>
    </row>
    <row r="310" spans="1:10" ht="17.25" hidden="1" customHeight="1" x14ac:dyDescent="0.25">
      <c r="A310" s="381"/>
      <c r="B310" s="1393" t="s">
        <v>325</v>
      </c>
      <c r="C310" s="1393"/>
      <c r="D310" s="1393"/>
      <c r="E310" s="1394" t="s">
        <v>14</v>
      </c>
      <c r="F310" s="1395"/>
      <c r="G310" s="1396">
        <f>J279+J280+J281+J287+I309+J282</f>
        <v>210130</v>
      </c>
      <c r="H310" s="1397"/>
      <c r="I310" s="1397"/>
      <c r="J310" s="1397"/>
    </row>
    <row r="311" spans="1:10" ht="17.25" customHeight="1" x14ac:dyDescent="0.25">
      <c r="A311" s="1442" t="s">
        <v>376</v>
      </c>
      <c r="B311" s="1442"/>
      <c r="C311" s="1442"/>
      <c r="D311" s="1442"/>
      <c r="E311" s="1442"/>
      <c r="F311" s="1442"/>
      <c r="G311" s="1442"/>
      <c r="H311" s="1442"/>
      <c r="I311" s="1442"/>
      <c r="J311" s="1442"/>
    </row>
    <row r="312" spans="1:10" ht="17.25" customHeight="1" x14ac:dyDescent="0.25">
      <c r="A312" s="467" t="s">
        <v>1</v>
      </c>
      <c r="B312" s="1344" t="s">
        <v>15</v>
      </c>
      <c r="C312" s="1392"/>
      <c r="D312" s="1345"/>
      <c r="E312" s="1344" t="s">
        <v>58</v>
      </c>
      <c r="F312" s="1345"/>
      <c r="G312" s="1344" t="s">
        <v>66</v>
      </c>
      <c r="H312" s="1345"/>
      <c r="I312" s="1344" t="s">
        <v>260</v>
      </c>
      <c r="J312" s="1345"/>
    </row>
    <row r="313" spans="1:10" ht="17.25" customHeight="1" x14ac:dyDescent="0.25">
      <c r="A313" s="467">
        <v>1</v>
      </c>
      <c r="B313" s="1344">
        <v>2</v>
      </c>
      <c r="C313" s="1392"/>
      <c r="D313" s="1345"/>
      <c r="E313" s="1344">
        <v>3</v>
      </c>
      <c r="F313" s="1345"/>
      <c r="G313" s="1344">
        <v>4</v>
      </c>
      <c r="H313" s="1345"/>
      <c r="I313" s="1344">
        <v>5</v>
      </c>
      <c r="J313" s="1345"/>
    </row>
    <row r="314" spans="1:10" ht="39" customHeight="1" x14ac:dyDescent="0.25">
      <c r="A314" s="1319" t="s">
        <v>745</v>
      </c>
      <c r="B314" s="1320"/>
      <c r="C314" s="1320"/>
      <c r="D314" s="1320"/>
      <c r="E314" s="1320"/>
      <c r="F314" s="1320"/>
      <c r="G314" s="1320"/>
      <c r="H314" s="1320"/>
      <c r="I314" s="1320"/>
      <c r="J314" s="1321"/>
    </row>
    <row r="315" spans="1:10" ht="17.25" customHeight="1" x14ac:dyDescent="0.25">
      <c r="A315" s="594">
        <v>1</v>
      </c>
      <c r="B315" s="1322" t="s">
        <v>1175</v>
      </c>
      <c r="C315" s="1322"/>
      <c r="D315" s="1322"/>
      <c r="E315" s="1323">
        <v>1</v>
      </c>
      <c r="F315" s="1323"/>
      <c r="G315" s="1324">
        <f>93800-93800</f>
        <v>0</v>
      </c>
      <c r="H315" s="1324"/>
      <c r="I315" s="1324">
        <f>E315*G315</f>
        <v>0</v>
      </c>
      <c r="J315" s="1324"/>
    </row>
    <row r="316" spans="1:10" ht="17.25" customHeight="1" x14ac:dyDescent="0.25">
      <c r="A316" s="594">
        <v>2</v>
      </c>
      <c r="B316" s="1322" t="s">
        <v>1176</v>
      </c>
      <c r="C316" s="1322"/>
      <c r="D316" s="1322"/>
      <c r="E316" s="1323">
        <v>1</v>
      </c>
      <c r="F316" s="1323"/>
      <c r="G316" s="1324">
        <f>24000+50000-24000</f>
        <v>50000</v>
      </c>
      <c r="H316" s="1324"/>
      <c r="I316" s="1324">
        <f>E316*G316</f>
        <v>50000</v>
      </c>
      <c r="J316" s="1324"/>
    </row>
    <row r="317" spans="1:10" ht="17.25" hidden="1" customHeight="1" x14ac:dyDescent="0.25">
      <c r="A317" s="594"/>
      <c r="B317" s="1323"/>
      <c r="C317" s="1323"/>
      <c r="D317" s="1323"/>
      <c r="E317" s="1323"/>
      <c r="F317" s="1323"/>
      <c r="G317" s="1323"/>
      <c r="H317" s="1323"/>
      <c r="I317" s="1323"/>
      <c r="J317" s="1323"/>
    </row>
    <row r="318" spans="1:10" ht="48.75" hidden="1" customHeight="1" x14ac:dyDescent="0.25">
      <c r="A318" s="1333" t="s">
        <v>748</v>
      </c>
      <c r="B318" s="1334"/>
      <c r="C318" s="1334"/>
      <c r="D318" s="1334"/>
      <c r="E318" s="1334"/>
      <c r="F318" s="1334"/>
      <c r="G318" s="1334"/>
      <c r="H318" s="1334"/>
      <c r="I318" s="1334"/>
      <c r="J318" s="1335"/>
    </row>
    <row r="319" spans="1:10" ht="17.25" hidden="1" customHeight="1" x14ac:dyDescent="0.25">
      <c r="A319" s="470">
        <v>1</v>
      </c>
      <c r="B319" s="1257" t="s">
        <v>715</v>
      </c>
      <c r="C319" s="1257"/>
      <c r="D319" s="1257"/>
      <c r="E319" s="1353">
        <v>1</v>
      </c>
      <c r="F319" s="1354"/>
      <c r="G319" s="1355">
        <v>0</v>
      </c>
      <c r="H319" s="1356"/>
      <c r="I319" s="1355">
        <f>E319*G319</f>
        <v>0</v>
      </c>
      <c r="J319" s="1356"/>
    </row>
    <row r="320" spans="1:10" ht="17.25" hidden="1" customHeight="1" x14ac:dyDescent="0.25">
      <c r="A320" s="468">
        <v>2</v>
      </c>
      <c r="B320" s="1257" t="s">
        <v>716</v>
      </c>
      <c r="C320" s="1257"/>
      <c r="D320" s="1257"/>
      <c r="E320" s="1353">
        <v>1</v>
      </c>
      <c r="F320" s="1354"/>
      <c r="G320" s="1355">
        <v>0</v>
      </c>
      <c r="H320" s="1356"/>
      <c r="I320" s="1355">
        <f t="shared" ref="I320" si="15">E320*G320</f>
        <v>0</v>
      </c>
      <c r="J320" s="1356"/>
    </row>
    <row r="321" spans="1:12" ht="17.25" customHeight="1" x14ac:dyDescent="0.25">
      <c r="A321" s="470"/>
      <c r="B321" s="1338" t="s">
        <v>13</v>
      </c>
      <c r="C321" s="1338"/>
      <c r="D321" s="1338"/>
      <c r="E321" s="1339" t="s">
        <v>74</v>
      </c>
      <c r="F321" s="1340"/>
      <c r="G321" s="1341" t="s">
        <v>14</v>
      </c>
      <c r="H321" s="1341"/>
      <c r="I321" s="1385">
        <f>I319+I320+I315+I316</f>
        <v>50000</v>
      </c>
      <c r="J321" s="1385"/>
    </row>
    <row r="322" spans="1:12" ht="21.75" customHeight="1" x14ac:dyDescent="0.25">
      <c r="A322" s="1391" t="s">
        <v>377</v>
      </c>
      <c r="B322" s="1391"/>
      <c r="C322" s="1391"/>
      <c r="D322" s="1391"/>
      <c r="E322" s="1391"/>
      <c r="F322" s="1391"/>
      <c r="G322" s="1391"/>
      <c r="H322" s="1391"/>
      <c r="I322" s="1391"/>
      <c r="J322" s="1391"/>
    </row>
    <row r="323" spans="1:12" ht="21.75" hidden="1" customHeight="1" x14ac:dyDescent="0.25">
      <c r="A323" s="1055" t="s">
        <v>489</v>
      </c>
      <c r="B323" s="1055"/>
      <c r="C323" s="1055"/>
      <c r="D323" s="1055"/>
      <c r="E323" s="1055"/>
      <c r="F323" s="1055"/>
      <c r="G323" s="1055"/>
      <c r="H323" s="1055"/>
      <c r="I323" s="1055"/>
      <c r="J323" s="1055"/>
    </row>
    <row r="324" spans="1:12" ht="21.75" hidden="1" customHeight="1" x14ac:dyDescent="0.25">
      <c r="A324" s="467" t="s">
        <v>1</v>
      </c>
      <c r="B324" s="1344" t="s">
        <v>15</v>
      </c>
      <c r="C324" s="1392"/>
      <c r="D324" s="1345"/>
      <c r="E324" s="1344" t="s">
        <v>58</v>
      </c>
      <c r="F324" s="1345"/>
      <c r="G324" s="1344" t="s">
        <v>66</v>
      </c>
      <c r="H324" s="1345"/>
      <c r="I324" s="1344" t="s">
        <v>260</v>
      </c>
      <c r="J324" s="1345"/>
    </row>
    <row r="325" spans="1:12" ht="21.75" hidden="1" customHeight="1" x14ac:dyDescent="0.25">
      <c r="A325" s="467">
        <v>1</v>
      </c>
      <c r="B325" s="1344">
        <v>2</v>
      </c>
      <c r="C325" s="1392"/>
      <c r="D325" s="1345"/>
      <c r="E325" s="1344">
        <v>3</v>
      </c>
      <c r="F325" s="1345"/>
      <c r="G325" s="1344">
        <v>4</v>
      </c>
      <c r="H325" s="1345"/>
      <c r="I325" s="1344">
        <v>5</v>
      </c>
      <c r="J325" s="1345"/>
    </row>
    <row r="326" spans="1:12" ht="63.75" hidden="1" customHeight="1" x14ac:dyDescent="0.25">
      <c r="A326" s="1319" t="s">
        <v>569</v>
      </c>
      <c r="B326" s="1320"/>
      <c r="C326" s="1320"/>
      <c r="D326" s="1320"/>
      <c r="E326" s="1320"/>
      <c r="F326" s="1320"/>
      <c r="G326" s="1320"/>
      <c r="H326" s="1320"/>
      <c r="I326" s="1320"/>
      <c r="J326" s="1321"/>
    </row>
    <row r="327" spans="1:12" ht="39.75" hidden="1" customHeight="1" x14ac:dyDescent="0.25">
      <c r="A327" s="472" t="s">
        <v>70</v>
      </c>
      <c r="B327" s="1357" t="s">
        <v>172</v>
      </c>
      <c r="C327" s="1358"/>
      <c r="D327" s="1359"/>
      <c r="E327" s="93"/>
      <c r="F327" s="93"/>
      <c r="G327" s="1362"/>
      <c r="H327" s="1363"/>
      <c r="I327" s="1401">
        <f>SUM(I328:J330)</f>
        <v>0</v>
      </c>
      <c r="J327" s="1390"/>
    </row>
    <row r="328" spans="1:12" ht="22.5" hidden="1" customHeight="1" x14ac:dyDescent="0.25">
      <c r="A328" s="470"/>
      <c r="B328" s="1099" t="s">
        <v>550</v>
      </c>
      <c r="C328" s="1100"/>
      <c r="D328" s="1101"/>
      <c r="E328" s="313" t="s">
        <v>301</v>
      </c>
      <c r="F328" s="466"/>
      <c r="G328" s="1373" t="s">
        <v>256</v>
      </c>
      <c r="H328" s="1374"/>
      <c r="I328" s="1261">
        <v>0</v>
      </c>
      <c r="J328" s="1262"/>
    </row>
    <row r="329" spans="1:12" ht="22.5" hidden="1" customHeight="1" x14ac:dyDescent="0.25">
      <c r="A329" s="95"/>
      <c r="B329" s="1402" t="s">
        <v>195</v>
      </c>
      <c r="C329" s="1403"/>
      <c r="D329" s="1404"/>
      <c r="E329" s="313" t="s">
        <v>301</v>
      </c>
      <c r="F329" s="471"/>
      <c r="G329" s="1373" t="s">
        <v>256</v>
      </c>
      <c r="H329" s="1374"/>
      <c r="I329" s="1405">
        <v>0</v>
      </c>
      <c r="J329" s="1365"/>
    </row>
    <row r="330" spans="1:12" ht="21.75" hidden="1" customHeight="1" x14ac:dyDescent="0.25">
      <c r="A330" s="95"/>
      <c r="B330" s="1402" t="s">
        <v>82</v>
      </c>
      <c r="C330" s="1403"/>
      <c r="D330" s="1404"/>
      <c r="E330" s="313" t="s">
        <v>301</v>
      </c>
      <c r="F330" s="138"/>
      <c r="G330" s="1373" t="s">
        <v>256</v>
      </c>
      <c r="H330" s="1374"/>
      <c r="I330" s="1430">
        <v>0</v>
      </c>
      <c r="J330" s="1381"/>
    </row>
    <row r="331" spans="1:12" ht="21.75" hidden="1" customHeight="1" x14ac:dyDescent="0.25">
      <c r="A331" s="470"/>
      <c r="B331" s="1431" t="s">
        <v>13</v>
      </c>
      <c r="C331" s="1432"/>
      <c r="D331" s="1433"/>
      <c r="E331" s="1342" t="s">
        <v>74</v>
      </c>
      <c r="F331" s="1343"/>
      <c r="G331" s="1406" t="s">
        <v>14</v>
      </c>
      <c r="H331" s="1407"/>
      <c r="I331" s="1408">
        <f>I327</f>
        <v>0</v>
      </c>
      <c r="J331" s="1409"/>
    </row>
    <row r="332" spans="1:12" ht="15.75" hidden="1" x14ac:dyDescent="0.25">
      <c r="A332" s="1055" t="s">
        <v>490</v>
      </c>
      <c r="B332" s="1055"/>
      <c r="C332" s="1055"/>
      <c r="D332" s="1055"/>
      <c r="E332" s="1055"/>
      <c r="F332" s="1055"/>
      <c r="G332" s="1055"/>
      <c r="H332" s="1055"/>
      <c r="I332" s="1055"/>
      <c r="J332" s="1055"/>
    </row>
    <row r="333" spans="1:12" ht="15" hidden="1" customHeight="1" x14ac:dyDescent="0.25">
      <c r="A333" s="188" t="s">
        <v>1</v>
      </c>
      <c r="B333" s="1346" t="s">
        <v>15</v>
      </c>
      <c r="C333" s="1346"/>
      <c r="D333" s="1346"/>
      <c r="E333" s="1346" t="s">
        <v>58</v>
      </c>
      <c r="F333" s="1346"/>
      <c r="G333" s="1346" t="s">
        <v>66</v>
      </c>
      <c r="H333" s="1346"/>
      <c r="I333" s="1346" t="s">
        <v>260</v>
      </c>
      <c r="J333" s="1346"/>
    </row>
    <row r="334" spans="1:12" hidden="1" x14ac:dyDescent="0.25">
      <c r="A334" s="188">
        <v>1</v>
      </c>
      <c r="B334" s="1346">
        <v>2</v>
      </c>
      <c r="C334" s="1346"/>
      <c r="D334" s="1346"/>
      <c r="E334" s="1346">
        <v>3</v>
      </c>
      <c r="F334" s="1346"/>
      <c r="G334" s="1346">
        <v>4</v>
      </c>
      <c r="H334" s="1346"/>
      <c r="I334" s="1346">
        <v>5</v>
      </c>
      <c r="J334" s="1346"/>
    </row>
    <row r="335" spans="1:12" ht="47.25" hidden="1" customHeight="1" x14ac:dyDescent="0.25">
      <c r="A335" s="1333" t="s">
        <v>515</v>
      </c>
      <c r="B335" s="1334"/>
      <c r="C335" s="1334"/>
      <c r="D335" s="1334"/>
      <c r="E335" s="1334"/>
      <c r="F335" s="1334"/>
      <c r="G335" s="1334"/>
      <c r="H335" s="1334"/>
      <c r="I335" s="1334"/>
      <c r="J335" s="1335"/>
      <c r="K335" s="139"/>
      <c r="L335" s="140"/>
    </row>
    <row r="336" spans="1:12" ht="37.5" hidden="1" customHeight="1" x14ac:dyDescent="0.25">
      <c r="A336" s="191">
        <v>1</v>
      </c>
      <c r="B336" s="1322" t="s">
        <v>519</v>
      </c>
      <c r="C336" s="1322"/>
      <c r="D336" s="1322"/>
      <c r="E336" s="94" t="s">
        <v>301</v>
      </c>
      <c r="F336" s="190"/>
      <c r="G336" s="1372" t="s">
        <v>256</v>
      </c>
      <c r="H336" s="1372"/>
      <c r="I336" s="1364">
        <f>3300-3300</f>
        <v>0</v>
      </c>
      <c r="J336" s="1365"/>
      <c r="K336" s="139"/>
      <c r="L336" s="140"/>
    </row>
    <row r="337" spans="1:10" hidden="1" x14ac:dyDescent="0.25">
      <c r="A337" s="95"/>
      <c r="B337" s="1377"/>
      <c r="C337" s="1378"/>
      <c r="D337" s="1379"/>
      <c r="E337" s="94"/>
      <c r="F337" s="138"/>
      <c r="G337" s="1372"/>
      <c r="H337" s="1372"/>
      <c r="I337" s="1380"/>
      <c r="J337" s="1381"/>
    </row>
    <row r="338" spans="1:10" s="44" customFormat="1" ht="15" hidden="1" customHeight="1" x14ac:dyDescent="0.25">
      <c r="A338" s="191"/>
      <c r="B338" s="1338" t="s">
        <v>13</v>
      </c>
      <c r="C338" s="1338"/>
      <c r="D338" s="1338"/>
      <c r="E338" s="1342" t="s">
        <v>74</v>
      </c>
      <c r="F338" s="1343"/>
      <c r="G338" s="1341" t="s">
        <v>14</v>
      </c>
      <c r="H338" s="1341"/>
      <c r="I338" s="1347">
        <f>I336+I337</f>
        <v>0</v>
      </c>
      <c r="J338" s="1341"/>
    </row>
    <row r="339" spans="1:10" s="44" customFormat="1" ht="15" hidden="1" customHeight="1" x14ac:dyDescent="0.25">
      <c r="A339" s="1055" t="s">
        <v>491</v>
      </c>
      <c r="B339" s="1055"/>
      <c r="C339" s="1055"/>
      <c r="D339" s="1055"/>
      <c r="E339" s="1055"/>
      <c r="F339" s="1055"/>
      <c r="G339" s="1055"/>
      <c r="H339" s="1055"/>
      <c r="I339" s="1055"/>
      <c r="J339" s="1055"/>
    </row>
    <row r="340" spans="1:10" s="44" customFormat="1" ht="15" hidden="1" customHeight="1" x14ac:dyDescent="0.2">
      <c r="A340" s="188" t="s">
        <v>1</v>
      </c>
      <c r="B340" s="1346" t="s">
        <v>15</v>
      </c>
      <c r="C340" s="1346"/>
      <c r="D340" s="1346"/>
      <c r="E340" s="1346" t="s">
        <v>58</v>
      </c>
      <c r="F340" s="1346"/>
      <c r="G340" s="1346" t="s">
        <v>66</v>
      </c>
      <c r="H340" s="1346"/>
      <c r="I340" s="1346" t="s">
        <v>260</v>
      </c>
      <c r="J340" s="1346"/>
    </row>
    <row r="341" spans="1:10" s="44" customFormat="1" ht="15" hidden="1" customHeight="1" x14ac:dyDescent="0.2">
      <c r="A341" s="188">
        <v>1</v>
      </c>
      <c r="B341" s="1346">
        <v>2</v>
      </c>
      <c r="C341" s="1346"/>
      <c r="D341" s="1346"/>
      <c r="E341" s="1346">
        <v>3</v>
      </c>
      <c r="F341" s="1346"/>
      <c r="G341" s="1346">
        <v>4</v>
      </c>
      <c r="H341" s="1346"/>
      <c r="I341" s="1346">
        <v>5</v>
      </c>
      <c r="J341" s="1346"/>
    </row>
    <row r="342" spans="1:10" s="44" customFormat="1" ht="39.75" hidden="1" customHeight="1" x14ac:dyDescent="0.25">
      <c r="A342" s="187" t="s">
        <v>70</v>
      </c>
      <c r="B342" s="1357" t="s">
        <v>172</v>
      </c>
      <c r="C342" s="1358"/>
      <c r="D342" s="1359"/>
      <c r="E342" s="93"/>
      <c r="F342" s="93"/>
      <c r="G342" s="1362"/>
      <c r="H342" s="1363"/>
      <c r="I342" s="1389">
        <f>SUM(I343:J344)</f>
        <v>0</v>
      </c>
      <c r="J342" s="1390"/>
    </row>
    <row r="343" spans="1:10" s="44" customFormat="1" ht="15" hidden="1" customHeight="1" x14ac:dyDescent="0.25">
      <c r="A343" s="191" t="s">
        <v>27</v>
      </c>
      <c r="B343" s="1371" t="s">
        <v>493</v>
      </c>
      <c r="C343" s="1371"/>
      <c r="D343" s="1371"/>
      <c r="E343" s="94"/>
      <c r="F343" s="190"/>
      <c r="G343" s="1372" t="s">
        <v>256</v>
      </c>
      <c r="H343" s="1372"/>
      <c r="I343" s="1364">
        <v>0</v>
      </c>
      <c r="J343" s="1365"/>
    </row>
    <row r="344" spans="1:10" s="45" customFormat="1" ht="15" hidden="1" customHeight="1" x14ac:dyDescent="0.25">
      <c r="A344" s="95" t="s">
        <v>27</v>
      </c>
      <c r="B344" s="1377"/>
      <c r="C344" s="1378"/>
      <c r="D344" s="1379"/>
      <c r="E344" s="94"/>
      <c r="F344" s="138"/>
      <c r="G344" s="1372"/>
      <c r="H344" s="1372"/>
      <c r="I344" s="1380"/>
      <c r="J344" s="1381"/>
    </row>
    <row r="345" spans="1:10" s="44" customFormat="1" ht="33" hidden="1" customHeight="1" x14ac:dyDescent="0.25">
      <c r="A345" s="191"/>
      <c r="B345" s="1338" t="s">
        <v>13</v>
      </c>
      <c r="C345" s="1338"/>
      <c r="D345" s="1338"/>
      <c r="E345" s="1342" t="s">
        <v>74</v>
      </c>
      <c r="F345" s="1343"/>
      <c r="G345" s="1341" t="s">
        <v>14</v>
      </c>
      <c r="H345" s="1341"/>
      <c r="I345" s="1347">
        <f>I342</f>
        <v>0</v>
      </c>
      <c r="J345" s="1341"/>
    </row>
    <row r="346" spans="1:10" s="45" customFormat="1" ht="15" hidden="1" customHeight="1" x14ac:dyDescent="0.25">
      <c r="A346" s="1055" t="s">
        <v>492</v>
      </c>
      <c r="B346" s="1055"/>
      <c r="C346" s="1055"/>
      <c r="D346" s="1055"/>
      <c r="E346" s="1055"/>
      <c r="F346" s="1055"/>
      <c r="G346" s="1055"/>
      <c r="H346" s="1055"/>
      <c r="I346" s="1055"/>
      <c r="J346" s="1055"/>
    </row>
    <row r="347" spans="1:10" s="45" customFormat="1" ht="15" hidden="1" customHeight="1" x14ac:dyDescent="0.25">
      <c r="A347" s="188" t="s">
        <v>1</v>
      </c>
      <c r="B347" s="1346" t="s">
        <v>15</v>
      </c>
      <c r="C347" s="1346"/>
      <c r="D347" s="1346"/>
      <c r="E347" s="1346" t="s">
        <v>58</v>
      </c>
      <c r="F347" s="1346"/>
      <c r="G347" s="1346" t="s">
        <v>66</v>
      </c>
      <c r="H347" s="1346"/>
      <c r="I347" s="1346" t="s">
        <v>260</v>
      </c>
      <c r="J347" s="1346"/>
    </row>
    <row r="348" spans="1:10" s="45" customFormat="1" ht="15" hidden="1" customHeight="1" x14ac:dyDescent="0.25">
      <c r="A348" s="188">
        <v>1</v>
      </c>
      <c r="B348" s="1346">
        <v>2</v>
      </c>
      <c r="C348" s="1346"/>
      <c r="D348" s="1346"/>
      <c r="E348" s="1346">
        <v>3</v>
      </c>
      <c r="F348" s="1346"/>
      <c r="G348" s="1346">
        <v>4</v>
      </c>
      <c r="H348" s="1346"/>
      <c r="I348" s="1346">
        <v>5</v>
      </c>
      <c r="J348" s="1346"/>
    </row>
    <row r="349" spans="1:10" s="45" customFormat="1" ht="38.25" hidden="1" customHeight="1" x14ac:dyDescent="0.25">
      <c r="A349" s="187" t="s">
        <v>70</v>
      </c>
      <c r="B349" s="1357" t="s">
        <v>172</v>
      </c>
      <c r="C349" s="1358"/>
      <c r="D349" s="1359"/>
      <c r="E349" s="93"/>
      <c r="F349" s="93"/>
      <c r="G349" s="1362"/>
      <c r="H349" s="1363"/>
      <c r="I349" s="1389">
        <f>SUM(I350:J351)</f>
        <v>0</v>
      </c>
      <c r="J349" s="1390"/>
    </row>
    <row r="350" spans="1:10" s="45" customFormat="1" ht="15" hidden="1" customHeight="1" x14ac:dyDescent="0.25">
      <c r="A350" s="191" t="s">
        <v>27</v>
      </c>
      <c r="B350" s="1371"/>
      <c r="C350" s="1371"/>
      <c r="D350" s="1371"/>
      <c r="E350" s="94" t="s">
        <v>301</v>
      </c>
      <c r="F350" s="190"/>
      <c r="G350" s="1372" t="s">
        <v>256</v>
      </c>
      <c r="H350" s="1372"/>
      <c r="I350" s="1364"/>
      <c r="J350" s="1365"/>
    </row>
    <row r="351" spans="1:10" s="45" customFormat="1" ht="15" hidden="1" customHeight="1" x14ac:dyDescent="0.25">
      <c r="A351" s="95" t="s">
        <v>27</v>
      </c>
      <c r="B351" s="1377"/>
      <c r="C351" s="1378"/>
      <c r="D351" s="1379"/>
      <c r="E351" s="94"/>
      <c r="F351" s="138"/>
      <c r="G351" s="1372"/>
      <c r="H351" s="1372"/>
      <c r="I351" s="1380"/>
      <c r="J351" s="1381"/>
    </row>
    <row r="352" spans="1:10" s="45" customFormat="1" ht="15" hidden="1" customHeight="1" x14ac:dyDescent="0.25">
      <c r="A352" s="191"/>
      <c r="B352" s="1338" t="s">
        <v>13</v>
      </c>
      <c r="C352" s="1338"/>
      <c r="D352" s="1338"/>
      <c r="E352" s="1342" t="s">
        <v>74</v>
      </c>
      <c r="F352" s="1343"/>
      <c r="G352" s="1341" t="s">
        <v>14</v>
      </c>
      <c r="H352" s="1341"/>
      <c r="I352" s="1347">
        <f>I349</f>
        <v>0</v>
      </c>
      <c r="J352" s="1341"/>
    </row>
    <row r="353" spans="1:10" s="45" customFormat="1" ht="15" hidden="1" customHeight="1" x14ac:dyDescent="0.25">
      <c r="A353" s="1384" t="s">
        <v>495</v>
      </c>
      <c r="B353" s="1384"/>
      <c r="C353" s="1384"/>
      <c r="D353" s="1384"/>
      <c r="E353" s="1384"/>
      <c r="F353" s="1384"/>
      <c r="G353" s="1384"/>
      <c r="H353" s="1384"/>
      <c r="I353" s="1384"/>
      <c r="J353" s="1384"/>
    </row>
    <row r="354" spans="1:10" s="45" customFormat="1" ht="15" hidden="1" customHeight="1" x14ac:dyDescent="0.25">
      <c r="A354" s="188" t="s">
        <v>1</v>
      </c>
      <c r="B354" s="1346" t="s">
        <v>15</v>
      </c>
      <c r="C354" s="1346"/>
      <c r="D354" s="1346"/>
      <c r="E354" s="1346" t="s">
        <v>58</v>
      </c>
      <c r="F354" s="1346"/>
      <c r="G354" s="1346" t="s">
        <v>66</v>
      </c>
      <c r="H354" s="1346"/>
      <c r="I354" s="1346" t="s">
        <v>260</v>
      </c>
      <c r="J354" s="1346"/>
    </row>
    <row r="355" spans="1:10" s="45" customFormat="1" ht="15" hidden="1" customHeight="1" x14ac:dyDescent="0.25">
      <c r="A355" s="188">
        <v>1</v>
      </c>
      <c r="B355" s="1346">
        <v>2</v>
      </c>
      <c r="C355" s="1346"/>
      <c r="D355" s="1346"/>
      <c r="E355" s="1346">
        <v>3</v>
      </c>
      <c r="F355" s="1346"/>
      <c r="G355" s="1346">
        <v>4</v>
      </c>
      <c r="H355" s="1346"/>
      <c r="I355" s="1346">
        <v>5</v>
      </c>
      <c r="J355" s="1346"/>
    </row>
    <row r="356" spans="1:10" s="45" customFormat="1" ht="36" hidden="1" customHeight="1" x14ac:dyDescent="0.25">
      <c r="A356" s="1333" t="s">
        <v>748</v>
      </c>
      <c r="B356" s="1334"/>
      <c r="C356" s="1334"/>
      <c r="D356" s="1334"/>
      <c r="E356" s="1334"/>
      <c r="F356" s="1334"/>
      <c r="G356" s="1334"/>
      <c r="H356" s="1334"/>
      <c r="I356" s="1334"/>
      <c r="J356" s="1335"/>
    </row>
    <row r="357" spans="1:10" s="45" customFormat="1" ht="15" hidden="1" customHeight="1" x14ac:dyDescent="0.25">
      <c r="A357" s="191">
        <v>1</v>
      </c>
      <c r="B357" s="1322" t="s">
        <v>520</v>
      </c>
      <c r="C357" s="1322"/>
      <c r="D357" s="1322"/>
      <c r="E357" s="94" t="s">
        <v>301</v>
      </c>
      <c r="F357" s="190"/>
      <c r="G357" s="1372" t="s">
        <v>256</v>
      </c>
      <c r="H357" s="1372"/>
      <c r="I357" s="1364">
        <v>0</v>
      </c>
      <c r="J357" s="1365"/>
    </row>
    <row r="358" spans="1:10" s="45" customFormat="1" ht="15" hidden="1" customHeight="1" x14ac:dyDescent="0.25">
      <c r="A358" s="243">
        <v>2</v>
      </c>
      <c r="B358" s="1330"/>
      <c r="C358" s="1331"/>
      <c r="D358" s="1332"/>
      <c r="E358" s="94" t="s">
        <v>301</v>
      </c>
      <c r="F358" s="244"/>
      <c r="G358" s="1373" t="s">
        <v>256</v>
      </c>
      <c r="H358" s="1374"/>
      <c r="I358" s="1369">
        <v>0</v>
      </c>
      <c r="J358" s="1370"/>
    </row>
    <row r="359" spans="1:10" s="45" customFormat="1" ht="15" hidden="1" customHeight="1" x14ac:dyDescent="0.25">
      <c r="A359" s="95"/>
      <c r="B359" s="1338" t="s">
        <v>13</v>
      </c>
      <c r="C359" s="1338"/>
      <c r="D359" s="1338"/>
      <c r="E359" s="1342" t="s">
        <v>74</v>
      </c>
      <c r="F359" s="1343"/>
      <c r="G359" s="1341" t="s">
        <v>14</v>
      </c>
      <c r="H359" s="1341"/>
      <c r="I359" s="1347">
        <f>I357+I358</f>
        <v>0</v>
      </c>
      <c r="J359" s="1341"/>
    </row>
    <row r="360" spans="1:10" s="45" customFormat="1" ht="71.25" hidden="1" customHeight="1" x14ac:dyDescent="0.25">
      <c r="A360" s="1319" t="s">
        <v>569</v>
      </c>
      <c r="B360" s="1320"/>
      <c r="C360" s="1320"/>
      <c r="D360" s="1320"/>
      <c r="E360" s="1320"/>
      <c r="F360" s="1320"/>
      <c r="G360" s="1320"/>
      <c r="H360" s="1320"/>
      <c r="I360" s="1320"/>
      <c r="J360" s="1321"/>
    </row>
    <row r="361" spans="1:10" s="45" customFormat="1" ht="15" hidden="1" customHeight="1" x14ac:dyDescent="0.25">
      <c r="A361" s="409"/>
      <c r="B361" s="1330"/>
      <c r="C361" s="1331"/>
      <c r="D361" s="1332"/>
      <c r="E361" s="405"/>
      <c r="F361" s="407"/>
      <c r="G361" s="1196"/>
      <c r="H361" s="1196"/>
      <c r="I361" s="1240"/>
      <c r="J361" s="1133"/>
    </row>
    <row r="362" spans="1:10" s="45" customFormat="1" ht="15" hidden="1" customHeight="1" x14ac:dyDescent="0.25">
      <c r="A362" s="409"/>
      <c r="B362" s="1330"/>
      <c r="C362" s="1331"/>
      <c r="D362" s="1332"/>
      <c r="E362" s="405"/>
      <c r="F362" s="407"/>
      <c r="G362" s="403"/>
      <c r="H362" s="404"/>
      <c r="I362" s="1261"/>
      <c r="J362" s="1262"/>
    </row>
    <row r="363" spans="1:10" s="45" customFormat="1" ht="15" hidden="1" customHeight="1" x14ac:dyDescent="0.25">
      <c r="A363" s="409"/>
      <c r="B363" s="1330"/>
      <c r="C363" s="1331"/>
      <c r="D363" s="1332"/>
      <c r="E363" s="405"/>
      <c r="F363" s="407"/>
      <c r="G363" s="403"/>
      <c r="H363" s="404"/>
      <c r="I363" s="1261"/>
      <c r="J363" s="1262"/>
    </row>
    <row r="364" spans="1:10" s="45" customFormat="1" ht="15" hidden="1" customHeight="1" x14ac:dyDescent="0.25">
      <c r="A364" s="409"/>
      <c r="B364" s="1330"/>
      <c r="C364" s="1331"/>
      <c r="D364" s="1332"/>
      <c r="E364" s="405"/>
      <c r="F364" s="407"/>
      <c r="G364" s="403"/>
      <c r="H364" s="404"/>
      <c r="I364" s="1261"/>
      <c r="J364" s="1262"/>
    </row>
    <row r="365" spans="1:10" s="45" customFormat="1" ht="15" hidden="1" customHeight="1" x14ac:dyDescent="0.25">
      <c r="A365" s="95"/>
      <c r="B365" s="1338" t="s">
        <v>13</v>
      </c>
      <c r="C365" s="1338"/>
      <c r="D365" s="1338"/>
      <c r="E365" s="1348" t="s">
        <v>74</v>
      </c>
      <c r="F365" s="1348"/>
      <c r="G365" s="1341" t="s">
        <v>14</v>
      </c>
      <c r="H365" s="1341"/>
      <c r="I365" s="1347">
        <f>I361+I362+I363</f>
        <v>0</v>
      </c>
      <c r="J365" s="1341"/>
    </row>
    <row r="366" spans="1:10" s="45" customFormat="1" ht="15" hidden="1" customHeight="1" x14ac:dyDescent="0.25">
      <c r="A366" s="95"/>
      <c r="B366" s="1341" t="s">
        <v>563</v>
      </c>
      <c r="C366" s="1341"/>
      <c r="D366" s="1341"/>
      <c r="E366" s="1348"/>
      <c r="F366" s="1348"/>
      <c r="G366" s="1341"/>
      <c r="H366" s="1341"/>
      <c r="I366" s="1347">
        <f>I365+I359</f>
        <v>0</v>
      </c>
      <c r="J366" s="1347"/>
    </row>
    <row r="367" spans="1:10" s="44" customFormat="1" ht="15.75" x14ac:dyDescent="0.25">
      <c r="A367" s="1368" t="s">
        <v>496</v>
      </c>
      <c r="B367" s="1368"/>
      <c r="C367" s="1368"/>
      <c r="D367" s="1368"/>
      <c r="E367" s="1368"/>
      <c r="F367" s="1368"/>
      <c r="G367" s="1368"/>
      <c r="H367" s="1368"/>
      <c r="I367" s="1368"/>
      <c r="J367" s="1368"/>
    </row>
    <row r="368" spans="1:10" s="44" customFormat="1" ht="25.5" x14ac:dyDescent="0.2">
      <c r="A368" s="188" t="s">
        <v>1</v>
      </c>
      <c r="B368" s="1346" t="s">
        <v>15</v>
      </c>
      <c r="C368" s="1346"/>
      <c r="D368" s="1346"/>
      <c r="E368" s="1346" t="s">
        <v>58</v>
      </c>
      <c r="F368" s="1346"/>
      <c r="G368" s="1346" t="s">
        <v>66</v>
      </c>
      <c r="H368" s="1346"/>
      <c r="I368" s="1346" t="s">
        <v>260</v>
      </c>
      <c r="J368" s="1346"/>
    </row>
    <row r="369" spans="1:12" s="44" customFormat="1" ht="12.75" x14ac:dyDescent="0.2">
      <c r="A369" s="188">
        <v>1</v>
      </c>
      <c r="B369" s="1346">
        <v>2</v>
      </c>
      <c r="C369" s="1346"/>
      <c r="D369" s="1346"/>
      <c r="E369" s="1346">
        <v>3</v>
      </c>
      <c r="F369" s="1346"/>
      <c r="G369" s="1346">
        <v>4</v>
      </c>
      <c r="H369" s="1346"/>
      <c r="I369" s="1346">
        <v>5</v>
      </c>
      <c r="J369" s="1346"/>
    </row>
    <row r="370" spans="1:12" s="44" customFormat="1" ht="33.75" customHeight="1" x14ac:dyDescent="0.2">
      <c r="A370" s="1333" t="s">
        <v>748</v>
      </c>
      <c r="B370" s="1334"/>
      <c r="C370" s="1334"/>
      <c r="D370" s="1334"/>
      <c r="E370" s="1334"/>
      <c r="F370" s="1334"/>
      <c r="G370" s="1334"/>
      <c r="H370" s="1334"/>
      <c r="I370" s="1334"/>
      <c r="J370" s="1335"/>
    </row>
    <row r="371" spans="1:12" s="44" customFormat="1" ht="15" customHeight="1" x14ac:dyDescent="0.25">
      <c r="A371" s="409">
        <v>1</v>
      </c>
      <c r="B371" s="1330" t="s">
        <v>776</v>
      </c>
      <c r="C371" s="1331"/>
      <c r="D371" s="1332"/>
      <c r="E371" s="405"/>
      <c r="F371" s="407"/>
      <c r="G371" s="1196"/>
      <c r="H371" s="1196"/>
      <c r="I371" s="1240">
        <v>3300</v>
      </c>
      <c r="J371" s="1133"/>
      <c r="K371" s="1240">
        <v>4000</v>
      </c>
      <c r="L371" s="1133"/>
    </row>
    <row r="372" spans="1:12" s="44" customFormat="1" ht="15.75" x14ac:dyDescent="0.25">
      <c r="A372" s="409">
        <v>2</v>
      </c>
      <c r="B372" s="1330" t="s">
        <v>777</v>
      </c>
      <c r="C372" s="1331"/>
      <c r="D372" s="1332"/>
      <c r="E372" s="405"/>
      <c r="F372" s="407"/>
      <c r="G372" s="403"/>
      <c r="H372" s="404"/>
      <c r="I372" s="1261">
        <v>4200</v>
      </c>
      <c r="J372" s="1262"/>
      <c r="K372" s="1261">
        <v>3000</v>
      </c>
      <c r="L372" s="1262"/>
    </row>
    <row r="373" spans="1:12" s="44" customFormat="1" ht="15.75" x14ac:dyDescent="0.25">
      <c r="A373" s="409">
        <v>3</v>
      </c>
      <c r="B373" s="1330" t="s">
        <v>778</v>
      </c>
      <c r="C373" s="1331"/>
      <c r="D373" s="1332"/>
      <c r="E373" s="405"/>
      <c r="F373" s="407"/>
      <c r="G373" s="403"/>
      <c r="H373" s="404"/>
      <c r="I373" s="1261">
        <v>420</v>
      </c>
      <c r="J373" s="1262"/>
      <c r="K373" s="1261">
        <v>520</v>
      </c>
      <c r="L373" s="1262"/>
    </row>
    <row r="374" spans="1:12" s="44" customFormat="1" ht="15.75" x14ac:dyDescent="0.25">
      <c r="A374" s="409">
        <v>4</v>
      </c>
      <c r="B374" s="1330" t="s">
        <v>779</v>
      </c>
      <c r="C374" s="1331"/>
      <c r="D374" s="1332"/>
      <c r="E374" s="405"/>
      <c r="F374" s="407"/>
      <c r="G374" s="403"/>
      <c r="H374" s="404"/>
      <c r="I374" s="1261">
        <v>1500</v>
      </c>
      <c r="J374" s="1262"/>
      <c r="K374" s="1261">
        <v>1345</v>
      </c>
      <c r="L374" s="1262"/>
    </row>
    <row r="375" spans="1:12" s="44" customFormat="1" ht="15.75" hidden="1" x14ac:dyDescent="0.25">
      <c r="A375" s="501"/>
      <c r="B375" s="1327"/>
      <c r="C375" s="1328"/>
      <c r="D375" s="1329"/>
      <c r="E375" s="500"/>
      <c r="F375" s="499"/>
      <c r="G375" s="497"/>
      <c r="H375" s="498"/>
      <c r="I375" s="1261">
        <v>0</v>
      </c>
      <c r="J375" s="1262"/>
      <c r="K375" s="511"/>
      <c r="L375" s="511"/>
    </row>
    <row r="376" spans="1:12" s="44" customFormat="1" ht="15.75" hidden="1" x14ac:dyDescent="0.25">
      <c r="A376" s="478">
        <v>5</v>
      </c>
      <c r="B376" s="1330" t="s">
        <v>780</v>
      </c>
      <c r="C376" s="1331"/>
      <c r="D376" s="1332"/>
      <c r="E376" s="477"/>
      <c r="F376" s="476"/>
      <c r="G376" s="474"/>
      <c r="H376" s="475"/>
      <c r="I376" s="1261">
        <v>0</v>
      </c>
      <c r="J376" s="1262"/>
    </row>
    <row r="377" spans="1:12" s="44" customFormat="1" ht="15" customHeight="1" x14ac:dyDescent="0.25">
      <c r="A377" s="95"/>
      <c r="B377" s="1338" t="s">
        <v>13</v>
      </c>
      <c r="C377" s="1338"/>
      <c r="D377" s="1338"/>
      <c r="E377" s="1348" t="s">
        <v>74</v>
      </c>
      <c r="F377" s="1348"/>
      <c r="G377" s="1341" t="s">
        <v>14</v>
      </c>
      <c r="H377" s="1341"/>
      <c r="I377" s="1347">
        <f>I371+I372+I373+I374+I376+I375</f>
        <v>9420</v>
      </c>
      <c r="J377" s="1341"/>
    </row>
    <row r="378" spans="1:12" s="44" customFormat="1" ht="18.75" hidden="1" customHeight="1" x14ac:dyDescent="0.25">
      <c r="A378" s="95"/>
      <c r="B378" s="1341" t="s">
        <v>563</v>
      </c>
      <c r="C378" s="1341"/>
      <c r="D378" s="1341"/>
      <c r="E378" s="1348"/>
      <c r="F378" s="1348"/>
      <c r="G378" s="1341"/>
      <c r="H378" s="1341"/>
      <c r="I378" s="1347">
        <f>I377</f>
        <v>9420</v>
      </c>
      <c r="J378" s="1347"/>
    </row>
    <row r="379" spans="1:12" s="44" customFormat="1" ht="48" hidden="1" customHeight="1" x14ac:dyDescent="0.25">
      <c r="A379" s="95" t="s">
        <v>36</v>
      </c>
      <c r="B379" s="1099" t="s">
        <v>500</v>
      </c>
      <c r="C379" s="1100"/>
      <c r="D379" s="1101"/>
      <c r="E379" s="158"/>
      <c r="F379" s="159"/>
      <c r="G379" s="1196"/>
      <c r="H379" s="1196"/>
      <c r="I379" s="1240"/>
      <c r="J379" s="1133"/>
    </row>
    <row r="380" spans="1:12" s="44" customFormat="1" ht="48" hidden="1" customHeight="1" x14ac:dyDescent="0.25">
      <c r="A380" s="187" t="s">
        <v>77</v>
      </c>
      <c r="B380" s="1357" t="s">
        <v>479</v>
      </c>
      <c r="C380" s="1358"/>
      <c r="D380" s="1359"/>
      <c r="E380" s="1349"/>
      <c r="F380" s="1350"/>
      <c r="G380" s="1349"/>
      <c r="H380" s="1350"/>
      <c r="I380" s="1351">
        <f>I381+I382</f>
        <v>0</v>
      </c>
      <c r="J380" s="1352"/>
    </row>
    <row r="381" spans="1:12" s="44" customFormat="1" ht="30" hidden="1" customHeight="1" x14ac:dyDescent="0.25">
      <c r="A381" s="95" t="s">
        <v>374</v>
      </c>
      <c r="B381" s="1099" t="s">
        <v>504</v>
      </c>
      <c r="C381" s="1100"/>
      <c r="D381" s="1101"/>
      <c r="E381" s="158"/>
      <c r="F381" s="159"/>
      <c r="G381" s="1044"/>
      <c r="H381" s="1045"/>
      <c r="I381" s="1261"/>
      <c r="J381" s="1262"/>
    </row>
    <row r="382" spans="1:12" ht="16.5" hidden="1" customHeight="1" x14ac:dyDescent="0.25">
      <c r="A382" s="95" t="s">
        <v>503</v>
      </c>
      <c r="B382" s="1245"/>
      <c r="C382" s="1245"/>
      <c r="D382" s="1245"/>
      <c r="E382" s="158"/>
      <c r="F382" s="159"/>
      <c r="G382" s="1196"/>
      <c r="H382" s="1196"/>
      <c r="I382" s="1240"/>
      <c r="J382" s="1133"/>
    </row>
    <row r="383" spans="1:12" x14ac:dyDescent="0.25">
      <c r="A383" s="95"/>
      <c r="B383" s="1338" t="s">
        <v>13</v>
      </c>
      <c r="C383" s="1338"/>
      <c r="D383" s="1338"/>
      <c r="E383" s="1342" t="s">
        <v>74</v>
      </c>
      <c r="F383" s="1343"/>
      <c r="G383" s="1341" t="s">
        <v>14</v>
      </c>
      <c r="H383" s="1341"/>
      <c r="I383" s="1347">
        <f>SUM(I371:J376)</f>
        <v>9420</v>
      </c>
      <c r="J383" s="1341"/>
    </row>
    <row r="384" spans="1:12" ht="56.25" hidden="1" customHeight="1" x14ac:dyDescent="0.25">
      <c r="A384" s="1333" t="s">
        <v>572</v>
      </c>
      <c r="B384" s="1334"/>
      <c r="C384" s="1334"/>
      <c r="D384" s="1334"/>
      <c r="E384" s="1334"/>
      <c r="F384" s="1334"/>
      <c r="G384" s="1334"/>
      <c r="H384" s="1334"/>
      <c r="I384" s="1334"/>
      <c r="J384" s="1335"/>
    </row>
    <row r="385" spans="1:11" ht="15.75" hidden="1" x14ac:dyDescent="0.25">
      <c r="A385" s="262">
        <v>1</v>
      </c>
      <c r="B385" s="1367" t="s">
        <v>570</v>
      </c>
      <c r="C385" s="1367"/>
      <c r="D385" s="1367"/>
      <c r="E385" s="264"/>
      <c r="F385" s="264"/>
      <c r="G385" s="1341"/>
      <c r="H385" s="1341"/>
      <c r="I385" s="1366">
        <v>0</v>
      </c>
      <c r="J385" s="1366"/>
    </row>
    <row r="386" spans="1:11" hidden="1" x14ac:dyDescent="0.25">
      <c r="A386" s="95"/>
      <c r="B386" s="1341"/>
      <c r="C386" s="1341"/>
      <c r="D386" s="1341"/>
      <c r="E386" s="264"/>
      <c r="F386" s="264"/>
      <c r="G386" s="1341"/>
      <c r="H386" s="1341"/>
      <c r="I386" s="1347">
        <f>I385</f>
        <v>0</v>
      </c>
      <c r="J386" s="1347"/>
    </row>
    <row r="387" spans="1:11" ht="15.75" x14ac:dyDescent="0.25">
      <c r="A387" s="1368" t="s">
        <v>501</v>
      </c>
      <c r="B387" s="1368"/>
      <c r="C387" s="1368"/>
      <c r="D387" s="1368"/>
      <c r="E387" s="1368"/>
      <c r="F387" s="1368"/>
      <c r="G387" s="1368"/>
      <c r="H387" s="1368"/>
      <c r="I387" s="1368"/>
      <c r="J387" s="1368"/>
    </row>
    <row r="388" spans="1:11" ht="25.5" x14ac:dyDescent="0.25">
      <c r="A388" s="188" t="s">
        <v>1</v>
      </c>
      <c r="B388" s="1346" t="s">
        <v>15</v>
      </c>
      <c r="C388" s="1346"/>
      <c r="D388" s="1346"/>
      <c r="E388" s="1346" t="s">
        <v>58</v>
      </c>
      <c r="F388" s="1346"/>
      <c r="G388" s="1346" t="s">
        <v>66</v>
      </c>
      <c r="H388" s="1346"/>
      <c r="I388" s="1346" t="s">
        <v>260</v>
      </c>
      <c r="J388" s="1346"/>
    </row>
    <row r="389" spans="1:11" x14ac:dyDescent="0.25">
      <c r="A389" s="188">
        <v>1</v>
      </c>
      <c r="B389" s="1346">
        <v>2</v>
      </c>
      <c r="C389" s="1346"/>
      <c r="D389" s="1346"/>
      <c r="E389" s="1346">
        <v>3</v>
      </c>
      <c r="F389" s="1346"/>
      <c r="G389" s="1346">
        <v>4</v>
      </c>
      <c r="H389" s="1346"/>
      <c r="I389" s="1346">
        <v>5</v>
      </c>
      <c r="J389" s="1346"/>
    </row>
    <row r="390" spans="1:11" ht="46.5" customHeight="1" x14ac:dyDescent="0.25">
      <c r="A390" s="1333" t="s">
        <v>748</v>
      </c>
      <c r="B390" s="1334"/>
      <c r="C390" s="1334"/>
      <c r="D390" s="1334"/>
      <c r="E390" s="1334"/>
      <c r="F390" s="1334"/>
      <c r="G390" s="1334"/>
      <c r="H390" s="1334"/>
      <c r="I390" s="1334"/>
      <c r="J390" s="1335"/>
    </row>
    <row r="391" spans="1:11" ht="21.75" customHeight="1" x14ac:dyDescent="0.25">
      <c r="A391" s="188">
        <v>1</v>
      </c>
      <c r="B391" s="1330" t="s">
        <v>773</v>
      </c>
      <c r="C391" s="1331"/>
      <c r="D391" s="1332"/>
      <c r="E391" s="158"/>
      <c r="F391" s="159"/>
      <c r="G391" s="1196"/>
      <c r="H391" s="1196"/>
      <c r="I391" s="1240">
        <v>2700</v>
      </c>
      <c r="J391" s="1133"/>
    </row>
    <row r="392" spans="1:11" ht="19.5" customHeight="1" x14ac:dyDescent="0.25">
      <c r="A392" s="478">
        <v>2</v>
      </c>
      <c r="B392" s="1322" t="s">
        <v>774</v>
      </c>
      <c r="C392" s="1322"/>
      <c r="D392" s="1322"/>
      <c r="E392" s="477"/>
      <c r="F392" s="476"/>
      <c r="G392" s="1044"/>
      <c r="H392" s="1045"/>
      <c r="I392" s="1291">
        <f>3150+540+900</f>
        <v>4590</v>
      </c>
      <c r="J392" s="1291"/>
    </row>
    <row r="393" spans="1:11" ht="19.5" hidden="1" customHeight="1" x14ac:dyDescent="0.25">
      <c r="A393" s="478">
        <v>3</v>
      </c>
      <c r="B393" s="1322" t="s">
        <v>775</v>
      </c>
      <c r="C393" s="1322"/>
      <c r="D393" s="1322"/>
      <c r="E393" s="477"/>
      <c r="F393" s="476"/>
      <c r="G393" s="1196"/>
      <c r="H393" s="1196"/>
      <c r="I393" s="1291">
        <v>0</v>
      </c>
      <c r="J393" s="1291"/>
    </row>
    <row r="394" spans="1:11" ht="37.5" customHeight="1" x14ac:dyDescent="0.25">
      <c r="A394" s="1333" t="s">
        <v>747</v>
      </c>
      <c r="B394" s="1334"/>
      <c r="C394" s="1334"/>
      <c r="D394" s="1334"/>
      <c r="E394" s="1334"/>
      <c r="F394" s="1334"/>
      <c r="G394" s="1334"/>
      <c r="H394" s="1334"/>
      <c r="I394" s="1334"/>
      <c r="J394" s="1335"/>
    </row>
    <row r="395" spans="1:11" ht="15.75" x14ac:dyDescent="0.25">
      <c r="A395" s="188">
        <v>3</v>
      </c>
      <c r="B395" s="1330" t="s">
        <v>722</v>
      </c>
      <c r="C395" s="1331"/>
      <c r="D395" s="1332"/>
      <c r="E395" s="158"/>
      <c r="F395" s="159"/>
      <c r="G395" s="231"/>
      <c r="H395" s="232"/>
      <c r="I395" s="1261">
        <v>69000</v>
      </c>
      <c r="J395" s="1262"/>
    </row>
    <row r="396" spans="1:11" ht="34.5" customHeight="1" x14ac:dyDescent="0.25">
      <c r="A396" s="1333" t="s">
        <v>749</v>
      </c>
      <c r="B396" s="1334"/>
      <c r="C396" s="1334"/>
      <c r="D396" s="1334"/>
      <c r="E396" s="1334"/>
      <c r="F396" s="1334"/>
      <c r="G396" s="1334"/>
      <c r="H396" s="1334"/>
      <c r="I396" s="1334"/>
      <c r="J396" s="1335"/>
    </row>
    <row r="397" spans="1:11" ht="31.5" customHeight="1" x14ac:dyDescent="0.25">
      <c r="A397" s="409">
        <v>4</v>
      </c>
      <c r="B397" s="1330" t="s">
        <v>723</v>
      </c>
      <c r="C397" s="1331"/>
      <c r="D397" s="1332"/>
      <c r="E397" s="406"/>
      <c r="F397" s="408"/>
      <c r="G397" s="403"/>
      <c r="H397" s="404"/>
      <c r="I397" s="1261">
        <v>106000</v>
      </c>
      <c r="J397" s="1262"/>
    </row>
    <row r="398" spans="1:11" x14ac:dyDescent="0.25">
      <c r="A398" s="95"/>
      <c r="B398" s="1338" t="s">
        <v>13</v>
      </c>
      <c r="C398" s="1338"/>
      <c r="D398" s="1338"/>
      <c r="E398" s="1342" t="s">
        <v>74</v>
      </c>
      <c r="F398" s="1343"/>
      <c r="G398" s="1341" t="s">
        <v>14</v>
      </c>
      <c r="H398" s="1341"/>
      <c r="I398" s="1347">
        <f>I391+I392+I395+I397+I393</f>
        <v>182290</v>
      </c>
      <c r="J398" s="1341"/>
    </row>
    <row r="399" spans="1:11" ht="23.25" customHeight="1" x14ac:dyDescent="0.25">
      <c r="A399" s="95"/>
      <c r="B399" s="1338" t="s">
        <v>13</v>
      </c>
      <c r="C399" s="1338"/>
      <c r="D399" s="1338"/>
      <c r="E399" s="1325"/>
      <c r="F399" s="1326"/>
      <c r="G399" s="1372"/>
      <c r="H399" s="1372"/>
      <c r="I399" s="1336">
        <f>I338+I383+I398+I366+I331+I386+I345+I352</f>
        <v>191710</v>
      </c>
      <c r="J399" s="1337"/>
      <c r="K399" s="166">
        <f>I398+I383+I366+I331</f>
        <v>191710</v>
      </c>
    </row>
    <row r="400" spans="1:11" ht="15.75" hidden="1" x14ac:dyDescent="0.25">
      <c r="A400" s="1413" t="s">
        <v>378</v>
      </c>
      <c r="B400" s="1413"/>
      <c r="C400" s="1413"/>
      <c r="D400" s="1413"/>
      <c r="E400" s="1413"/>
      <c r="F400" s="1413"/>
      <c r="G400" s="1413"/>
      <c r="H400" s="1413"/>
      <c r="I400" s="1413"/>
      <c r="J400" s="1413"/>
    </row>
    <row r="401" spans="1:10" hidden="1" x14ac:dyDescent="0.25">
      <c r="A401" s="1414" t="s">
        <v>1</v>
      </c>
      <c r="B401" s="1416" t="s">
        <v>15</v>
      </c>
      <c r="C401" s="1417"/>
      <c r="D401" s="1418"/>
      <c r="E401" s="1416" t="s">
        <v>64</v>
      </c>
      <c r="F401" s="1418"/>
      <c r="G401" s="1346" t="s">
        <v>65</v>
      </c>
      <c r="H401" s="1346"/>
      <c r="I401" s="1346"/>
      <c r="J401" s="1346"/>
    </row>
    <row r="402" spans="1:10" ht="25.5" hidden="1" x14ac:dyDescent="0.25">
      <c r="A402" s="1415"/>
      <c r="B402" s="1419"/>
      <c r="C402" s="1420"/>
      <c r="D402" s="1421"/>
      <c r="E402" s="1419"/>
      <c r="F402" s="1421"/>
      <c r="G402" s="188" t="s">
        <v>298</v>
      </c>
      <c r="H402" s="188" t="s">
        <v>295</v>
      </c>
      <c r="I402" s="188" t="s">
        <v>296</v>
      </c>
      <c r="J402" s="188" t="s">
        <v>297</v>
      </c>
    </row>
    <row r="403" spans="1:10" hidden="1" x14ac:dyDescent="0.25">
      <c r="A403" s="188">
        <v>1</v>
      </c>
      <c r="B403" s="1346">
        <v>2</v>
      </c>
      <c r="C403" s="1346"/>
      <c r="D403" s="1346"/>
      <c r="E403" s="1344">
        <v>3</v>
      </c>
      <c r="F403" s="1345"/>
      <c r="G403" s="1346">
        <v>4</v>
      </c>
      <c r="H403" s="1346"/>
      <c r="I403" s="1346"/>
      <c r="J403" s="1346"/>
    </row>
    <row r="404" spans="1:10" hidden="1" x14ac:dyDescent="0.25">
      <c r="A404" s="191" t="s">
        <v>70</v>
      </c>
      <c r="B404" s="1386" t="s">
        <v>339</v>
      </c>
      <c r="C404" s="1386"/>
      <c r="D404" s="1386"/>
      <c r="E404" s="1387">
        <v>1</v>
      </c>
      <c r="F404" s="1388"/>
      <c r="G404" s="191" t="s">
        <v>299</v>
      </c>
      <c r="H404" s="191">
        <v>1</v>
      </c>
      <c r="I404" s="92"/>
      <c r="J404" s="101">
        <v>0</v>
      </c>
    </row>
    <row r="405" spans="1:10" hidden="1" x14ac:dyDescent="0.25">
      <c r="A405" s="191" t="s">
        <v>75</v>
      </c>
      <c r="B405" s="1386" t="s">
        <v>340</v>
      </c>
      <c r="C405" s="1386"/>
      <c r="D405" s="1386"/>
      <c r="E405" s="1387">
        <v>1</v>
      </c>
      <c r="F405" s="1388"/>
      <c r="G405" s="191" t="s">
        <v>299</v>
      </c>
      <c r="H405" s="191">
        <v>1</v>
      </c>
      <c r="I405" s="92"/>
      <c r="J405" s="101">
        <f t="shared" ref="J405:J406" si="16">H405*I405</f>
        <v>0</v>
      </c>
    </row>
    <row r="406" spans="1:10" hidden="1" x14ac:dyDescent="0.25">
      <c r="A406" s="191" t="s">
        <v>77</v>
      </c>
      <c r="B406" s="1386" t="s">
        <v>335</v>
      </c>
      <c r="C406" s="1386"/>
      <c r="D406" s="1386"/>
      <c r="E406" s="1387">
        <v>1</v>
      </c>
      <c r="F406" s="1388"/>
      <c r="G406" s="191" t="s">
        <v>299</v>
      </c>
      <c r="H406" s="190">
        <v>1</v>
      </c>
      <c r="I406" s="92"/>
      <c r="J406" s="101">
        <f t="shared" si="16"/>
        <v>0</v>
      </c>
    </row>
    <row r="407" spans="1:10" ht="15.75" hidden="1" x14ac:dyDescent="0.25">
      <c r="A407" s="168"/>
      <c r="B407" s="1393" t="s">
        <v>13</v>
      </c>
      <c r="C407" s="1393"/>
      <c r="D407" s="1393"/>
      <c r="E407" s="1394" t="s">
        <v>14</v>
      </c>
      <c r="F407" s="1395"/>
      <c r="G407" s="1396">
        <f>SUM(J404:J406)</f>
        <v>0</v>
      </c>
      <c r="H407" s="1397"/>
      <c r="I407" s="1397"/>
      <c r="J407" s="1397"/>
    </row>
    <row r="408" spans="1:10" hidden="1" x14ac:dyDescent="0.25">
      <c r="A408" s="81"/>
      <c r="B408" s="81"/>
      <c r="C408" s="81"/>
      <c r="D408" s="81"/>
      <c r="E408" s="81"/>
      <c r="F408" s="81"/>
      <c r="G408" s="81"/>
      <c r="H408" s="81"/>
      <c r="I408" s="81"/>
      <c r="J408" s="81"/>
    </row>
    <row r="409" spans="1:10" ht="32.25" customHeight="1" x14ac:dyDescent="0.25">
      <c r="A409" s="81"/>
      <c r="B409" s="81"/>
      <c r="C409" s="81"/>
      <c r="D409" s="81"/>
      <c r="E409" s="81"/>
      <c r="F409" s="81"/>
      <c r="G409" s="81"/>
      <c r="H409" s="96" t="s">
        <v>212</v>
      </c>
      <c r="I409" s="1441">
        <f>J87+J94+I122+I162+I183+I199+I213+I241+G271+I307+I399+G407+I172+I321+G310</f>
        <v>6092799.9960000003</v>
      </c>
      <c r="J409" s="1441"/>
    </row>
    <row r="410" spans="1:10" x14ac:dyDescent="0.25">
      <c r="A410" s="81"/>
      <c r="B410" s="81"/>
      <c r="C410" s="81"/>
      <c r="D410" s="81"/>
      <c r="E410" s="81"/>
      <c r="F410" s="81"/>
      <c r="G410" s="81"/>
      <c r="H410" s="97" t="s">
        <v>248</v>
      </c>
      <c r="I410" s="81"/>
      <c r="J410" s="81"/>
    </row>
    <row r="411" spans="1:10" ht="17.25" x14ac:dyDescent="0.4">
      <c r="A411" s="81"/>
      <c r="B411" s="81"/>
      <c r="C411" s="81"/>
      <c r="D411" s="81"/>
      <c r="E411" s="81"/>
      <c r="F411" s="81"/>
      <c r="G411" s="81"/>
      <c r="H411" s="97" t="s">
        <v>724</v>
      </c>
      <c r="I411" s="1435">
        <f>I397</f>
        <v>106000</v>
      </c>
      <c r="J411" s="1435"/>
    </row>
    <row r="412" spans="1:10" ht="17.25" x14ac:dyDescent="0.4">
      <c r="A412" s="81"/>
      <c r="B412" s="81"/>
      <c r="C412" s="81"/>
      <c r="D412" s="81"/>
      <c r="E412" s="81"/>
      <c r="F412" s="81"/>
      <c r="G412" s="81"/>
      <c r="H412" s="97" t="s">
        <v>521</v>
      </c>
      <c r="I412" s="1435">
        <f>I103+I120+I121+J279+J280+I357+I371+I372+I373+I374+I391+I392+J281+I319+I320+I393+I376+I375+J282</f>
        <v>379400</v>
      </c>
      <c r="J412" s="1435"/>
    </row>
    <row r="413" spans="1:10" ht="15.75" customHeight="1" x14ac:dyDescent="0.4">
      <c r="A413" s="81"/>
      <c r="B413" s="81"/>
      <c r="C413" s="81"/>
      <c r="D413" s="81"/>
      <c r="E413" s="81"/>
      <c r="F413" s="81"/>
      <c r="G413" s="81"/>
      <c r="H413" s="97" t="s">
        <v>725</v>
      </c>
      <c r="I413" s="1435">
        <f>I395+J287</f>
        <v>89000</v>
      </c>
      <c r="J413" s="1435"/>
    </row>
    <row r="414" spans="1:10" ht="17.25" x14ac:dyDescent="0.4">
      <c r="A414" s="81"/>
      <c r="B414" s="81"/>
      <c r="C414" s="81"/>
      <c r="D414" s="81"/>
      <c r="E414" s="81"/>
      <c r="F414" s="81"/>
      <c r="G414" s="81"/>
      <c r="H414" s="97" t="s">
        <v>522</v>
      </c>
      <c r="I414" s="1435">
        <f>J253+I315+I316</f>
        <v>50000</v>
      </c>
      <c r="J414" s="1435"/>
    </row>
    <row r="415" spans="1:10" hidden="1" x14ac:dyDescent="0.25">
      <c r="A415" s="81"/>
      <c r="B415" s="81"/>
      <c r="C415" s="81"/>
      <c r="D415" s="81"/>
      <c r="E415" s="81"/>
      <c r="F415" s="81"/>
      <c r="G415" s="81"/>
      <c r="H415" s="97" t="s">
        <v>546</v>
      </c>
      <c r="I415" s="1436">
        <f>I172</f>
        <v>0</v>
      </c>
      <c r="J415" s="1436"/>
    </row>
    <row r="416" spans="1:10" hidden="1" x14ac:dyDescent="0.25">
      <c r="A416" s="233"/>
      <c r="B416" s="233"/>
      <c r="C416" s="233"/>
      <c r="D416" s="245"/>
      <c r="E416" s="245"/>
      <c r="F416" s="246"/>
      <c r="G416" s="1412" t="s">
        <v>551</v>
      </c>
      <c r="H416" s="1412"/>
      <c r="I416" s="1411">
        <v>0</v>
      </c>
      <c r="J416" s="1440"/>
    </row>
    <row r="417" spans="1:10" ht="14.25" hidden="1" customHeight="1" x14ac:dyDescent="0.25">
      <c r="A417" s="233"/>
      <c r="B417" s="233"/>
      <c r="C417" s="233"/>
      <c r="D417" s="1412" t="s">
        <v>561</v>
      </c>
      <c r="E417" s="1412"/>
      <c r="F417" s="1412"/>
      <c r="G417" s="1412"/>
      <c r="H417" s="1412"/>
      <c r="I417" s="1411">
        <f>J257</f>
        <v>0</v>
      </c>
      <c r="J417" s="1411"/>
    </row>
    <row r="418" spans="1:10" ht="16.5" hidden="1" customHeight="1" x14ac:dyDescent="0.25">
      <c r="A418" s="233"/>
      <c r="B418" s="233"/>
      <c r="C418" s="233"/>
      <c r="D418" s="247"/>
      <c r="E418" s="247"/>
      <c r="F418" s="1412" t="s">
        <v>553</v>
      </c>
      <c r="G418" s="1412"/>
      <c r="H418" s="1412"/>
      <c r="I418" s="1411" t="e">
        <f>#REF!</f>
        <v>#REF!</v>
      </c>
      <c r="J418" s="1411"/>
    </row>
    <row r="419" spans="1:10" x14ac:dyDescent="0.25">
      <c r="A419" s="233"/>
      <c r="B419" s="233"/>
      <c r="C419" s="233"/>
      <c r="D419" s="254"/>
      <c r="E419" s="254"/>
      <c r="F419" s="1438" t="s">
        <v>564</v>
      </c>
      <c r="G419" s="1438"/>
      <c r="H419" s="1438"/>
      <c r="I419" s="1439">
        <f>J68+I144+I93</f>
        <v>5468400</v>
      </c>
      <c r="J419" s="1439"/>
    </row>
    <row r="420" spans="1:10" hidden="1" x14ac:dyDescent="0.25">
      <c r="A420" s="233"/>
      <c r="B420" s="233"/>
      <c r="C420" s="233"/>
      <c r="D420" s="263"/>
      <c r="E420" s="263"/>
      <c r="F420" s="265"/>
      <c r="G420" s="265"/>
      <c r="H420" s="265" t="s">
        <v>571</v>
      </c>
      <c r="I420" s="1411">
        <f>I386</f>
        <v>0</v>
      </c>
      <c r="J420" s="1411"/>
    </row>
    <row r="421" spans="1:10" x14ac:dyDescent="0.25">
      <c r="A421" s="233"/>
      <c r="B421" s="233"/>
      <c r="C421" s="233"/>
      <c r="D421" s="463"/>
      <c r="E421" s="463"/>
      <c r="F421" s="462"/>
      <c r="G421" s="462"/>
      <c r="H421" s="97" t="s">
        <v>761</v>
      </c>
      <c r="I421" s="1439">
        <f>I100+I112+I113+I114+I115+I116+I170+I171</f>
        <v>0</v>
      </c>
      <c r="J421" s="1439"/>
    </row>
    <row r="422" spans="1:10" x14ac:dyDescent="0.25">
      <c r="A422" s="233"/>
      <c r="B422" s="233"/>
      <c r="C422" s="233"/>
      <c r="D422" s="473"/>
      <c r="E422" s="473"/>
      <c r="F422" s="469"/>
      <c r="G422" s="469"/>
      <c r="H422" s="97" t="s">
        <v>764</v>
      </c>
      <c r="I422" s="1439">
        <f>I309</f>
        <v>0</v>
      </c>
      <c r="J422" s="1439"/>
    </row>
    <row r="423" spans="1:10" x14ac:dyDescent="0.25">
      <c r="A423" s="1410" t="s">
        <v>258</v>
      </c>
      <c r="B423" s="1410"/>
      <c r="C423" s="1410"/>
      <c r="D423" s="141"/>
      <c r="E423" s="141"/>
      <c r="F423" s="142" t="s">
        <v>416</v>
      </c>
      <c r="G423" s="142"/>
      <c r="H423" s="142"/>
      <c r="I423" s="142"/>
      <c r="J423" s="45"/>
    </row>
    <row r="424" spans="1:10" x14ac:dyDescent="0.25">
      <c r="A424" s="46"/>
      <c r="B424" s="46"/>
      <c r="C424" s="46"/>
      <c r="D424" s="1236" t="s">
        <v>272</v>
      </c>
      <c r="E424" s="1236"/>
      <c r="F424" s="1237" t="s">
        <v>273</v>
      </c>
      <c r="G424" s="1237"/>
      <c r="H424" s="1237"/>
      <c r="I424" s="1237"/>
      <c r="J424" s="44"/>
    </row>
    <row r="425" spans="1:10" x14ac:dyDescent="0.25">
      <c r="A425" s="1410" t="s">
        <v>415</v>
      </c>
      <c r="B425" s="1410"/>
      <c r="C425" s="1410"/>
      <c r="D425" s="141"/>
      <c r="E425" s="141"/>
      <c r="F425" s="142" t="s">
        <v>417</v>
      </c>
      <c r="G425" s="142"/>
      <c r="H425" s="142"/>
      <c r="I425" s="142"/>
      <c r="J425" s="45"/>
    </row>
    <row r="426" spans="1:10" x14ac:dyDescent="0.25">
      <c r="A426" s="167"/>
      <c r="B426" s="167"/>
      <c r="C426" s="167"/>
      <c r="D426" s="1236" t="s">
        <v>272</v>
      </c>
      <c r="E426" s="1236"/>
      <c r="F426" s="1237" t="s">
        <v>273</v>
      </c>
      <c r="G426" s="1237"/>
      <c r="H426" s="1237"/>
      <c r="I426" s="1237"/>
      <c r="J426" s="44"/>
    </row>
    <row r="427" spans="1:10" x14ac:dyDescent="0.25">
      <c r="A427" s="167"/>
      <c r="B427" s="167"/>
      <c r="C427" s="167"/>
      <c r="D427" s="167"/>
      <c r="E427" s="167"/>
      <c r="F427" s="167"/>
      <c r="G427" s="44"/>
      <c r="H427" s="44"/>
      <c r="I427" s="44"/>
      <c r="J427" s="44"/>
    </row>
    <row r="428" spans="1:10" x14ac:dyDescent="0.25">
      <c r="A428" s="1437" t="s">
        <v>418</v>
      </c>
      <c r="B428" s="1437"/>
      <c r="C428" s="167"/>
      <c r="D428" s="167"/>
      <c r="E428" s="167"/>
      <c r="F428" s="167"/>
      <c r="G428" s="44"/>
      <c r="H428" s="44"/>
      <c r="I428" s="44"/>
      <c r="J428" s="44"/>
    </row>
    <row r="429" spans="1:10" x14ac:dyDescent="0.25">
      <c r="A429" s="167"/>
      <c r="B429" s="167"/>
      <c r="C429" s="167"/>
      <c r="D429" s="167"/>
      <c r="E429" s="167"/>
      <c r="F429" s="167"/>
      <c r="G429" s="44"/>
      <c r="H429" s="44"/>
      <c r="I429" s="44"/>
      <c r="J429" s="44"/>
    </row>
    <row r="430" spans="1:10" x14ac:dyDescent="0.25">
      <c r="A430" s="1434"/>
      <c r="B430" s="1434"/>
      <c r="C430" s="167"/>
      <c r="D430" s="167"/>
      <c r="E430" s="167"/>
      <c r="F430" s="167"/>
      <c r="G430" s="44"/>
      <c r="H430" s="44"/>
      <c r="I430" s="44"/>
      <c r="J430" s="44"/>
    </row>
  </sheetData>
  <mergeCells count="891">
    <mergeCell ref="B118:D118"/>
    <mergeCell ref="E118:F118"/>
    <mergeCell ref="I118:J118"/>
    <mergeCell ref="B121:D121"/>
    <mergeCell ref="E121:F121"/>
    <mergeCell ref="I121:J121"/>
    <mergeCell ref="B124:D124"/>
    <mergeCell ref="B112:D112"/>
    <mergeCell ref="B116:D116"/>
    <mergeCell ref="E112:F112"/>
    <mergeCell ref="I116:J116"/>
    <mergeCell ref="I112:J112"/>
    <mergeCell ref="E116:F116"/>
    <mergeCell ref="B113:D113"/>
    <mergeCell ref="E113:F113"/>
    <mergeCell ref="I113:J113"/>
    <mergeCell ref="B114:D114"/>
    <mergeCell ref="B115:D115"/>
    <mergeCell ref="E114:F114"/>
    <mergeCell ref="E115:F115"/>
    <mergeCell ref="I114:J114"/>
    <mergeCell ref="I115:J115"/>
    <mergeCell ref="A68:I68"/>
    <mergeCell ref="E72:G72"/>
    <mergeCell ref="A396:J396"/>
    <mergeCell ref="I92:J92"/>
    <mergeCell ref="A83:I83"/>
    <mergeCell ref="A85:J85"/>
    <mergeCell ref="A86:B86"/>
    <mergeCell ref="A87:I87"/>
    <mergeCell ref="A82:I82"/>
    <mergeCell ref="A89:J89"/>
    <mergeCell ref="B90:D90"/>
    <mergeCell ref="E90:F90"/>
    <mergeCell ref="G105:H105"/>
    <mergeCell ref="B106:D106"/>
    <mergeCell ref="A99:J99"/>
    <mergeCell ref="A102:J102"/>
    <mergeCell ref="I90:J90"/>
    <mergeCell ref="E96:F96"/>
    <mergeCell ref="B96:D96"/>
    <mergeCell ref="I96:J96"/>
    <mergeCell ref="B93:D93"/>
    <mergeCell ref="I93:J93"/>
    <mergeCell ref="B94:D94"/>
    <mergeCell ref="G90:H90"/>
    <mergeCell ref="A75:J75"/>
    <mergeCell ref="A71:A73"/>
    <mergeCell ref="B71:B73"/>
    <mergeCell ref="C71:C73"/>
    <mergeCell ref="D71:G71"/>
    <mergeCell ref="H71:H73"/>
    <mergeCell ref="I71:I73"/>
    <mergeCell ref="J71:J73"/>
    <mergeCell ref="D72:D73"/>
    <mergeCell ref="A1:J1"/>
    <mergeCell ref="A2:J2"/>
    <mergeCell ref="A3:J3"/>
    <mergeCell ref="A5:J5"/>
    <mergeCell ref="A8:J8"/>
    <mergeCell ref="A9:A11"/>
    <mergeCell ref="B9:B11"/>
    <mergeCell ref="C9:C11"/>
    <mergeCell ref="D9:G9"/>
    <mergeCell ref="H9:H11"/>
    <mergeCell ref="E10:G10"/>
    <mergeCell ref="A56:J56"/>
    <mergeCell ref="A67:B67"/>
    <mergeCell ref="A51:J51"/>
    <mergeCell ref="A36:J36"/>
    <mergeCell ref="I9:I11"/>
    <mergeCell ref="J9:J11"/>
    <mergeCell ref="D10:D11"/>
    <mergeCell ref="A13:J13"/>
    <mergeCell ref="A14:J14"/>
    <mergeCell ref="A22:J22"/>
    <mergeCell ref="A23:J23"/>
    <mergeCell ref="A65:I65"/>
    <mergeCell ref="A66:B66"/>
    <mergeCell ref="G92:H92"/>
    <mergeCell ref="B91:D91"/>
    <mergeCell ref="E91:F91"/>
    <mergeCell ref="G91:H91"/>
    <mergeCell ref="I91:J91"/>
    <mergeCell ref="E93:F93"/>
    <mergeCell ref="G93:H93"/>
    <mergeCell ref="E94:F94"/>
    <mergeCell ref="G94:H94"/>
    <mergeCell ref="B92:D92"/>
    <mergeCell ref="E92:F92"/>
    <mergeCell ref="A95:J95"/>
    <mergeCell ref="B109:D109"/>
    <mergeCell ref="E109:F109"/>
    <mergeCell ref="I109:J109"/>
    <mergeCell ref="A110:J110"/>
    <mergeCell ref="B97:D97"/>
    <mergeCell ref="I97:J97"/>
    <mergeCell ref="G106:H106"/>
    <mergeCell ref="E100:F100"/>
    <mergeCell ref="E101:F101"/>
    <mergeCell ref="E103:F103"/>
    <mergeCell ref="E104:F104"/>
    <mergeCell ref="E105:F105"/>
    <mergeCell ref="E106:F106"/>
    <mergeCell ref="B100:D100"/>
    <mergeCell ref="B101:D101"/>
    <mergeCell ref="B103:D103"/>
    <mergeCell ref="B104:D104"/>
    <mergeCell ref="B105:D105"/>
    <mergeCell ref="E97:F97"/>
    <mergeCell ref="A98:J98"/>
    <mergeCell ref="B108:D108"/>
    <mergeCell ref="I108:J108"/>
    <mergeCell ref="A107:J107"/>
    <mergeCell ref="E108:F108"/>
    <mergeCell ref="B125:D125"/>
    <mergeCell ref="B127:D127"/>
    <mergeCell ref="E127:F127"/>
    <mergeCell ref="B120:D120"/>
    <mergeCell ref="B122:D122"/>
    <mergeCell ref="E122:F122"/>
    <mergeCell ref="E120:F120"/>
    <mergeCell ref="I120:J120"/>
    <mergeCell ref="I122:J122"/>
    <mergeCell ref="A123:J123"/>
    <mergeCell ref="E124:F124"/>
    <mergeCell ref="I124:J124"/>
    <mergeCell ref="E125:F125"/>
    <mergeCell ref="I125:J125"/>
    <mergeCell ref="B126:D126"/>
    <mergeCell ref="E126:F126"/>
    <mergeCell ref="I126:J126"/>
    <mergeCell ref="I127:J127"/>
    <mergeCell ref="A111:J111"/>
    <mergeCell ref="B117:D117"/>
    <mergeCell ref="E117:F117"/>
    <mergeCell ref="A119:J119"/>
    <mergeCell ref="I117:J117"/>
    <mergeCell ref="B137:F137"/>
    <mergeCell ref="G137:H137"/>
    <mergeCell ref="I137:J137"/>
    <mergeCell ref="B138:F138"/>
    <mergeCell ref="B139:F139"/>
    <mergeCell ref="B131:F131"/>
    <mergeCell ref="G131:H131"/>
    <mergeCell ref="I131:J131"/>
    <mergeCell ref="B132:F132"/>
    <mergeCell ref="G132:H132"/>
    <mergeCell ref="I132:J132"/>
    <mergeCell ref="B133:F133"/>
    <mergeCell ref="G133:H133"/>
    <mergeCell ref="I133:J133"/>
    <mergeCell ref="B135:F135"/>
    <mergeCell ref="G135:H135"/>
    <mergeCell ref="I135:J135"/>
    <mergeCell ref="B136:F136"/>
    <mergeCell ref="G136:H136"/>
    <mergeCell ref="I136:J136"/>
    <mergeCell ref="G138:H138"/>
    <mergeCell ref="I138:J138"/>
    <mergeCell ref="G139:H139"/>
    <mergeCell ref="I139:J139"/>
    <mergeCell ref="G155:H155"/>
    <mergeCell ref="I155:J155"/>
    <mergeCell ref="B142:F142"/>
    <mergeCell ref="B143:F143"/>
    <mergeCell ref="B144:F144"/>
    <mergeCell ref="B145:F145"/>
    <mergeCell ref="B146:F146"/>
    <mergeCell ref="B147:F147"/>
    <mergeCell ref="B148:F148"/>
    <mergeCell ref="G144:H144"/>
    <mergeCell ref="I144:J144"/>
    <mergeCell ref="G147:H147"/>
    <mergeCell ref="I147:J147"/>
    <mergeCell ref="G142:H142"/>
    <mergeCell ref="I142:J142"/>
    <mergeCell ref="G143:H143"/>
    <mergeCell ref="I143:J143"/>
    <mergeCell ref="G148:H148"/>
    <mergeCell ref="I148:J148"/>
    <mergeCell ref="G145:H145"/>
    <mergeCell ref="B154:F154"/>
    <mergeCell ref="B155:F155"/>
    <mergeCell ref="G154:H154"/>
    <mergeCell ref="I154:J154"/>
    <mergeCell ref="B156:F156"/>
    <mergeCell ref="B157:F157"/>
    <mergeCell ref="G156:H156"/>
    <mergeCell ref="I161:J161"/>
    <mergeCell ref="G162:H162"/>
    <mergeCell ref="I162:J162"/>
    <mergeCell ref="G159:H159"/>
    <mergeCell ref="I159:J159"/>
    <mergeCell ref="G160:H160"/>
    <mergeCell ref="I160:J160"/>
    <mergeCell ref="B158:F158"/>
    <mergeCell ref="G158:H158"/>
    <mergeCell ref="I158:J158"/>
    <mergeCell ref="B159:F159"/>
    <mergeCell ref="B160:F160"/>
    <mergeCell ref="B161:F161"/>
    <mergeCell ref="B162:F162"/>
    <mergeCell ref="I156:J156"/>
    <mergeCell ref="G157:H157"/>
    <mergeCell ref="I157:J157"/>
    <mergeCell ref="B177:D177"/>
    <mergeCell ref="E177:F177"/>
    <mergeCell ref="G177:H177"/>
    <mergeCell ref="I177:J177"/>
    <mergeCell ref="E178:F178"/>
    <mergeCell ref="B176:D176"/>
    <mergeCell ref="E176:F176"/>
    <mergeCell ref="G176:H176"/>
    <mergeCell ref="I176:J176"/>
    <mergeCell ref="I179:J179"/>
    <mergeCell ref="B180:D180"/>
    <mergeCell ref="G180:H180"/>
    <mergeCell ref="I180:J180"/>
    <mergeCell ref="B181:D181"/>
    <mergeCell ref="G181:H181"/>
    <mergeCell ref="I181:J181"/>
    <mergeCell ref="B178:C179"/>
    <mergeCell ref="E179:F179"/>
    <mergeCell ref="E180:F180"/>
    <mergeCell ref="E181:F181"/>
    <mergeCell ref="G178:H178"/>
    <mergeCell ref="I178:J178"/>
    <mergeCell ref="A178:A179"/>
    <mergeCell ref="B198:D198"/>
    <mergeCell ref="G198:H198"/>
    <mergeCell ref="I198:J198"/>
    <mergeCell ref="E198:F198"/>
    <mergeCell ref="E199:F199"/>
    <mergeCell ref="A200:J200"/>
    <mergeCell ref="B195:D195"/>
    <mergeCell ref="G195:H195"/>
    <mergeCell ref="I195:J195"/>
    <mergeCell ref="I187:J187"/>
    <mergeCell ref="B188:D188"/>
    <mergeCell ref="G188:H188"/>
    <mergeCell ref="I188:J188"/>
    <mergeCell ref="A184:J184"/>
    <mergeCell ref="B182:D182"/>
    <mergeCell ref="G182:H182"/>
    <mergeCell ref="I182:J182"/>
    <mergeCell ref="B183:D183"/>
    <mergeCell ref="G183:H183"/>
    <mergeCell ref="I183:J183"/>
    <mergeCell ref="E182:F182"/>
    <mergeCell ref="E183:F183"/>
    <mergeCell ref="G179:H179"/>
    <mergeCell ref="B204:D204"/>
    <mergeCell ref="G204:H204"/>
    <mergeCell ref="I204:J204"/>
    <mergeCell ref="A203:J203"/>
    <mergeCell ref="B205:D205"/>
    <mergeCell ref="G205:H205"/>
    <mergeCell ref="I205:J205"/>
    <mergeCell ref="B199:D199"/>
    <mergeCell ref="G199:H199"/>
    <mergeCell ref="I199:J199"/>
    <mergeCell ref="A128:J128"/>
    <mergeCell ref="B129:F129"/>
    <mergeCell ref="G129:H129"/>
    <mergeCell ref="I129:J129"/>
    <mergeCell ref="B130:F130"/>
    <mergeCell ref="G130:H130"/>
    <mergeCell ref="I130:J130"/>
    <mergeCell ref="B134:F134"/>
    <mergeCell ref="G134:H134"/>
    <mergeCell ref="I134:J134"/>
    <mergeCell ref="I145:J145"/>
    <mergeCell ref="G146:H146"/>
    <mergeCell ref="I146:J146"/>
    <mergeCell ref="G140:H140"/>
    <mergeCell ref="I140:J140"/>
    <mergeCell ref="G141:H141"/>
    <mergeCell ref="I141:J141"/>
    <mergeCell ref="B140:F140"/>
    <mergeCell ref="B141:F141"/>
    <mergeCell ref="B152:F152"/>
    <mergeCell ref="G152:H152"/>
    <mergeCell ref="I152:J152"/>
    <mergeCell ref="B153:F153"/>
    <mergeCell ref="G153:H153"/>
    <mergeCell ref="I153:J153"/>
    <mergeCell ref="G149:H149"/>
    <mergeCell ref="I149:J149"/>
    <mergeCell ref="G150:H150"/>
    <mergeCell ref="I150:J150"/>
    <mergeCell ref="B149:F149"/>
    <mergeCell ref="B150:F150"/>
    <mergeCell ref="B151:F151"/>
    <mergeCell ref="G151:H151"/>
    <mergeCell ref="I151:J151"/>
    <mergeCell ref="K162:L162"/>
    <mergeCell ref="A163:J163"/>
    <mergeCell ref="E167:F167"/>
    <mergeCell ref="E168:F168"/>
    <mergeCell ref="B170:D170"/>
    <mergeCell ref="E170:F170"/>
    <mergeCell ref="G170:H170"/>
    <mergeCell ref="I170:J170"/>
    <mergeCell ref="A173:J173"/>
    <mergeCell ref="A164:J164"/>
    <mergeCell ref="B168:D168"/>
    <mergeCell ref="G168:H168"/>
    <mergeCell ref="I168:J168"/>
    <mergeCell ref="B167:D167"/>
    <mergeCell ref="G167:H167"/>
    <mergeCell ref="I167:J167"/>
    <mergeCell ref="G172:H172"/>
    <mergeCell ref="I172:J172"/>
    <mergeCell ref="B171:D171"/>
    <mergeCell ref="E171:F171"/>
    <mergeCell ref="G171:H171"/>
    <mergeCell ref="I171:J171"/>
    <mergeCell ref="B172:D172"/>
    <mergeCell ref="E172:F172"/>
    <mergeCell ref="K184:L184"/>
    <mergeCell ref="E188:F188"/>
    <mergeCell ref="E189:F189"/>
    <mergeCell ref="E190:F190"/>
    <mergeCell ref="A191:J191"/>
    <mergeCell ref="A194:J194"/>
    <mergeCell ref="E195:F195"/>
    <mergeCell ref="E196:F196"/>
    <mergeCell ref="E197:F197"/>
    <mergeCell ref="B196:D196"/>
    <mergeCell ref="G196:H196"/>
    <mergeCell ref="I196:J196"/>
    <mergeCell ref="B197:D197"/>
    <mergeCell ref="G197:H197"/>
    <mergeCell ref="I197:J197"/>
    <mergeCell ref="B189:D189"/>
    <mergeCell ref="G189:H189"/>
    <mergeCell ref="I189:J189"/>
    <mergeCell ref="B190:D190"/>
    <mergeCell ref="G190:H190"/>
    <mergeCell ref="I190:J190"/>
    <mergeCell ref="B187:D187"/>
    <mergeCell ref="E187:F187"/>
    <mergeCell ref="G187:H187"/>
    <mergeCell ref="B206:D206"/>
    <mergeCell ref="G206:H206"/>
    <mergeCell ref="I206:J206"/>
    <mergeCell ref="B207:D207"/>
    <mergeCell ref="G207:H207"/>
    <mergeCell ref="I207:J207"/>
    <mergeCell ref="G208:H208"/>
    <mergeCell ref="I208:J208"/>
    <mergeCell ref="G209:H209"/>
    <mergeCell ref="I209:J209"/>
    <mergeCell ref="B208:D208"/>
    <mergeCell ref="B209:D209"/>
    <mergeCell ref="G210:H210"/>
    <mergeCell ref="I210:J210"/>
    <mergeCell ref="G211:H211"/>
    <mergeCell ref="I211:J211"/>
    <mergeCell ref="G212:H212"/>
    <mergeCell ref="I212:J212"/>
    <mergeCell ref="B213:D213"/>
    <mergeCell ref="G213:H213"/>
    <mergeCell ref="I213:J213"/>
    <mergeCell ref="B211:D211"/>
    <mergeCell ref="B212:D212"/>
    <mergeCell ref="B210:D210"/>
    <mergeCell ref="A215:J215"/>
    <mergeCell ref="B216:D216"/>
    <mergeCell ref="E216:F216"/>
    <mergeCell ref="G216:H216"/>
    <mergeCell ref="I216:J216"/>
    <mergeCell ref="B217:D217"/>
    <mergeCell ref="E217:F217"/>
    <mergeCell ref="G217:H217"/>
    <mergeCell ref="I217:J217"/>
    <mergeCell ref="B218:D218"/>
    <mergeCell ref="E218:F218"/>
    <mergeCell ref="G218:H218"/>
    <mergeCell ref="I218:J218"/>
    <mergeCell ref="B219:D219"/>
    <mergeCell ref="E219:F219"/>
    <mergeCell ref="G219:H219"/>
    <mergeCell ref="I219:J219"/>
    <mergeCell ref="A220:J220"/>
    <mergeCell ref="B221:D221"/>
    <mergeCell ref="F221:G221"/>
    <mergeCell ref="I221:J221"/>
    <mergeCell ref="B222:D222"/>
    <mergeCell ref="F222:G222"/>
    <mergeCell ref="I222:J222"/>
    <mergeCell ref="B223:D223"/>
    <mergeCell ref="F223:G223"/>
    <mergeCell ref="I223:J223"/>
    <mergeCell ref="B224:D224"/>
    <mergeCell ref="F224:G224"/>
    <mergeCell ref="I224:J224"/>
    <mergeCell ref="B225:D225"/>
    <mergeCell ref="F225:G225"/>
    <mergeCell ref="I225:J225"/>
    <mergeCell ref="B226:D226"/>
    <mergeCell ref="F226:G226"/>
    <mergeCell ref="I226:J226"/>
    <mergeCell ref="B227:D227"/>
    <mergeCell ref="F227:G227"/>
    <mergeCell ref="I227:J227"/>
    <mergeCell ref="B228:D228"/>
    <mergeCell ref="F228:G228"/>
    <mergeCell ref="I228:J228"/>
    <mergeCell ref="B229:D229"/>
    <mergeCell ref="F229:G229"/>
    <mergeCell ref="I229:J229"/>
    <mergeCell ref="B230:D230"/>
    <mergeCell ref="F230:G230"/>
    <mergeCell ref="I230:J230"/>
    <mergeCell ref="B231:D231"/>
    <mergeCell ref="F231:G231"/>
    <mergeCell ref="I231:J231"/>
    <mergeCell ref="B232:D232"/>
    <mergeCell ref="F232:G232"/>
    <mergeCell ref="I232:J232"/>
    <mergeCell ref="B233:D233"/>
    <mergeCell ref="F233:G233"/>
    <mergeCell ref="I233:J233"/>
    <mergeCell ref="B234:D234"/>
    <mergeCell ref="F234:G234"/>
    <mergeCell ref="I234:J234"/>
    <mergeCell ref="B235:D235"/>
    <mergeCell ref="F235:G235"/>
    <mergeCell ref="I235:J235"/>
    <mergeCell ref="B236:D236"/>
    <mergeCell ref="F236:G236"/>
    <mergeCell ref="I236:J236"/>
    <mergeCell ref="B237:D237"/>
    <mergeCell ref="F237:G237"/>
    <mergeCell ref="I237:J237"/>
    <mergeCell ref="B238:D238"/>
    <mergeCell ref="F238:G238"/>
    <mergeCell ref="I238:J238"/>
    <mergeCell ref="B239:D239"/>
    <mergeCell ref="F239:G239"/>
    <mergeCell ref="I239:J239"/>
    <mergeCell ref="B240:D240"/>
    <mergeCell ref="F240:G240"/>
    <mergeCell ref="I240:J240"/>
    <mergeCell ref="B241:D241"/>
    <mergeCell ref="F241:G241"/>
    <mergeCell ref="I241:J241"/>
    <mergeCell ref="A242:J242"/>
    <mergeCell ref="B243:D243"/>
    <mergeCell ref="E243:F243"/>
    <mergeCell ref="G243:H243"/>
    <mergeCell ref="I243:J243"/>
    <mergeCell ref="B244:D244"/>
    <mergeCell ref="E244:F244"/>
    <mergeCell ref="G244:H244"/>
    <mergeCell ref="I244:J244"/>
    <mergeCell ref="B245:D245"/>
    <mergeCell ref="E245:F245"/>
    <mergeCell ref="G245:H245"/>
    <mergeCell ref="I245:J245"/>
    <mergeCell ref="B246:D246"/>
    <mergeCell ref="E246:F246"/>
    <mergeCell ref="G246:H246"/>
    <mergeCell ref="I246:J246"/>
    <mergeCell ref="A247:J247"/>
    <mergeCell ref="B253:D253"/>
    <mergeCell ref="B257:D257"/>
    <mergeCell ref="B258:D258"/>
    <mergeCell ref="B259:D259"/>
    <mergeCell ref="A248:A249"/>
    <mergeCell ref="B248:D249"/>
    <mergeCell ref="E248:E249"/>
    <mergeCell ref="F248:F249"/>
    <mergeCell ref="A251:J251"/>
    <mergeCell ref="G248:J248"/>
    <mergeCell ref="B250:D250"/>
    <mergeCell ref="G250:J250"/>
    <mergeCell ref="B252:D252"/>
    <mergeCell ref="A256:J256"/>
    <mergeCell ref="B254:D254"/>
    <mergeCell ref="B255:D255"/>
    <mergeCell ref="E284:F284"/>
    <mergeCell ref="B277:D277"/>
    <mergeCell ref="E277:F277"/>
    <mergeCell ref="B279:D279"/>
    <mergeCell ref="E279:F279"/>
    <mergeCell ref="B280:D280"/>
    <mergeCell ref="E280:F280"/>
    <mergeCell ref="B260:D260"/>
    <mergeCell ref="B261:D261"/>
    <mergeCell ref="B262:D262"/>
    <mergeCell ref="B263:D263"/>
    <mergeCell ref="B264:D264"/>
    <mergeCell ref="B265:D265"/>
    <mergeCell ref="B266:D266"/>
    <mergeCell ref="B267:D267"/>
    <mergeCell ref="B268:D268"/>
    <mergeCell ref="B275:D275"/>
    <mergeCell ref="E275:F275"/>
    <mergeCell ref="B281:D281"/>
    <mergeCell ref="E281:F281"/>
    <mergeCell ref="A278:J278"/>
    <mergeCell ref="A276:J276"/>
    <mergeCell ref="B282:D282"/>
    <mergeCell ref="E282:F282"/>
    <mergeCell ref="G275:J275"/>
    <mergeCell ref="B269:D269"/>
    <mergeCell ref="B270:D270"/>
    <mergeCell ref="B271:D271"/>
    <mergeCell ref="G271:J271"/>
    <mergeCell ref="A272:J272"/>
    <mergeCell ref="A273:A274"/>
    <mergeCell ref="B273:D274"/>
    <mergeCell ref="E273:F274"/>
    <mergeCell ref="G273:J273"/>
    <mergeCell ref="B284:D284"/>
    <mergeCell ref="E319:F319"/>
    <mergeCell ref="A311:J311"/>
    <mergeCell ref="B312:D312"/>
    <mergeCell ref="E312:F312"/>
    <mergeCell ref="G312:H312"/>
    <mergeCell ref="I312:J312"/>
    <mergeCell ref="B313:D313"/>
    <mergeCell ref="E313:F313"/>
    <mergeCell ref="G313:H313"/>
    <mergeCell ref="G319:H319"/>
    <mergeCell ref="I319:J319"/>
    <mergeCell ref="E303:F303"/>
    <mergeCell ref="A302:J302"/>
    <mergeCell ref="A308:J308"/>
    <mergeCell ref="B309:D309"/>
    <mergeCell ref="G309:H309"/>
    <mergeCell ref="I309:J309"/>
    <mergeCell ref="B306:D306"/>
    <mergeCell ref="E306:F306"/>
    <mergeCell ref="G306:H306"/>
    <mergeCell ref="I306:J306"/>
    <mergeCell ref="B307:D307"/>
    <mergeCell ref="E307:F307"/>
    <mergeCell ref="B404:D404"/>
    <mergeCell ref="B398:D398"/>
    <mergeCell ref="B285:D285"/>
    <mergeCell ref="E285:F285"/>
    <mergeCell ref="B287:D287"/>
    <mergeCell ref="E287:F287"/>
    <mergeCell ref="G307:H307"/>
    <mergeCell ref="I307:J307"/>
    <mergeCell ref="A299:J299"/>
    <mergeCell ref="E300:F300"/>
    <mergeCell ref="G300:H300"/>
    <mergeCell ref="I300:J300"/>
    <mergeCell ref="B301:D301"/>
    <mergeCell ref="E301:F301"/>
    <mergeCell ref="G301:H301"/>
    <mergeCell ref="I301:J301"/>
    <mergeCell ref="B344:D344"/>
    <mergeCell ref="G344:H344"/>
    <mergeCell ref="I344:J344"/>
    <mergeCell ref="B345:D345"/>
    <mergeCell ref="E345:F345"/>
    <mergeCell ref="G348:H348"/>
    <mergeCell ref="B348:D348"/>
    <mergeCell ref="E348:F348"/>
    <mergeCell ref="A430:B430"/>
    <mergeCell ref="I412:J412"/>
    <mergeCell ref="I413:J413"/>
    <mergeCell ref="I414:J414"/>
    <mergeCell ref="I415:J415"/>
    <mergeCell ref="B405:D405"/>
    <mergeCell ref="E405:F405"/>
    <mergeCell ref="A428:B428"/>
    <mergeCell ref="A425:C425"/>
    <mergeCell ref="D426:E426"/>
    <mergeCell ref="F426:I426"/>
    <mergeCell ref="I418:J418"/>
    <mergeCell ref="F418:H418"/>
    <mergeCell ref="F419:H419"/>
    <mergeCell ref="I419:J419"/>
    <mergeCell ref="I421:J421"/>
    <mergeCell ref="I422:J422"/>
    <mergeCell ref="I420:J420"/>
    <mergeCell ref="I416:J416"/>
    <mergeCell ref="I409:J409"/>
    <mergeCell ref="I411:J411"/>
    <mergeCell ref="B406:D406"/>
    <mergeCell ref="E406:F406"/>
    <mergeCell ref="B407:D407"/>
    <mergeCell ref="I349:J349"/>
    <mergeCell ref="B365:D365"/>
    <mergeCell ref="G361:H361"/>
    <mergeCell ref="I361:J361"/>
    <mergeCell ref="B330:D330"/>
    <mergeCell ref="G330:H330"/>
    <mergeCell ref="I330:J330"/>
    <mergeCell ref="B295:D295"/>
    <mergeCell ref="E295:F295"/>
    <mergeCell ref="B296:D296"/>
    <mergeCell ref="B343:D343"/>
    <mergeCell ref="B338:D338"/>
    <mergeCell ref="E338:F338"/>
    <mergeCell ref="A339:J339"/>
    <mergeCell ref="B340:D340"/>
    <mergeCell ref="E340:F340"/>
    <mergeCell ref="G340:H340"/>
    <mergeCell ref="I340:J340"/>
    <mergeCell ref="B328:D328"/>
    <mergeCell ref="G328:H328"/>
    <mergeCell ref="G336:H336"/>
    <mergeCell ref="I336:J336"/>
    <mergeCell ref="B331:D331"/>
    <mergeCell ref="E331:F331"/>
    <mergeCell ref="I100:J100"/>
    <mergeCell ref="I101:J101"/>
    <mergeCell ref="I103:J103"/>
    <mergeCell ref="I104:J104"/>
    <mergeCell ref="I105:J105"/>
    <mergeCell ref="I106:J106"/>
    <mergeCell ref="G100:H100"/>
    <mergeCell ref="G101:H101"/>
    <mergeCell ref="G103:H103"/>
    <mergeCell ref="G104:H104"/>
    <mergeCell ref="A423:C423"/>
    <mergeCell ref="D424:E424"/>
    <mergeCell ref="F424:I424"/>
    <mergeCell ref="G407:J407"/>
    <mergeCell ref="I417:J417"/>
    <mergeCell ref="G416:H416"/>
    <mergeCell ref="D417:H417"/>
    <mergeCell ref="I392:J392"/>
    <mergeCell ref="I395:J395"/>
    <mergeCell ref="A400:J400"/>
    <mergeCell ref="A401:A402"/>
    <mergeCell ref="B401:D402"/>
    <mergeCell ref="E401:F402"/>
    <mergeCell ref="G401:J401"/>
    <mergeCell ref="B403:D403"/>
    <mergeCell ref="E407:F407"/>
    <mergeCell ref="G399:H399"/>
    <mergeCell ref="G398:H398"/>
    <mergeCell ref="B397:D397"/>
    <mergeCell ref="E404:F404"/>
    <mergeCell ref="I397:J397"/>
    <mergeCell ref="E398:F398"/>
    <mergeCell ref="I398:J398"/>
    <mergeCell ref="B392:D392"/>
    <mergeCell ref="G331:H331"/>
    <mergeCell ref="I331:J331"/>
    <mergeCell ref="A332:J332"/>
    <mergeCell ref="B333:D333"/>
    <mergeCell ref="E333:F333"/>
    <mergeCell ref="G333:H333"/>
    <mergeCell ref="I333:J333"/>
    <mergeCell ref="I334:J334"/>
    <mergeCell ref="G334:H334"/>
    <mergeCell ref="E324:F324"/>
    <mergeCell ref="G324:H324"/>
    <mergeCell ref="I324:J324"/>
    <mergeCell ref="B325:D325"/>
    <mergeCell ref="E325:F325"/>
    <mergeCell ref="I327:J327"/>
    <mergeCell ref="B329:D329"/>
    <mergeCell ref="G325:H325"/>
    <mergeCell ref="I325:J325"/>
    <mergeCell ref="G329:H329"/>
    <mergeCell ref="I329:J329"/>
    <mergeCell ref="I328:J328"/>
    <mergeCell ref="B310:D310"/>
    <mergeCell ref="E310:F310"/>
    <mergeCell ref="G310:J310"/>
    <mergeCell ref="A318:J318"/>
    <mergeCell ref="A169:J169"/>
    <mergeCell ref="E296:F296"/>
    <mergeCell ref="B297:D297"/>
    <mergeCell ref="E297:F297"/>
    <mergeCell ref="B298:D298"/>
    <mergeCell ref="E298:F298"/>
    <mergeCell ref="B289:D289"/>
    <mergeCell ref="E289:F289"/>
    <mergeCell ref="B290:D290"/>
    <mergeCell ref="E290:F290"/>
    <mergeCell ref="B291:D291"/>
    <mergeCell ref="B292:D292"/>
    <mergeCell ref="E292:F292"/>
    <mergeCell ref="B293:D293"/>
    <mergeCell ref="E293:F293"/>
    <mergeCell ref="B294:D294"/>
    <mergeCell ref="B288:D288"/>
    <mergeCell ref="E288:F288"/>
    <mergeCell ref="A286:J286"/>
    <mergeCell ref="E294:F294"/>
    <mergeCell ref="B283:D283"/>
    <mergeCell ref="E283:F283"/>
    <mergeCell ref="A346:J346"/>
    <mergeCell ref="B347:D347"/>
    <mergeCell ref="E341:F341"/>
    <mergeCell ref="G341:H341"/>
    <mergeCell ref="I341:J341"/>
    <mergeCell ref="B342:D342"/>
    <mergeCell ref="B337:D337"/>
    <mergeCell ref="G337:H337"/>
    <mergeCell ref="B341:D341"/>
    <mergeCell ref="G345:H345"/>
    <mergeCell ref="I345:J345"/>
    <mergeCell ref="I342:J342"/>
    <mergeCell ref="G343:H343"/>
    <mergeCell ref="I343:J343"/>
    <mergeCell ref="I337:J337"/>
    <mergeCell ref="G338:H338"/>
    <mergeCell ref="I338:J338"/>
    <mergeCell ref="B327:D327"/>
    <mergeCell ref="G327:H327"/>
    <mergeCell ref="A322:J322"/>
    <mergeCell ref="A323:J323"/>
    <mergeCell ref="B324:D324"/>
    <mergeCell ref="G305:H305"/>
    <mergeCell ref="E347:F347"/>
    <mergeCell ref="B366:D366"/>
    <mergeCell ref="E352:F352"/>
    <mergeCell ref="B368:D368"/>
    <mergeCell ref="E368:F368"/>
    <mergeCell ref="G368:H368"/>
    <mergeCell ref="I368:J368"/>
    <mergeCell ref="G352:H352"/>
    <mergeCell ref="I352:J352"/>
    <mergeCell ref="A353:J353"/>
    <mergeCell ref="B354:D354"/>
    <mergeCell ref="E354:F354"/>
    <mergeCell ref="B364:D364"/>
    <mergeCell ref="I364:J364"/>
    <mergeCell ref="I354:J354"/>
    <mergeCell ref="I348:J348"/>
    <mergeCell ref="B359:D359"/>
    <mergeCell ref="I355:J355"/>
    <mergeCell ref="B357:D357"/>
    <mergeCell ref="G357:H357"/>
    <mergeCell ref="I357:J357"/>
    <mergeCell ref="G342:H342"/>
    <mergeCell ref="I321:J321"/>
    <mergeCell ref="I305:J305"/>
    <mergeCell ref="A335:J335"/>
    <mergeCell ref="A356:J356"/>
    <mergeCell ref="B372:D372"/>
    <mergeCell ref="A370:J370"/>
    <mergeCell ref="I372:J372"/>
    <mergeCell ref="E359:F359"/>
    <mergeCell ref="E388:F388"/>
    <mergeCell ref="G388:H388"/>
    <mergeCell ref="I388:J388"/>
    <mergeCell ref="B351:D351"/>
    <mergeCell ref="G351:H351"/>
    <mergeCell ref="I351:J351"/>
    <mergeCell ref="I313:J313"/>
    <mergeCell ref="B320:D320"/>
    <mergeCell ref="E320:F320"/>
    <mergeCell ref="G320:H320"/>
    <mergeCell ref="I320:J320"/>
    <mergeCell ref="B321:D321"/>
    <mergeCell ref="E366:F366"/>
    <mergeCell ref="G366:H366"/>
    <mergeCell ref="I366:J366"/>
    <mergeCell ref="A367:J367"/>
    <mergeCell ref="B336:D336"/>
    <mergeCell ref="E365:F365"/>
    <mergeCell ref="G365:H365"/>
    <mergeCell ref="I365:J365"/>
    <mergeCell ref="I350:J350"/>
    <mergeCell ref="B389:D389"/>
    <mergeCell ref="I385:J385"/>
    <mergeCell ref="A384:J384"/>
    <mergeCell ref="B385:D385"/>
    <mergeCell ref="B386:D386"/>
    <mergeCell ref="I373:J373"/>
    <mergeCell ref="G378:H378"/>
    <mergeCell ref="B377:D377"/>
    <mergeCell ref="G377:H377"/>
    <mergeCell ref="E378:F378"/>
    <mergeCell ref="A387:J387"/>
    <mergeCell ref="I371:J371"/>
    <mergeCell ref="I358:J358"/>
    <mergeCell ref="G354:H354"/>
    <mergeCell ref="I359:J359"/>
    <mergeCell ref="B350:D350"/>
    <mergeCell ref="G350:H350"/>
    <mergeCell ref="B358:D358"/>
    <mergeCell ref="G358:H358"/>
    <mergeCell ref="G303:H303"/>
    <mergeCell ref="B363:D363"/>
    <mergeCell ref="G379:H379"/>
    <mergeCell ref="I379:J379"/>
    <mergeCell ref="B374:D374"/>
    <mergeCell ref="I374:J374"/>
    <mergeCell ref="B352:D352"/>
    <mergeCell ref="B303:D303"/>
    <mergeCell ref="B355:D355"/>
    <mergeCell ref="E355:F355"/>
    <mergeCell ref="G355:H355"/>
    <mergeCell ref="G304:H304"/>
    <mergeCell ref="B371:D371"/>
    <mergeCell ref="G371:H371"/>
    <mergeCell ref="G359:H359"/>
    <mergeCell ref="B349:D349"/>
    <mergeCell ref="G349:H349"/>
    <mergeCell ref="G369:H369"/>
    <mergeCell ref="B334:D334"/>
    <mergeCell ref="E334:F334"/>
    <mergeCell ref="A326:J326"/>
    <mergeCell ref="A360:J360"/>
    <mergeCell ref="B361:D361"/>
    <mergeCell ref="B362:D362"/>
    <mergeCell ref="B300:D300"/>
    <mergeCell ref="B304:D304"/>
    <mergeCell ref="G386:H386"/>
    <mergeCell ref="G380:H380"/>
    <mergeCell ref="I380:J380"/>
    <mergeCell ref="B381:D381"/>
    <mergeCell ref="G381:H381"/>
    <mergeCell ref="I381:J381"/>
    <mergeCell ref="B382:D382"/>
    <mergeCell ref="G382:H382"/>
    <mergeCell ref="I382:J382"/>
    <mergeCell ref="B305:D305"/>
    <mergeCell ref="I363:J363"/>
    <mergeCell ref="G347:H347"/>
    <mergeCell ref="I347:J347"/>
    <mergeCell ref="E304:F304"/>
    <mergeCell ref="I303:J303"/>
    <mergeCell ref="I304:J304"/>
    <mergeCell ref="B319:D319"/>
    <mergeCell ref="I383:J383"/>
    <mergeCell ref="B380:D380"/>
    <mergeCell ref="E380:F380"/>
    <mergeCell ref="B373:D373"/>
    <mergeCell ref="E305:F305"/>
    <mergeCell ref="E321:F321"/>
    <mergeCell ref="G321:H321"/>
    <mergeCell ref="B383:D383"/>
    <mergeCell ref="E383:F383"/>
    <mergeCell ref="G383:H383"/>
    <mergeCell ref="E403:F403"/>
    <mergeCell ref="G403:J403"/>
    <mergeCell ref="B369:D369"/>
    <mergeCell ref="E369:F369"/>
    <mergeCell ref="E389:F389"/>
    <mergeCell ref="G389:H389"/>
    <mergeCell ref="I389:J389"/>
    <mergeCell ref="I386:J386"/>
    <mergeCell ref="B388:D388"/>
    <mergeCell ref="E377:F377"/>
    <mergeCell ref="I378:J378"/>
    <mergeCell ref="B379:D379"/>
    <mergeCell ref="I391:J391"/>
    <mergeCell ref="G385:H385"/>
    <mergeCell ref="I369:J369"/>
    <mergeCell ref="I377:J377"/>
    <mergeCell ref="B378:D378"/>
    <mergeCell ref="B391:D391"/>
    <mergeCell ref="I362:J362"/>
    <mergeCell ref="E399:F399"/>
    <mergeCell ref="K371:L371"/>
    <mergeCell ref="K372:L372"/>
    <mergeCell ref="K373:L373"/>
    <mergeCell ref="K374:L374"/>
    <mergeCell ref="B375:D375"/>
    <mergeCell ref="I375:J375"/>
    <mergeCell ref="B393:D393"/>
    <mergeCell ref="G393:H393"/>
    <mergeCell ref="I393:J393"/>
    <mergeCell ref="B376:D376"/>
    <mergeCell ref="I376:J376"/>
    <mergeCell ref="G391:H391"/>
    <mergeCell ref="A390:J390"/>
    <mergeCell ref="G392:H392"/>
    <mergeCell ref="B395:D395"/>
    <mergeCell ref="I399:J399"/>
    <mergeCell ref="B399:D399"/>
    <mergeCell ref="A394:J394"/>
    <mergeCell ref="A314:J314"/>
    <mergeCell ref="B315:D315"/>
    <mergeCell ref="B316:D316"/>
    <mergeCell ref="E315:F315"/>
    <mergeCell ref="G315:H315"/>
    <mergeCell ref="G316:H316"/>
    <mergeCell ref="I315:J315"/>
    <mergeCell ref="I316:J316"/>
    <mergeCell ref="B317:D317"/>
    <mergeCell ref="E316:F316"/>
    <mergeCell ref="E317:F317"/>
    <mergeCell ref="G317:H317"/>
    <mergeCell ref="I317:J317"/>
  </mergeCells>
  <printOptions horizontalCentered="1"/>
  <pageMargins left="0.59055118110236227" right="0.19685039370078741" top="0.39370078740157483" bottom="0.39370078740157483" header="0.31496062992125984" footer="0.31496062992125984"/>
  <pageSetup paperSize="9" scale="66" fitToHeight="2" orientation="portrait" r:id="rId1"/>
  <rowBreaks count="1" manualBreakCount="1">
    <brk id="9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401"/>
  <sheetViews>
    <sheetView topLeftCell="A184" zoomScaleSheetLayoutView="100" workbookViewId="0">
      <selection activeCell="G254" sqref="G254:J254"/>
    </sheetView>
  </sheetViews>
  <sheetFormatPr defaultColWidth="9.140625" defaultRowHeight="15" x14ac:dyDescent="0.25"/>
  <cols>
    <col min="1" max="1" width="5.140625" style="1" customWidth="1"/>
    <col min="2" max="2" width="25" style="1" customWidth="1"/>
    <col min="3" max="3" width="9.140625" style="1"/>
    <col min="4" max="4" width="17.140625" style="1" customWidth="1"/>
    <col min="5" max="5" width="13.140625" style="1" customWidth="1"/>
    <col min="6" max="6" width="10.7109375" style="1" customWidth="1"/>
    <col min="7" max="7" width="12.28515625" style="1" customWidth="1"/>
    <col min="8" max="8" width="10.7109375" style="1" customWidth="1"/>
    <col min="9" max="9" width="11.5703125" style="1" customWidth="1"/>
    <col min="10" max="10" width="24.85546875" style="1" customWidth="1"/>
    <col min="11" max="11" width="16.42578125" style="1" customWidth="1"/>
    <col min="12" max="12" width="18.140625" style="1" customWidth="1"/>
    <col min="13" max="13" width="9.7109375" style="1" customWidth="1"/>
    <col min="14" max="14" width="14" style="1" customWidth="1"/>
    <col min="15" max="16384" width="9.140625" style="1"/>
  </cols>
  <sheetData>
    <row r="1" spans="1:14" ht="26.25" customHeight="1" x14ac:dyDescent="0.25">
      <c r="A1" s="1585" t="s">
        <v>68</v>
      </c>
      <c r="B1" s="1585"/>
      <c r="C1" s="1585"/>
      <c r="D1" s="1585"/>
      <c r="E1" s="1585"/>
      <c r="F1" s="1585"/>
      <c r="G1" s="1585"/>
      <c r="H1" s="1585"/>
      <c r="I1" s="1585"/>
      <c r="J1" s="1585"/>
    </row>
    <row r="2" spans="1:14" ht="17.25" customHeight="1" x14ac:dyDescent="0.25">
      <c r="A2" s="1585" t="s">
        <v>419</v>
      </c>
      <c r="B2" s="1585"/>
      <c r="C2" s="1585"/>
      <c r="D2" s="1585"/>
      <c r="E2" s="1585"/>
      <c r="F2" s="1585"/>
      <c r="G2" s="1585"/>
      <c r="H2" s="1585"/>
      <c r="I2" s="1585"/>
      <c r="J2" s="1585"/>
    </row>
    <row r="3" spans="1:14" ht="47.25" customHeight="1" x14ac:dyDescent="0.25">
      <c r="A3" s="1585" t="s">
        <v>525</v>
      </c>
      <c r="B3" s="1585"/>
      <c r="C3" s="1585"/>
      <c r="D3" s="1585"/>
      <c r="E3" s="1585"/>
      <c r="F3" s="1585"/>
      <c r="G3" s="1585"/>
      <c r="H3" s="1585"/>
      <c r="I3" s="1585"/>
      <c r="J3" s="1585"/>
    </row>
    <row r="4" spans="1:14" ht="15.75" x14ac:dyDescent="0.25">
      <c r="A4" s="80"/>
      <c r="B4" s="81"/>
      <c r="C4" s="81"/>
      <c r="D4" s="82" t="s">
        <v>263</v>
      </c>
      <c r="E4" s="457" t="s">
        <v>1101</v>
      </c>
      <c r="F4" s="83" t="s">
        <v>533</v>
      </c>
      <c r="G4" s="81"/>
      <c r="H4" s="81"/>
      <c r="I4" s="81"/>
      <c r="J4" s="81"/>
    </row>
    <row r="5" spans="1:14" ht="15.75" x14ac:dyDescent="0.25">
      <c r="A5" s="1446" t="s">
        <v>0</v>
      </c>
      <c r="B5" s="1446"/>
      <c r="C5" s="1446"/>
      <c r="D5" s="1446"/>
      <c r="E5" s="1446"/>
      <c r="F5" s="1446"/>
      <c r="G5" s="1446"/>
      <c r="H5" s="1446"/>
      <c r="I5" s="1446"/>
      <c r="J5" s="1446"/>
    </row>
    <row r="6" spans="1:14" ht="19.5" customHeight="1" x14ac:dyDescent="0.25">
      <c r="A6" s="80" t="s">
        <v>80</v>
      </c>
      <c r="B6" s="81"/>
      <c r="C6" s="84">
        <v>111</v>
      </c>
      <c r="D6" s="84">
        <v>112</v>
      </c>
      <c r="E6" s="84">
        <v>119</v>
      </c>
      <c r="F6" s="85"/>
      <c r="G6" s="85"/>
      <c r="H6" s="85"/>
      <c r="I6" s="85"/>
      <c r="J6" s="85"/>
    </row>
    <row r="7" spans="1:14" ht="22.5" customHeight="1" x14ac:dyDescent="0.25">
      <c r="A7" s="80" t="s">
        <v>81</v>
      </c>
      <c r="B7" s="81"/>
      <c r="C7" s="81"/>
      <c r="D7" s="81"/>
      <c r="E7" s="86" t="s">
        <v>82</v>
      </c>
      <c r="F7" s="87"/>
      <c r="G7" s="86"/>
      <c r="H7" s="87"/>
      <c r="I7" s="87"/>
      <c r="J7" s="87"/>
    </row>
    <row r="8" spans="1:14" ht="21" customHeight="1" x14ac:dyDescent="0.25">
      <c r="A8" s="1442" t="s">
        <v>350</v>
      </c>
      <c r="B8" s="1442"/>
      <c r="C8" s="1442"/>
      <c r="D8" s="1442"/>
      <c r="E8" s="1442"/>
      <c r="F8" s="1442"/>
      <c r="G8" s="1442"/>
      <c r="H8" s="1442"/>
      <c r="I8" s="1442"/>
      <c r="J8" s="1442"/>
      <c r="L8" s="1">
        <v>4362.7700000000004</v>
      </c>
      <c r="M8" s="1">
        <v>54</v>
      </c>
      <c r="N8" s="1">
        <f>L8*M8</f>
        <v>235589.58000000002</v>
      </c>
    </row>
    <row r="9" spans="1:14" x14ac:dyDescent="0.25">
      <c r="A9" s="1574" t="s">
        <v>1</v>
      </c>
      <c r="B9" s="1579" t="s">
        <v>2</v>
      </c>
      <c r="C9" s="1579" t="s">
        <v>3</v>
      </c>
      <c r="D9" s="1574" t="s">
        <v>4</v>
      </c>
      <c r="E9" s="1574"/>
      <c r="F9" s="1574"/>
      <c r="G9" s="1574"/>
      <c r="H9" s="1574" t="s">
        <v>5</v>
      </c>
      <c r="I9" s="1579" t="s">
        <v>6</v>
      </c>
      <c r="J9" s="1579" t="s">
        <v>305</v>
      </c>
    </row>
    <row r="10" spans="1:14" ht="33" customHeight="1" x14ac:dyDescent="0.25">
      <c r="A10" s="1574"/>
      <c r="B10" s="1579"/>
      <c r="C10" s="1579"/>
      <c r="D10" s="1579" t="s">
        <v>8</v>
      </c>
      <c r="E10" s="1579" t="s">
        <v>9</v>
      </c>
      <c r="F10" s="1579"/>
      <c r="G10" s="1579"/>
      <c r="H10" s="1574"/>
      <c r="I10" s="1579"/>
      <c r="J10" s="1579"/>
    </row>
    <row r="11" spans="1:14" ht="75" x14ac:dyDescent="0.25">
      <c r="A11" s="1574"/>
      <c r="B11" s="1579"/>
      <c r="C11" s="1579"/>
      <c r="D11" s="1579"/>
      <c r="E11" s="171" t="s">
        <v>10</v>
      </c>
      <c r="F11" s="171" t="s">
        <v>11</v>
      </c>
      <c r="G11" s="171" t="s">
        <v>12</v>
      </c>
      <c r="H11" s="1574"/>
      <c r="I11" s="1579"/>
      <c r="J11" s="1579"/>
    </row>
    <row r="12" spans="1:14" ht="14.25" customHeight="1" x14ac:dyDescent="0.25">
      <c r="A12" s="169">
        <v>1</v>
      </c>
      <c r="B12" s="169">
        <v>2</v>
      </c>
      <c r="C12" s="169">
        <v>3</v>
      </c>
      <c r="D12" s="169">
        <v>4</v>
      </c>
      <c r="E12" s="169">
        <v>5</v>
      </c>
      <c r="F12" s="169">
        <v>6</v>
      </c>
      <c r="G12" s="169">
        <v>7</v>
      </c>
      <c r="H12" s="169">
        <v>8</v>
      </c>
      <c r="I12" s="169">
        <v>9</v>
      </c>
      <c r="J12" s="169">
        <v>10</v>
      </c>
    </row>
    <row r="13" spans="1:14" s="41" customFormat="1" x14ac:dyDescent="0.2">
      <c r="A13" s="1580" t="s">
        <v>351</v>
      </c>
      <c r="B13" s="1579"/>
      <c r="C13" s="1579"/>
      <c r="D13" s="1579"/>
      <c r="E13" s="1579"/>
      <c r="F13" s="1579"/>
      <c r="G13" s="1579"/>
      <c r="H13" s="1579"/>
      <c r="I13" s="1579"/>
      <c r="J13" s="1579"/>
    </row>
    <row r="14" spans="1:14" s="41" customFormat="1" hidden="1" x14ac:dyDescent="0.2">
      <c r="A14" s="1581" t="s">
        <v>420</v>
      </c>
      <c r="B14" s="1573"/>
      <c r="C14" s="1573"/>
      <c r="D14" s="1573"/>
      <c r="E14" s="1573"/>
      <c r="F14" s="1573"/>
      <c r="G14" s="1573"/>
      <c r="H14" s="1573"/>
      <c r="I14" s="1573"/>
      <c r="J14" s="1573"/>
    </row>
    <row r="15" spans="1:14" ht="20.25" hidden="1" customHeight="1" x14ac:dyDescent="0.25">
      <c r="A15" s="175">
        <v>1</v>
      </c>
      <c r="B15" s="102" t="s">
        <v>257</v>
      </c>
      <c r="C15" s="175"/>
      <c r="D15" s="103">
        <v>0</v>
      </c>
      <c r="E15" s="103">
        <v>75000</v>
      </c>
      <c r="F15" s="103">
        <v>0</v>
      </c>
      <c r="G15" s="103">
        <v>20000</v>
      </c>
      <c r="H15" s="104">
        <v>50</v>
      </c>
      <c r="I15" s="175">
        <v>1.7</v>
      </c>
      <c r="J15" s="105">
        <f>((C15*D15*(H15/100+I15))*12)</f>
        <v>0</v>
      </c>
      <c r="K15" s="128"/>
    </row>
    <row r="16" spans="1:14" ht="45" hidden="1" customHeight="1" x14ac:dyDescent="0.25">
      <c r="A16" s="175">
        <v>1</v>
      </c>
      <c r="B16" s="102" t="s">
        <v>421</v>
      </c>
      <c r="C16" s="412">
        <v>0</v>
      </c>
      <c r="D16" s="103">
        <v>0</v>
      </c>
      <c r="E16" s="103">
        <v>3000</v>
      </c>
      <c r="F16" s="103">
        <v>2600</v>
      </c>
      <c r="G16" s="103">
        <v>1000</v>
      </c>
      <c r="H16" s="104">
        <v>50</v>
      </c>
      <c r="I16" s="175">
        <v>1.7</v>
      </c>
      <c r="J16" s="105">
        <f>((C16*D16*(H16/100+I16))*12)*1.2</f>
        <v>0</v>
      </c>
    </row>
    <row r="17" spans="1:12" ht="45" hidden="1" customHeight="1" x14ac:dyDescent="0.25">
      <c r="A17" s="175">
        <v>3</v>
      </c>
      <c r="B17" s="102" t="s">
        <v>422</v>
      </c>
      <c r="C17" s="412"/>
      <c r="D17" s="103"/>
      <c r="E17" s="103">
        <v>37800</v>
      </c>
      <c r="F17" s="103">
        <v>0</v>
      </c>
      <c r="G17" s="103">
        <f t="shared" ref="G17:G19" si="0">E17*20%</f>
        <v>7560</v>
      </c>
      <c r="H17" s="104">
        <v>50</v>
      </c>
      <c r="I17" s="175">
        <v>1.7</v>
      </c>
      <c r="J17" s="105">
        <f t="shared" ref="J17:J20" si="1">((C17*D17*(H17/100+I17))*12)*1.2</f>
        <v>0</v>
      </c>
    </row>
    <row r="18" spans="1:12" ht="45" hidden="1" customHeight="1" x14ac:dyDescent="0.25">
      <c r="A18" s="175">
        <v>4</v>
      </c>
      <c r="B18" s="102" t="s">
        <v>423</v>
      </c>
      <c r="C18" s="412"/>
      <c r="D18" s="103"/>
      <c r="E18" s="103">
        <v>37800</v>
      </c>
      <c r="F18" s="103">
        <v>0</v>
      </c>
      <c r="G18" s="103">
        <f t="shared" si="0"/>
        <v>7560</v>
      </c>
      <c r="H18" s="104">
        <v>50</v>
      </c>
      <c r="I18" s="175">
        <v>17</v>
      </c>
      <c r="J18" s="105">
        <f t="shared" si="1"/>
        <v>0</v>
      </c>
      <c r="L18" s="1">
        <f>((C18*D18+(H18/100+I18)*12))</f>
        <v>210</v>
      </c>
    </row>
    <row r="19" spans="1:12" ht="49.5" hidden="1" customHeight="1" x14ac:dyDescent="0.25">
      <c r="A19" s="175">
        <v>5</v>
      </c>
      <c r="B19" s="102" t="s">
        <v>424</v>
      </c>
      <c r="C19" s="412"/>
      <c r="D19" s="103"/>
      <c r="E19" s="103">
        <v>37800</v>
      </c>
      <c r="F19" s="103">
        <v>0</v>
      </c>
      <c r="G19" s="103">
        <f t="shared" si="0"/>
        <v>7560</v>
      </c>
      <c r="H19" s="104">
        <v>50</v>
      </c>
      <c r="I19" s="175">
        <v>1.7</v>
      </c>
      <c r="J19" s="105">
        <f t="shared" si="1"/>
        <v>0</v>
      </c>
    </row>
    <row r="20" spans="1:12" hidden="1" x14ac:dyDescent="0.25">
      <c r="A20" s="175">
        <v>2</v>
      </c>
      <c r="B20" s="102" t="s">
        <v>258</v>
      </c>
      <c r="C20" s="412">
        <v>0</v>
      </c>
      <c r="D20" s="103">
        <v>0</v>
      </c>
      <c r="E20" s="103">
        <v>3000</v>
      </c>
      <c r="F20" s="103">
        <v>2600</v>
      </c>
      <c r="G20" s="103">
        <v>1500</v>
      </c>
      <c r="H20" s="104">
        <v>50</v>
      </c>
      <c r="I20" s="175">
        <v>1.7</v>
      </c>
      <c r="J20" s="105">
        <f t="shared" si="1"/>
        <v>0</v>
      </c>
    </row>
    <row r="21" spans="1:12" ht="28.5" hidden="1" x14ac:dyDescent="0.25">
      <c r="A21" s="106"/>
      <c r="B21" s="107" t="s">
        <v>425</v>
      </c>
      <c r="C21" s="108">
        <f>SUM(C15:C20)</f>
        <v>0</v>
      </c>
      <c r="D21" s="109">
        <f>SUM(D15:D20)</f>
        <v>0</v>
      </c>
      <c r="E21" s="108" t="s">
        <v>14</v>
      </c>
      <c r="F21" s="108" t="s">
        <v>14</v>
      </c>
      <c r="G21" s="108" t="s">
        <v>14</v>
      </c>
      <c r="H21" s="108" t="s">
        <v>14</v>
      </c>
      <c r="I21" s="108" t="s">
        <v>14</v>
      </c>
      <c r="J21" s="109">
        <f>SUM(J15:J20)</f>
        <v>0</v>
      </c>
      <c r="K21" s="129"/>
    </row>
    <row r="22" spans="1:12" x14ac:dyDescent="0.25">
      <c r="A22" s="1572" t="s">
        <v>426</v>
      </c>
      <c r="B22" s="1575"/>
      <c r="C22" s="1575"/>
      <c r="D22" s="1575"/>
      <c r="E22" s="1575"/>
      <c r="F22" s="1575"/>
      <c r="G22" s="1575"/>
      <c r="H22" s="1575"/>
      <c r="I22" s="1575"/>
      <c r="J22" s="1575"/>
    </row>
    <row r="23" spans="1:12" ht="18.75" customHeight="1" x14ac:dyDescent="0.25">
      <c r="A23" s="1576" t="s">
        <v>427</v>
      </c>
      <c r="B23" s="1577"/>
      <c r="C23" s="1577"/>
      <c r="D23" s="1577"/>
      <c r="E23" s="1577"/>
      <c r="F23" s="1577"/>
      <c r="G23" s="1577"/>
      <c r="H23" s="1577"/>
      <c r="I23" s="1577"/>
      <c r="J23" s="1578"/>
    </row>
    <row r="24" spans="1:12" hidden="1" x14ac:dyDescent="0.25">
      <c r="A24" s="175">
        <v>1</v>
      </c>
      <c r="B24" s="102" t="s">
        <v>428</v>
      </c>
      <c r="C24" s="175"/>
      <c r="D24" s="103">
        <f>E24+F24+G24</f>
        <v>12240</v>
      </c>
      <c r="E24" s="127">
        <v>10200</v>
      </c>
      <c r="F24" s="103">
        <v>0</v>
      </c>
      <c r="G24" s="103">
        <f>E24*20%</f>
        <v>2040</v>
      </c>
      <c r="H24" s="104">
        <v>50</v>
      </c>
      <c r="I24" s="175">
        <v>1.7</v>
      </c>
      <c r="J24" s="132">
        <f>(C24*D24*(H24/100+I24))*13.8</f>
        <v>0</v>
      </c>
      <c r="K24" s="125"/>
    </row>
    <row r="25" spans="1:12" ht="75" hidden="1" x14ac:dyDescent="0.25">
      <c r="A25" s="175">
        <v>2</v>
      </c>
      <c r="B25" s="102" t="s">
        <v>429</v>
      </c>
      <c r="C25" s="175"/>
      <c r="D25" s="103">
        <f t="shared" ref="D25:D63" si="2">E25+F25+G25</f>
        <v>30000</v>
      </c>
      <c r="E25" s="127">
        <v>25000</v>
      </c>
      <c r="F25" s="103">
        <v>0</v>
      </c>
      <c r="G25" s="103">
        <v>5000</v>
      </c>
      <c r="H25" s="104">
        <v>50</v>
      </c>
      <c r="I25" s="175">
        <v>1.7</v>
      </c>
      <c r="J25" s="132">
        <f>(C25*D25*(H25/100+I25))*13</f>
        <v>0</v>
      </c>
    </row>
    <row r="26" spans="1:12" hidden="1" x14ac:dyDescent="0.25">
      <c r="A26" s="175">
        <v>3</v>
      </c>
      <c r="B26" s="102" t="s">
        <v>316</v>
      </c>
      <c r="C26" s="175"/>
      <c r="D26" s="103">
        <f t="shared" si="2"/>
        <v>37800</v>
      </c>
      <c r="E26" s="127">
        <v>31500</v>
      </c>
      <c r="F26" s="103">
        <v>0</v>
      </c>
      <c r="G26" s="103">
        <f t="shared" ref="G26:G48" si="3">E26*20%</f>
        <v>6300</v>
      </c>
      <c r="H26" s="104">
        <v>50</v>
      </c>
      <c r="I26" s="175">
        <v>1.7</v>
      </c>
      <c r="J26" s="132">
        <f>(C26*D26*(H26/100+I26))*11.4</f>
        <v>0</v>
      </c>
    </row>
    <row r="27" spans="1:12" hidden="1" x14ac:dyDescent="0.25">
      <c r="A27" s="175">
        <v>4</v>
      </c>
      <c r="B27" s="102" t="s">
        <v>430</v>
      </c>
      <c r="C27" s="175"/>
      <c r="D27" s="103">
        <f t="shared" si="2"/>
        <v>17400</v>
      </c>
      <c r="E27" s="127">
        <v>14500</v>
      </c>
      <c r="F27" s="103">
        <v>0</v>
      </c>
      <c r="G27" s="103">
        <f t="shared" si="3"/>
        <v>2900</v>
      </c>
      <c r="H27" s="104">
        <v>50</v>
      </c>
      <c r="I27" s="175">
        <v>1.7</v>
      </c>
      <c r="J27" s="132">
        <f>(C27*D27*(H27/100+I27))*14.6</f>
        <v>0</v>
      </c>
    </row>
    <row r="28" spans="1:12" hidden="1" x14ac:dyDescent="0.25">
      <c r="A28" s="175">
        <v>5</v>
      </c>
      <c r="B28" s="102" t="s">
        <v>317</v>
      </c>
      <c r="C28" s="175"/>
      <c r="D28" s="103">
        <f t="shared" si="2"/>
        <v>36000</v>
      </c>
      <c r="E28" s="127">
        <v>30000</v>
      </c>
      <c r="F28" s="103">
        <v>0</v>
      </c>
      <c r="G28" s="103">
        <f t="shared" si="3"/>
        <v>6000</v>
      </c>
      <c r="H28" s="104">
        <v>50</v>
      </c>
      <c r="I28" s="175">
        <v>1.7</v>
      </c>
      <c r="J28" s="132">
        <f t="shared" ref="J28" si="4">(C28*D28*(H28/100+I28))*14.6</f>
        <v>0</v>
      </c>
    </row>
    <row r="29" spans="1:12" ht="14.25" customHeight="1" x14ac:dyDescent="0.25">
      <c r="A29" s="175">
        <v>1</v>
      </c>
      <c r="B29" s="102" t="s">
        <v>315</v>
      </c>
      <c r="C29" s="412">
        <f>0.03*3</f>
        <v>0.09</v>
      </c>
      <c r="D29" s="335">
        <f t="shared" si="2"/>
        <v>9921.7000000000007</v>
      </c>
      <c r="E29" s="335">
        <f>7498*1.5*1.1+50-2500</f>
        <v>9921.7000000000007</v>
      </c>
      <c r="F29" s="552">
        <v>0</v>
      </c>
      <c r="G29" s="335">
        <v>0</v>
      </c>
      <c r="H29" s="591">
        <v>0.5</v>
      </c>
      <c r="I29" s="592">
        <v>1.7</v>
      </c>
      <c r="J29" s="554">
        <f>((D29*C29)*(H29+I29))*4</f>
        <v>7857.9864000000016</v>
      </c>
    </row>
    <row r="30" spans="1:12" ht="14.25" hidden="1" customHeight="1" x14ac:dyDescent="0.25">
      <c r="A30" s="175">
        <v>7</v>
      </c>
      <c r="B30" s="102" t="s">
        <v>314</v>
      </c>
      <c r="C30" s="412"/>
      <c r="D30" s="103">
        <f t="shared" si="2"/>
        <v>14906.04</v>
      </c>
      <c r="E30" s="335">
        <f t="shared" ref="E30:E31" si="5">7498*1.5*1.1+50</f>
        <v>12421.7</v>
      </c>
      <c r="F30" s="103">
        <v>0</v>
      </c>
      <c r="G30" s="335">
        <f t="shared" ref="G30:G31" si="6">(E30+F30)*20%</f>
        <v>2484.34</v>
      </c>
      <c r="H30" s="104">
        <v>50</v>
      </c>
      <c r="I30" s="175">
        <v>1.7</v>
      </c>
      <c r="J30" s="105">
        <f t="shared" ref="J30:J34" si="7">((C30*D30*(H30/100+I30))*12)*1.2</f>
        <v>0</v>
      </c>
    </row>
    <row r="31" spans="1:12" ht="30" hidden="1" x14ac:dyDescent="0.25">
      <c r="A31" s="175">
        <v>6</v>
      </c>
      <c r="B31" s="102" t="s">
        <v>431</v>
      </c>
      <c r="C31" s="412"/>
      <c r="D31" s="103">
        <f t="shared" si="2"/>
        <v>14906.04</v>
      </c>
      <c r="E31" s="335">
        <f t="shared" si="5"/>
        <v>12421.7</v>
      </c>
      <c r="F31" s="103">
        <v>0</v>
      </c>
      <c r="G31" s="335">
        <f t="shared" si="6"/>
        <v>2484.34</v>
      </c>
      <c r="H31" s="104">
        <v>50</v>
      </c>
      <c r="I31" s="175">
        <v>1.7</v>
      </c>
      <c r="J31" s="105">
        <f t="shared" si="7"/>
        <v>0</v>
      </c>
      <c r="K31" s="77"/>
    </row>
    <row r="32" spans="1:12" ht="20.25" customHeight="1" x14ac:dyDescent="0.25">
      <c r="A32" s="175">
        <v>2</v>
      </c>
      <c r="B32" s="102" t="s">
        <v>316</v>
      </c>
      <c r="C32" s="412">
        <f>0.06*3</f>
        <v>0.18</v>
      </c>
      <c r="D32" s="335">
        <f t="shared" si="2"/>
        <v>9921.7000000000007</v>
      </c>
      <c r="E32" s="335">
        <f>7498*1.5*1.1+50-2500</f>
        <v>9921.7000000000007</v>
      </c>
      <c r="F32" s="552">
        <v>0</v>
      </c>
      <c r="G32" s="335">
        <v>0</v>
      </c>
      <c r="H32" s="591">
        <v>0.5</v>
      </c>
      <c r="I32" s="592">
        <v>1.7</v>
      </c>
      <c r="J32" s="554">
        <f>((D32*C32)*(H32+I32))*4</f>
        <v>15715.972800000003</v>
      </c>
      <c r="K32" s="77"/>
    </row>
    <row r="33" spans="1:11" ht="14.25" customHeight="1" x14ac:dyDescent="0.25">
      <c r="A33" s="175">
        <v>3</v>
      </c>
      <c r="B33" s="102" t="s">
        <v>712</v>
      </c>
      <c r="C33" s="412">
        <f>0.4*3</f>
        <v>1.2000000000000002</v>
      </c>
      <c r="D33" s="335">
        <f>E33+F33+G33</f>
        <v>11321.7</v>
      </c>
      <c r="E33" s="335">
        <f>(7498*1.5*1.1+50)-1100</f>
        <v>11321.7</v>
      </c>
      <c r="F33" s="552">
        <v>0</v>
      </c>
      <c r="G33" s="335">
        <v>0</v>
      </c>
      <c r="H33" s="591">
        <v>0.5</v>
      </c>
      <c r="I33" s="592">
        <v>1.7</v>
      </c>
      <c r="J33" s="554">
        <f>((D33*C33)*(H33+I33))*4</f>
        <v>119557.15200000003</v>
      </c>
      <c r="K33" s="77"/>
    </row>
    <row r="34" spans="1:11" x14ac:dyDescent="0.25">
      <c r="A34" s="175">
        <v>4</v>
      </c>
      <c r="B34" s="102" t="s">
        <v>711</v>
      </c>
      <c r="C34" s="175">
        <v>0</v>
      </c>
      <c r="D34" s="103">
        <f t="shared" si="2"/>
        <v>0</v>
      </c>
      <c r="E34" s="335">
        <v>0</v>
      </c>
      <c r="F34" s="103">
        <v>0</v>
      </c>
      <c r="G34" s="103">
        <v>0</v>
      </c>
      <c r="H34" s="104">
        <v>50</v>
      </c>
      <c r="I34" s="175">
        <v>1.7</v>
      </c>
      <c r="J34" s="105">
        <f t="shared" si="7"/>
        <v>0</v>
      </c>
      <c r="K34" s="77"/>
    </row>
    <row r="35" spans="1:11" s="206" customFormat="1" x14ac:dyDescent="0.25">
      <c r="A35" s="203"/>
      <c r="B35" s="204" t="s">
        <v>434</v>
      </c>
      <c r="C35" s="203">
        <f>SUM(C24:C34)</f>
        <v>1.4700000000000002</v>
      </c>
      <c r="D35" s="203">
        <f t="shared" ref="D35:J35" si="8">SUM(D24:D34)</f>
        <v>194417.18000000005</v>
      </c>
      <c r="E35" s="203">
        <f t="shared" si="8"/>
        <v>167208.50000000003</v>
      </c>
      <c r="F35" s="203">
        <f t="shared" si="8"/>
        <v>0</v>
      </c>
      <c r="G35" s="203">
        <f t="shared" si="8"/>
        <v>27208.68</v>
      </c>
      <c r="H35" s="203">
        <v>0</v>
      </c>
      <c r="I35" s="203">
        <v>0</v>
      </c>
      <c r="J35" s="759">
        <f t="shared" si="8"/>
        <v>143131.11120000004</v>
      </c>
      <c r="K35" s="205"/>
    </row>
    <row r="36" spans="1:11" x14ac:dyDescent="0.25">
      <c r="A36" s="1576" t="s">
        <v>435</v>
      </c>
      <c r="B36" s="1577"/>
      <c r="C36" s="1577"/>
      <c r="D36" s="1577"/>
      <c r="E36" s="1577"/>
      <c r="F36" s="1577"/>
      <c r="G36" s="1577"/>
      <c r="H36" s="1577"/>
      <c r="I36" s="1577"/>
      <c r="J36" s="1578"/>
      <c r="K36" s="77"/>
    </row>
    <row r="37" spans="1:11" hidden="1" x14ac:dyDescent="0.25">
      <c r="A37" s="175">
        <v>1</v>
      </c>
      <c r="B37" s="102" t="s">
        <v>441</v>
      </c>
      <c r="C37" s="175"/>
      <c r="D37" s="103">
        <v>14000</v>
      </c>
      <c r="E37" s="127">
        <v>12600</v>
      </c>
      <c r="F37" s="103">
        <v>0</v>
      </c>
      <c r="G37" s="103">
        <f t="shared" ref="G37:G41" si="9">E37*20%</f>
        <v>2520</v>
      </c>
      <c r="H37" s="104">
        <v>50</v>
      </c>
      <c r="I37" s="175">
        <v>1.7</v>
      </c>
      <c r="J37" s="105">
        <f t="shared" ref="J37:J41" si="10">((C37*D37*(H37/100+I37))*12)*1.2</f>
        <v>0</v>
      </c>
      <c r="K37" s="77"/>
    </row>
    <row r="38" spans="1:11" x14ac:dyDescent="0.25">
      <c r="A38" s="175">
        <v>1</v>
      </c>
      <c r="B38" s="102" t="s">
        <v>440</v>
      </c>
      <c r="C38" s="412">
        <v>0</v>
      </c>
      <c r="D38" s="335">
        <f t="shared" ref="D38:D40" si="11">E38+F38+G38</f>
        <v>0</v>
      </c>
      <c r="E38" s="127">
        <v>0</v>
      </c>
      <c r="F38" s="103">
        <v>0</v>
      </c>
      <c r="G38" s="103">
        <f t="shared" si="9"/>
        <v>0</v>
      </c>
      <c r="H38" s="104">
        <v>50</v>
      </c>
      <c r="I38" s="415">
        <v>1.7</v>
      </c>
      <c r="J38" s="105">
        <f t="shared" si="10"/>
        <v>0</v>
      </c>
      <c r="K38" s="77"/>
    </row>
    <row r="39" spans="1:11" x14ac:dyDescent="0.25">
      <c r="A39" s="175">
        <v>2</v>
      </c>
      <c r="B39" s="102" t="s">
        <v>439</v>
      </c>
      <c r="C39" s="412">
        <v>0</v>
      </c>
      <c r="D39" s="335">
        <f t="shared" si="11"/>
        <v>0</v>
      </c>
      <c r="E39" s="127">
        <v>0</v>
      </c>
      <c r="F39" s="103">
        <v>0</v>
      </c>
      <c r="G39" s="103">
        <f t="shared" si="9"/>
        <v>0</v>
      </c>
      <c r="H39" s="104">
        <v>50</v>
      </c>
      <c r="I39" s="415">
        <v>1.7</v>
      </c>
      <c r="J39" s="105">
        <f t="shared" si="10"/>
        <v>0</v>
      </c>
      <c r="K39" s="77"/>
    </row>
    <row r="40" spans="1:11" x14ac:dyDescent="0.25">
      <c r="A40" s="175">
        <v>3</v>
      </c>
      <c r="B40" s="102" t="s">
        <v>319</v>
      </c>
      <c r="C40" s="412">
        <v>0</v>
      </c>
      <c r="D40" s="335">
        <f t="shared" si="11"/>
        <v>0</v>
      </c>
      <c r="E40" s="127">
        <v>0</v>
      </c>
      <c r="F40" s="103">
        <v>0</v>
      </c>
      <c r="G40" s="103">
        <f t="shared" si="9"/>
        <v>0</v>
      </c>
      <c r="H40" s="104">
        <v>50</v>
      </c>
      <c r="I40" s="415">
        <v>1.7</v>
      </c>
      <c r="J40" s="105">
        <f t="shared" si="10"/>
        <v>0</v>
      </c>
      <c r="K40" s="77"/>
    </row>
    <row r="41" spans="1:11" x14ac:dyDescent="0.25">
      <c r="A41" s="175">
        <v>4</v>
      </c>
      <c r="B41" s="102" t="s">
        <v>320</v>
      </c>
      <c r="C41" s="175">
        <v>0</v>
      </c>
      <c r="D41" s="103">
        <f t="shared" ref="D41" si="12">E41+F41+G41</f>
        <v>0</v>
      </c>
      <c r="E41" s="127">
        <v>0</v>
      </c>
      <c r="F41" s="103">
        <v>0</v>
      </c>
      <c r="G41" s="103">
        <f t="shared" si="9"/>
        <v>0</v>
      </c>
      <c r="H41" s="104">
        <v>0</v>
      </c>
      <c r="I41" s="175">
        <v>1.7</v>
      </c>
      <c r="J41" s="105">
        <f t="shared" si="10"/>
        <v>0</v>
      </c>
      <c r="K41" s="77"/>
    </row>
    <row r="42" spans="1:11" hidden="1" x14ac:dyDescent="0.25">
      <c r="A42" s="175">
        <v>6</v>
      </c>
      <c r="B42" s="102" t="s">
        <v>438</v>
      </c>
      <c r="C42" s="175"/>
      <c r="D42" s="103">
        <f t="shared" si="2"/>
        <v>13200</v>
      </c>
      <c r="E42" s="127">
        <v>11000</v>
      </c>
      <c r="F42" s="103">
        <v>0</v>
      </c>
      <c r="G42" s="103">
        <f t="shared" si="3"/>
        <v>2200</v>
      </c>
      <c r="H42" s="104">
        <v>50</v>
      </c>
      <c r="I42" s="175">
        <v>1.7</v>
      </c>
      <c r="J42" s="105">
        <f t="shared" ref="J42:J44" si="13">((C42*D42*(H42/100+I42))*12)*1.2</f>
        <v>0</v>
      </c>
      <c r="K42" s="77"/>
    </row>
    <row r="43" spans="1:11" ht="30" hidden="1" x14ac:dyDescent="0.25">
      <c r="A43" s="175">
        <v>7</v>
      </c>
      <c r="B43" s="102" t="s">
        <v>437</v>
      </c>
      <c r="C43" s="175"/>
      <c r="D43" s="103">
        <f t="shared" si="2"/>
        <v>14400</v>
      </c>
      <c r="E43" s="127">
        <v>12000</v>
      </c>
      <c r="F43" s="103">
        <v>0</v>
      </c>
      <c r="G43" s="103">
        <f t="shared" si="3"/>
        <v>2400</v>
      </c>
      <c r="H43" s="104">
        <v>50</v>
      </c>
      <c r="I43" s="175">
        <v>1.7</v>
      </c>
      <c r="J43" s="105">
        <f t="shared" si="13"/>
        <v>0</v>
      </c>
      <c r="K43" s="77"/>
    </row>
    <row r="44" spans="1:11" ht="30" hidden="1" x14ac:dyDescent="0.25">
      <c r="A44" s="175">
        <v>8</v>
      </c>
      <c r="B44" s="102" t="s">
        <v>436</v>
      </c>
      <c r="C44" s="175"/>
      <c r="D44" s="103">
        <f t="shared" si="2"/>
        <v>26400</v>
      </c>
      <c r="E44" s="127">
        <v>22000</v>
      </c>
      <c r="F44" s="103">
        <v>0</v>
      </c>
      <c r="G44" s="103">
        <f t="shared" si="3"/>
        <v>4400</v>
      </c>
      <c r="H44" s="104">
        <v>50</v>
      </c>
      <c r="I44" s="175">
        <v>1.7</v>
      </c>
      <c r="J44" s="105">
        <f t="shared" si="13"/>
        <v>0</v>
      </c>
      <c r="K44" s="77"/>
    </row>
    <row r="45" spans="1:11" ht="30" hidden="1" x14ac:dyDescent="0.25">
      <c r="A45" s="175">
        <v>9</v>
      </c>
      <c r="B45" s="102" t="s">
        <v>318</v>
      </c>
      <c r="C45" s="175"/>
      <c r="D45" s="103">
        <f t="shared" si="2"/>
        <v>16800</v>
      </c>
      <c r="E45" s="127">
        <v>14000</v>
      </c>
      <c r="F45" s="103">
        <v>0</v>
      </c>
      <c r="G45" s="103">
        <f t="shared" si="3"/>
        <v>2800</v>
      </c>
      <c r="H45" s="104">
        <v>50</v>
      </c>
      <c r="I45" s="175">
        <v>1.7</v>
      </c>
      <c r="J45" s="105">
        <f>((C45*D45*(H45/100+I45))*12)*1.2</f>
        <v>0</v>
      </c>
      <c r="K45" s="128"/>
    </row>
    <row r="46" spans="1:11" hidden="1" x14ac:dyDescent="0.25">
      <c r="A46" s="175">
        <v>10</v>
      </c>
      <c r="B46" s="102" t="s">
        <v>442</v>
      </c>
      <c r="C46" s="175"/>
      <c r="D46" s="103">
        <f t="shared" si="2"/>
        <v>15600</v>
      </c>
      <c r="E46" s="127">
        <v>13000</v>
      </c>
      <c r="F46" s="103">
        <v>0</v>
      </c>
      <c r="G46" s="103">
        <f t="shared" si="3"/>
        <v>2600</v>
      </c>
      <c r="H46" s="104">
        <v>50</v>
      </c>
      <c r="I46" s="175">
        <v>1.7</v>
      </c>
      <c r="J46" s="105">
        <f>((C46*D46*(H46/100+I46))*12)*1</f>
        <v>0</v>
      </c>
    </row>
    <row r="47" spans="1:11" hidden="1" x14ac:dyDescent="0.25">
      <c r="A47" s="175">
        <v>11</v>
      </c>
      <c r="B47" s="102" t="s">
        <v>443</v>
      </c>
      <c r="C47" s="175"/>
      <c r="D47" s="103">
        <f t="shared" si="2"/>
        <v>14400</v>
      </c>
      <c r="E47" s="127">
        <v>12000</v>
      </c>
      <c r="F47" s="103">
        <v>0</v>
      </c>
      <c r="G47" s="103">
        <f t="shared" si="3"/>
        <v>2400</v>
      </c>
      <c r="H47" s="104">
        <v>50</v>
      </c>
      <c r="I47" s="175">
        <v>1.7</v>
      </c>
      <c r="J47" s="105">
        <f>((C47*D47*(H47/100+I47))*12)*1.4</f>
        <v>0</v>
      </c>
    </row>
    <row r="48" spans="1:11" hidden="1" x14ac:dyDescent="0.25">
      <c r="A48" s="175">
        <v>12</v>
      </c>
      <c r="B48" s="102" t="s">
        <v>444</v>
      </c>
      <c r="C48" s="175"/>
      <c r="D48" s="103">
        <f t="shared" si="2"/>
        <v>16800</v>
      </c>
      <c r="E48" s="127">
        <v>14000</v>
      </c>
      <c r="F48" s="103">
        <v>0</v>
      </c>
      <c r="G48" s="103">
        <f t="shared" si="3"/>
        <v>2800</v>
      </c>
      <c r="H48" s="104">
        <v>50</v>
      </c>
      <c r="I48" s="175">
        <v>1.7</v>
      </c>
      <c r="J48" s="105">
        <f>((C48*D48*(H48/100+I48))*12)*1.3</f>
        <v>0</v>
      </c>
    </row>
    <row r="49" spans="1:11" s="206" customFormat="1" x14ac:dyDescent="0.25">
      <c r="A49" s="203"/>
      <c r="B49" s="204" t="s">
        <v>445</v>
      </c>
      <c r="C49" s="203">
        <v>0</v>
      </c>
      <c r="D49" s="203">
        <v>0</v>
      </c>
      <c r="E49" s="203">
        <v>0</v>
      </c>
      <c r="F49" s="203">
        <f t="shared" ref="F49:J49" si="14">SUM(F37:F48)</f>
        <v>0</v>
      </c>
      <c r="G49" s="526">
        <v>0</v>
      </c>
      <c r="H49" s="203">
        <v>0</v>
      </c>
      <c r="I49" s="203">
        <v>0</v>
      </c>
      <c r="J49" s="203">
        <f t="shared" si="14"/>
        <v>0</v>
      </c>
    </row>
    <row r="50" spans="1:11" ht="28.5" x14ac:dyDescent="0.25">
      <c r="A50" s="106"/>
      <c r="B50" s="107" t="s">
        <v>446</v>
      </c>
      <c r="C50" s="108">
        <f>C35+C49</f>
        <v>1.4700000000000002</v>
      </c>
      <c r="D50" s="108">
        <f>D35+D49</f>
        <v>194417.18000000005</v>
      </c>
      <c r="E50" s="108" t="s">
        <v>14</v>
      </c>
      <c r="F50" s="108" t="s">
        <v>14</v>
      </c>
      <c r="G50" s="108" t="s">
        <v>14</v>
      </c>
      <c r="H50" s="108" t="s">
        <v>14</v>
      </c>
      <c r="I50" s="108" t="s">
        <v>14</v>
      </c>
      <c r="J50" s="758">
        <f>J35+J49</f>
        <v>143131.11120000004</v>
      </c>
    </row>
    <row r="51" spans="1:11" hidden="1" x14ac:dyDescent="0.25">
      <c r="A51" s="1572" t="s">
        <v>450</v>
      </c>
      <c r="B51" s="1575"/>
      <c r="C51" s="1575"/>
      <c r="D51" s="1575"/>
      <c r="E51" s="1575"/>
      <c r="F51" s="1575"/>
      <c r="G51" s="1575"/>
      <c r="H51" s="1575"/>
      <c r="I51" s="1575"/>
      <c r="J51" s="1575"/>
    </row>
    <row r="52" spans="1:11" hidden="1" x14ac:dyDescent="0.25">
      <c r="A52" s="175">
        <v>1</v>
      </c>
      <c r="B52" s="102" t="s">
        <v>321</v>
      </c>
      <c r="C52" s="175"/>
      <c r="D52" s="103">
        <f t="shared" si="2"/>
        <v>12000</v>
      </c>
      <c r="E52" s="127">
        <v>10000</v>
      </c>
      <c r="F52" s="103">
        <v>0</v>
      </c>
      <c r="G52" s="103">
        <f>E52*20%</f>
        <v>2000</v>
      </c>
      <c r="H52" s="104">
        <v>50</v>
      </c>
      <c r="I52" s="175">
        <v>1.7</v>
      </c>
      <c r="J52" s="105">
        <f>((C52*D52*(H52/100+I52))*12)*1.37</f>
        <v>0</v>
      </c>
      <c r="K52" s="128"/>
    </row>
    <row r="53" spans="1:11" hidden="1" x14ac:dyDescent="0.25">
      <c r="A53" s="175">
        <v>2</v>
      </c>
      <c r="B53" s="102" t="s">
        <v>448</v>
      </c>
      <c r="C53" s="175"/>
      <c r="D53" s="103">
        <f t="shared" si="2"/>
        <v>9500</v>
      </c>
      <c r="E53" s="127">
        <v>9500</v>
      </c>
      <c r="F53" s="103">
        <v>0</v>
      </c>
      <c r="G53" s="103"/>
      <c r="H53" s="104">
        <v>50</v>
      </c>
      <c r="I53" s="175">
        <v>1.7</v>
      </c>
      <c r="J53" s="105">
        <f>((C53*D53*(H53/100+I53))*12)*1.37</f>
        <v>0</v>
      </c>
      <c r="K53" s="128"/>
    </row>
    <row r="54" spans="1:11" ht="30" hidden="1" x14ac:dyDescent="0.25">
      <c r="A54" s="175">
        <v>3</v>
      </c>
      <c r="B54" s="102" t="s">
        <v>449</v>
      </c>
      <c r="C54" s="175"/>
      <c r="D54" s="103">
        <f t="shared" si="2"/>
        <v>10200</v>
      </c>
      <c r="E54" s="127">
        <v>8500</v>
      </c>
      <c r="F54" s="103">
        <v>0</v>
      </c>
      <c r="G54" s="103">
        <f>E54*20%</f>
        <v>1700</v>
      </c>
      <c r="H54" s="104">
        <v>50</v>
      </c>
      <c r="I54" s="175">
        <v>1.7</v>
      </c>
      <c r="J54" s="105">
        <f>((C54*D54*(H54/100+I54))*12)*1.22</f>
        <v>0</v>
      </c>
    </row>
    <row r="55" spans="1:11" ht="28.5" hidden="1" x14ac:dyDescent="0.25">
      <c r="A55" s="106"/>
      <c r="B55" s="107" t="s">
        <v>447</v>
      </c>
      <c r="C55" s="108">
        <f>SUM(C52:C54)</f>
        <v>0</v>
      </c>
      <c r="D55" s="110">
        <f>SUM(D52:D54)</f>
        <v>31700</v>
      </c>
      <c r="E55" s="108" t="s">
        <v>14</v>
      </c>
      <c r="F55" s="108" t="s">
        <v>14</v>
      </c>
      <c r="G55" s="108" t="s">
        <v>14</v>
      </c>
      <c r="H55" s="108" t="s">
        <v>14</v>
      </c>
      <c r="I55" s="108" t="s">
        <v>14</v>
      </c>
      <c r="J55" s="111">
        <f>SUM(J52:J54)</f>
        <v>0</v>
      </c>
    </row>
    <row r="56" spans="1:11" x14ac:dyDescent="0.25">
      <c r="A56" s="1572" t="s">
        <v>451</v>
      </c>
      <c r="B56" s="1573"/>
      <c r="C56" s="1573"/>
      <c r="D56" s="1573"/>
      <c r="E56" s="1573"/>
      <c r="F56" s="1573"/>
      <c r="G56" s="1573"/>
      <c r="H56" s="1573"/>
      <c r="I56" s="1573"/>
      <c r="J56" s="1573"/>
    </row>
    <row r="57" spans="1:11" ht="30" x14ac:dyDescent="0.25">
      <c r="A57" s="175">
        <v>1</v>
      </c>
      <c r="B57" s="102" t="s">
        <v>309</v>
      </c>
      <c r="C57" s="412">
        <v>0.15</v>
      </c>
      <c r="D57" s="103">
        <f t="shared" si="2"/>
        <v>1421.7000000000007</v>
      </c>
      <c r="E57" s="335">
        <f>7498*1.5*1.1+50-11000</f>
        <v>1421.7000000000007</v>
      </c>
      <c r="F57" s="103">
        <v>0</v>
      </c>
      <c r="G57" s="335">
        <v>0</v>
      </c>
      <c r="H57" s="104">
        <v>50</v>
      </c>
      <c r="I57" s="175">
        <v>1.7</v>
      </c>
      <c r="J57" s="105">
        <f>((C57*D57*(H57/100+I57))*4)*1.2-383.08</f>
        <v>1868.8928000000014</v>
      </c>
      <c r="K57" s="128"/>
    </row>
    <row r="58" spans="1:11" hidden="1" x14ac:dyDescent="0.25">
      <c r="A58" s="175">
        <v>2</v>
      </c>
      <c r="B58" s="102" t="s">
        <v>452</v>
      </c>
      <c r="C58" s="175"/>
      <c r="D58" s="103">
        <f>E58+F58+G58</f>
        <v>14400</v>
      </c>
      <c r="E58" s="127">
        <v>12000</v>
      </c>
      <c r="F58" s="103">
        <v>0</v>
      </c>
      <c r="G58" s="103">
        <f>E58*20%</f>
        <v>2400</v>
      </c>
      <c r="H58" s="104">
        <v>50</v>
      </c>
      <c r="I58" s="175">
        <v>1.7</v>
      </c>
      <c r="J58" s="105">
        <f>((C58*D58*(H58/100+I58))*12)*1.2</f>
        <v>0</v>
      </c>
      <c r="K58" s="128"/>
    </row>
    <row r="59" spans="1:11" ht="45" hidden="1" x14ac:dyDescent="0.25">
      <c r="A59" s="175">
        <v>3</v>
      </c>
      <c r="B59" s="102" t="s">
        <v>307</v>
      </c>
      <c r="C59" s="175"/>
      <c r="D59" s="103">
        <f t="shared" si="2"/>
        <v>13200</v>
      </c>
      <c r="E59" s="127">
        <v>11000</v>
      </c>
      <c r="F59" s="103">
        <v>0</v>
      </c>
      <c r="G59" s="103">
        <f>E59*20%</f>
        <v>2200</v>
      </c>
      <c r="H59" s="104">
        <v>50</v>
      </c>
      <c r="I59" s="175">
        <v>1.7</v>
      </c>
      <c r="J59" s="105">
        <f>((C59*D59*(H59/100+I59))*12)*1.13</f>
        <v>0</v>
      </c>
    </row>
    <row r="60" spans="1:11" hidden="1" x14ac:dyDescent="0.25">
      <c r="A60" s="175">
        <v>4</v>
      </c>
      <c r="B60" s="102" t="s">
        <v>310</v>
      </c>
      <c r="C60" s="175"/>
      <c r="D60" s="103">
        <f t="shared" si="2"/>
        <v>14400</v>
      </c>
      <c r="E60" s="127">
        <v>12000</v>
      </c>
      <c r="F60" s="103">
        <v>0</v>
      </c>
      <c r="G60" s="103">
        <f t="shared" ref="G60:G63" si="15">E60*20%</f>
        <v>2400</v>
      </c>
      <c r="H60" s="104">
        <v>50</v>
      </c>
      <c r="I60" s="175">
        <v>1.7</v>
      </c>
      <c r="J60" s="105">
        <f t="shared" ref="J60:J63" si="16">((C60*D60*(H60/100+I60))*12)*1.13</f>
        <v>0</v>
      </c>
    </row>
    <row r="61" spans="1:11" hidden="1" x14ac:dyDescent="0.25">
      <c r="A61" s="175">
        <v>5</v>
      </c>
      <c r="B61" s="102" t="s">
        <v>453</v>
      </c>
      <c r="C61" s="175"/>
      <c r="D61" s="103">
        <f t="shared" si="2"/>
        <v>9600</v>
      </c>
      <c r="E61" s="127">
        <v>8000</v>
      </c>
      <c r="F61" s="103">
        <v>0</v>
      </c>
      <c r="G61" s="103">
        <f t="shared" si="15"/>
        <v>1600</v>
      </c>
      <c r="H61" s="104">
        <v>50</v>
      </c>
      <c r="I61" s="175">
        <v>1.7</v>
      </c>
      <c r="J61" s="105">
        <f t="shared" si="16"/>
        <v>0</v>
      </c>
    </row>
    <row r="62" spans="1:11" hidden="1" x14ac:dyDescent="0.25">
      <c r="A62" s="175">
        <v>6</v>
      </c>
      <c r="B62" s="102" t="s">
        <v>308</v>
      </c>
      <c r="C62" s="175"/>
      <c r="D62" s="103">
        <f t="shared" si="2"/>
        <v>12000</v>
      </c>
      <c r="E62" s="127">
        <v>10000</v>
      </c>
      <c r="F62" s="103">
        <v>0</v>
      </c>
      <c r="G62" s="103">
        <f t="shared" si="15"/>
        <v>2000</v>
      </c>
      <c r="H62" s="104">
        <v>50</v>
      </c>
      <c r="I62" s="175">
        <v>1.7</v>
      </c>
      <c r="J62" s="105">
        <f t="shared" si="16"/>
        <v>0</v>
      </c>
    </row>
    <row r="63" spans="1:11" hidden="1" x14ac:dyDescent="0.25">
      <c r="A63" s="175">
        <v>7</v>
      </c>
      <c r="B63" s="102" t="s">
        <v>311</v>
      </c>
      <c r="C63" s="175"/>
      <c r="D63" s="103">
        <f t="shared" si="2"/>
        <v>12000</v>
      </c>
      <c r="E63" s="127">
        <v>10000</v>
      </c>
      <c r="F63" s="103">
        <v>0</v>
      </c>
      <c r="G63" s="103">
        <f t="shared" si="15"/>
        <v>2000</v>
      </c>
      <c r="H63" s="104">
        <v>50</v>
      </c>
      <c r="I63" s="175">
        <v>1.7</v>
      </c>
      <c r="J63" s="105">
        <f t="shared" si="16"/>
        <v>0</v>
      </c>
    </row>
    <row r="64" spans="1:11" ht="28.5" x14ac:dyDescent="0.25">
      <c r="A64" s="106"/>
      <c r="B64" s="107" t="s">
        <v>454</v>
      </c>
      <c r="C64" s="108">
        <f>SUM(C57:C63)</f>
        <v>0.15</v>
      </c>
      <c r="D64" s="110">
        <f>SUM(D57:D63)</f>
        <v>77021.7</v>
      </c>
      <c r="E64" s="108" t="s">
        <v>14</v>
      </c>
      <c r="F64" s="108" t="s">
        <v>14</v>
      </c>
      <c r="G64" s="108" t="s">
        <v>14</v>
      </c>
      <c r="H64" s="108" t="s">
        <v>14</v>
      </c>
      <c r="I64" s="108" t="s">
        <v>14</v>
      </c>
      <c r="J64" s="111">
        <f>SUM(J57:J63)</f>
        <v>1868.8928000000014</v>
      </c>
      <c r="K64" s="129"/>
    </row>
    <row r="65" spans="1:12" s="41" customFormat="1" x14ac:dyDescent="0.2">
      <c r="A65" s="181"/>
      <c r="B65" s="181" t="s">
        <v>527</v>
      </c>
      <c r="C65" s="181"/>
      <c r="D65" s="181"/>
      <c r="E65" s="181"/>
      <c r="F65" s="181"/>
      <c r="G65" s="181"/>
      <c r="H65" s="181"/>
      <c r="I65" s="181"/>
      <c r="J65" s="120">
        <v>0</v>
      </c>
    </row>
    <row r="66" spans="1:12" x14ac:dyDescent="0.25">
      <c r="A66" s="1584" t="s">
        <v>727</v>
      </c>
      <c r="B66" s="1584"/>
      <c r="C66" s="78">
        <f>C21+C50+C55+C64</f>
        <v>1.62</v>
      </c>
      <c r="D66" s="79">
        <f>D21+D50+D55+D64</f>
        <v>303138.88000000006</v>
      </c>
      <c r="E66" s="78" t="s">
        <v>14</v>
      </c>
      <c r="F66" s="78" t="s">
        <v>14</v>
      </c>
      <c r="G66" s="78" t="s">
        <v>14</v>
      </c>
      <c r="H66" s="78" t="s">
        <v>14</v>
      </c>
      <c r="I66" s="78" t="s">
        <v>14</v>
      </c>
      <c r="J66" s="144">
        <f>J21+J50+J55+J64</f>
        <v>145000.00400000004</v>
      </c>
      <c r="L66" s="77"/>
    </row>
    <row r="67" spans="1:12" ht="39.75" hidden="1" customHeight="1" x14ac:dyDescent="0.25">
      <c r="A67" s="1576" t="s">
        <v>328</v>
      </c>
      <c r="B67" s="1639"/>
      <c r="C67" s="1639"/>
      <c r="D67" s="1639"/>
      <c r="E67" s="1639"/>
      <c r="F67" s="1639"/>
      <c r="G67" s="1639"/>
      <c r="H67" s="1639"/>
      <c r="I67" s="1640"/>
      <c r="J67" s="143">
        <v>0</v>
      </c>
      <c r="L67" s="77"/>
    </row>
    <row r="68" spans="1:12" ht="21.75" hidden="1" customHeight="1" x14ac:dyDescent="0.25">
      <c r="A68" s="1586" t="s">
        <v>324</v>
      </c>
      <c r="B68" s="1587"/>
      <c r="C68" s="1587"/>
      <c r="D68" s="1587"/>
      <c r="E68" s="1587"/>
      <c r="F68" s="1587"/>
      <c r="G68" s="1587"/>
      <c r="H68" s="1587"/>
      <c r="I68" s="1588"/>
      <c r="J68" s="210">
        <f>J66+J67</f>
        <v>145000.00400000004</v>
      </c>
      <c r="L68" s="77"/>
    </row>
    <row r="69" spans="1:12" ht="39.75" hidden="1" customHeight="1" x14ac:dyDescent="0.25">
      <c r="A69" s="178"/>
      <c r="B69" s="179"/>
      <c r="C69" s="179"/>
      <c r="D69" s="179"/>
      <c r="E69" s="179"/>
      <c r="F69" s="179"/>
      <c r="G69" s="179"/>
      <c r="H69" s="179"/>
      <c r="I69" s="180"/>
      <c r="J69" s="143"/>
      <c r="L69" s="77"/>
    </row>
    <row r="70" spans="1:12" ht="15.75" hidden="1" x14ac:dyDescent="0.25">
      <c r="A70" s="112"/>
      <c r="B70" s="112"/>
      <c r="C70" s="170"/>
      <c r="D70" s="113"/>
      <c r="E70" s="170"/>
      <c r="F70" s="170"/>
      <c r="G70" s="170"/>
      <c r="H70" s="170"/>
      <c r="I70" s="170"/>
      <c r="J70" s="114"/>
    </row>
    <row r="71" spans="1:12" hidden="1" x14ac:dyDescent="0.25">
      <c r="A71" s="1579" t="s">
        <v>1</v>
      </c>
      <c r="B71" s="1579" t="s">
        <v>2</v>
      </c>
      <c r="C71" s="1579" t="s">
        <v>3</v>
      </c>
      <c r="D71" s="1574" t="s">
        <v>4</v>
      </c>
      <c r="E71" s="1574"/>
      <c r="F71" s="1574"/>
      <c r="G71" s="1574"/>
      <c r="H71" s="1579" t="s">
        <v>5</v>
      </c>
      <c r="I71" s="1579" t="s">
        <v>6</v>
      </c>
      <c r="J71" s="1579" t="s">
        <v>305</v>
      </c>
    </row>
    <row r="72" spans="1:12" hidden="1" x14ac:dyDescent="0.25">
      <c r="A72" s="1579"/>
      <c r="B72" s="1579"/>
      <c r="C72" s="1579"/>
      <c r="D72" s="1579" t="s">
        <v>8</v>
      </c>
      <c r="E72" s="1574" t="s">
        <v>9</v>
      </c>
      <c r="F72" s="1574"/>
      <c r="G72" s="1574"/>
      <c r="H72" s="1579"/>
      <c r="I72" s="1579"/>
      <c r="J72" s="1579"/>
    </row>
    <row r="73" spans="1:12" ht="75" hidden="1" x14ac:dyDescent="0.25">
      <c r="A73" s="1579"/>
      <c r="B73" s="1579"/>
      <c r="C73" s="1579"/>
      <c r="D73" s="1579"/>
      <c r="E73" s="171" t="s">
        <v>10</v>
      </c>
      <c r="F73" s="171" t="s">
        <v>11</v>
      </c>
      <c r="G73" s="171" t="s">
        <v>12</v>
      </c>
      <c r="H73" s="1579"/>
      <c r="I73" s="1579"/>
      <c r="J73" s="1579"/>
    </row>
    <row r="74" spans="1:12" hidden="1" x14ac:dyDescent="0.25">
      <c r="A74" s="175">
        <v>1</v>
      </c>
      <c r="B74" s="175">
        <v>2</v>
      </c>
      <c r="C74" s="175">
        <v>3</v>
      </c>
      <c r="D74" s="175">
        <v>4</v>
      </c>
      <c r="E74" s="175">
        <v>5</v>
      </c>
      <c r="F74" s="175">
        <v>6</v>
      </c>
      <c r="G74" s="175">
        <v>7</v>
      </c>
      <c r="H74" s="175">
        <v>8</v>
      </c>
      <c r="I74" s="175">
        <v>9</v>
      </c>
      <c r="J74" s="175">
        <v>10</v>
      </c>
    </row>
    <row r="75" spans="1:12" hidden="1" x14ac:dyDescent="0.25">
      <c r="A75" s="1572" t="s">
        <v>306</v>
      </c>
      <c r="B75" s="1573"/>
      <c r="C75" s="1573"/>
      <c r="D75" s="1573"/>
      <c r="E75" s="1573"/>
      <c r="F75" s="1573"/>
      <c r="G75" s="1573"/>
      <c r="H75" s="1573"/>
      <c r="I75" s="1573"/>
      <c r="J75" s="1573"/>
    </row>
    <row r="76" spans="1:12" ht="45" hidden="1" x14ac:dyDescent="0.25">
      <c r="A76" s="175">
        <v>1</v>
      </c>
      <c r="B76" s="102" t="s">
        <v>307</v>
      </c>
      <c r="C76" s="175"/>
      <c r="D76" s="115">
        <f>E76+F76+G76</f>
        <v>0</v>
      </c>
      <c r="E76" s="130"/>
      <c r="F76" s="115"/>
      <c r="G76" s="115">
        <f>(E76+F76)*20%</f>
        <v>0</v>
      </c>
      <c r="H76" s="104">
        <v>50</v>
      </c>
      <c r="I76" s="175">
        <v>1.7</v>
      </c>
      <c r="J76" s="116">
        <f>(C76*D76*(H76/100+I76))*12.5</f>
        <v>0</v>
      </c>
      <c r="L76" s="77"/>
    </row>
    <row r="77" spans="1:12" ht="15.75" hidden="1" customHeight="1" x14ac:dyDescent="0.25">
      <c r="A77" s="175">
        <v>2</v>
      </c>
      <c r="B77" s="102" t="s">
        <v>308</v>
      </c>
      <c r="C77" s="175"/>
      <c r="D77" s="115">
        <f t="shared" ref="D77:D78" si="17">E77+F77+G77</f>
        <v>0</v>
      </c>
      <c r="E77" s="130"/>
      <c r="F77" s="115"/>
      <c r="G77" s="115">
        <f>(E77+F77)*20%</f>
        <v>0</v>
      </c>
      <c r="H77" s="104">
        <v>50</v>
      </c>
      <c r="I77" s="175">
        <v>1.7</v>
      </c>
      <c r="J77" s="116">
        <f>(C77*D77*(H77/100+I77))*12.5</f>
        <v>0</v>
      </c>
    </row>
    <row r="78" spans="1:12" ht="30" hidden="1" x14ac:dyDescent="0.25">
      <c r="A78" s="175">
        <v>3</v>
      </c>
      <c r="B78" s="102" t="s">
        <v>309</v>
      </c>
      <c r="C78" s="175"/>
      <c r="D78" s="115">
        <f t="shared" si="17"/>
        <v>0</v>
      </c>
      <c r="E78" s="115"/>
      <c r="F78" s="115"/>
      <c r="G78" s="115">
        <f>(E78+F78)*20%</f>
        <v>0</v>
      </c>
      <c r="H78" s="104">
        <v>50</v>
      </c>
      <c r="I78" s="175">
        <v>1.7</v>
      </c>
      <c r="J78" s="116">
        <f>(C78*D78*(H78/100+I78))*12.5</f>
        <v>0</v>
      </c>
    </row>
    <row r="79" spans="1:12" hidden="1" x14ac:dyDescent="0.25">
      <c r="A79" s="175">
        <v>4</v>
      </c>
      <c r="B79" s="102" t="s">
        <v>310</v>
      </c>
      <c r="C79" s="175"/>
      <c r="D79" s="115">
        <f>E79+F79+G79</f>
        <v>0</v>
      </c>
      <c r="E79" s="115"/>
      <c r="F79" s="115"/>
      <c r="G79" s="115">
        <f>(E79+F79)*20%</f>
        <v>0</v>
      </c>
      <c r="H79" s="104">
        <v>50</v>
      </c>
      <c r="I79" s="175">
        <v>1.7</v>
      </c>
      <c r="J79" s="116">
        <f>(C79*D79*(H79/100+I79))*12.5</f>
        <v>0</v>
      </c>
    </row>
    <row r="80" spans="1:12" ht="21.75" hidden="1" customHeight="1" x14ac:dyDescent="0.25">
      <c r="A80" s="175">
        <v>5</v>
      </c>
      <c r="B80" s="102" t="s">
        <v>311</v>
      </c>
      <c r="C80" s="175"/>
      <c r="D80" s="115">
        <f t="shared" ref="D80" si="18">E80+F80+G80</f>
        <v>0</v>
      </c>
      <c r="E80" s="115"/>
      <c r="F80" s="115"/>
      <c r="G80" s="115">
        <f t="shared" ref="G80" si="19">(E80+F80)*20%</f>
        <v>0</v>
      </c>
      <c r="H80" s="104">
        <v>50</v>
      </c>
      <c r="I80" s="175">
        <v>1.7</v>
      </c>
      <c r="J80" s="116">
        <f>(C80*D80*(H80/100+I80))*12.5</f>
        <v>0</v>
      </c>
      <c r="K80" s="77"/>
    </row>
    <row r="81" spans="1:12" ht="16.5" hidden="1" customHeight="1" x14ac:dyDescent="0.25">
      <c r="A81" s="106"/>
      <c r="B81" s="117" t="s">
        <v>312</v>
      </c>
      <c r="C81" s="118">
        <f>SUM(C76:C80)</f>
        <v>0</v>
      </c>
      <c r="D81" s="119">
        <f>SUM(D76:D80)</f>
        <v>0</v>
      </c>
      <c r="E81" s="118" t="s">
        <v>14</v>
      </c>
      <c r="F81" s="118" t="s">
        <v>14</v>
      </c>
      <c r="G81" s="118" t="s">
        <v>14</v>
      </c>
      <c r="H81" s="118" t="s">
        <v>14</v>
      </c>
      <c r="I81" s="118" t="s">
        <v>14</v>
      </c>
      <c r="J81" s="120">
        <f>SUM(J76:J80)</f>
        <v>0</v>
      </c>
    </row>
    <row r="82" spans="1:12" ht="15.75" hidden="1" customHeight="1" x14ac:dyDescent="0.25">
      <c r="A82" s="1590" t="s">
        <v>336</v>
      </c>
      <c r="B82" s="1591"/>
      <c r="C82" s="1591"/>
      <c r="D82" s="1591"/>
      <c r="E82" s="1591"/>
      <c r="F82" s="1591"/>
      <c r="G82" s="1591"/>
      <c r="H82" s="1591"/>
      <c r="I82" s="1592"/>
      <c r="J82" s="120"/>
    </row>
    <row r="83" spans="1:12" s="41" customFormat="1" hidden="1" x14ac:dyDescent="0.2">
      <c r="A83" s="1590" t="s">
        <v>413</v>
      </c>
      <c r="B83" s="1591"/>
      <c r="C83" s="1591"/>
      <c r="D83" s="1591"/>
      <c r="E83" s="1591"/>
      <c r="F83" s="1591"/>
      <c r="G83" s="1591"/>
      <c r="H83" s="1591"/>
      <c r="I83" s="1592"/>
      <c r="J83" s="134"/>
    </row>
    <row r="84" spans="1:12" s="41" customFormat="1" x14ac:dyDescent="0.2">
      <c r="A84" s="207" t="s">
        <v>372</v>
      </c>
      <c r="B84" s="208"/>
      <c r="C84" s="209"/>
      <c r="D84" s="209"/>
      <c r="E84" s="209"/>
      <c r="F84" s="209"/>
      <c r="G84" s="209"/>
      <c r="H84" s="209"/>
      <c r="I84" s="209"/>
      <c r="J84" s="134">
        <v>0</v>
      </c>
    </row>
    <row r="85" spans="1:12" s="41" customFormat="1" ht="15.75" x14ac:dyDescent="0.2">
      <c r="A85" s="1593" t="s">
        <v>456</v>
      </c>
      <c r="B85" s="1594"/>
      <c r="C85" s="1594"/>
      <c r="D85" s="1594"/>
      <c r="E85" s="1594"/>
      <c r="F85" s="1594"/>
      <c r="G85" s="1594"/>
      <c r="H85" s="1594"/>
      <c r="I85" s="1594"/>
      <c r="J85" s="1595"/>
    </row>
    <row r="86" spans="1:12" ht="21" customHeight="1" x14ac:dyDescent="0.25">
      <c r="A86" s="1596" t="s">
        <v>457</v>
      </c>
      <c r="B86" s="1597"/>
      <c r="C86" s="121">
        <v>2.4</v>
      </c>
      <c r="D86" s="122">
        <f>D81</f>
        <v>0</v>
      </c>
      <c r="E86" s="123" t="s">
        <v>14</v>
      </c>
      <c r="F86" s="123" t="s">
        <v>14</v>
      </c>
      <c r="G86" s="123" t="s">
        <v>14</v>
      </c>
      <c r="H86" s="123" t="s">
        <v>14</v>
      </c>
      <c r="I86" s="123" t="s">
        <v>14</v>
      </c>
      <c r="J86" s="217">
        <v>0</v>
      </c>
      <c r="K86" s="77"/>
      <c r="L86" s="77"/>
    </row>
    <row r="87" spans="1:12" ht="21" customHeight="1" x14ac:dyDescent="0.25">
      <c r="A87" s="1598" t="s">
        <v>528</v>
      </c>
      <c r="B87" s="1599"/>
      <c r="C87" s="1599"/>
      <c r="D87" s="1599"/>
      <c r="E87" s="1599"/>
      <c r="F87" s="1599"/>
      <c r="G87" s="1599"/>
      <c r="H87" s="1599"/>
      <c r="I87" s="1599"/>
      <c r="J87" s="218">
        <f>J66+J65</f>
        <v>145000.00400000004</v>
      </c>
      <c r="K87" s="77"/>
      <c r="L87" s="77">
        <v>145</v>
      </c>
    </row>
    <row r="88" spans="1:12" ht="21" hidden="1" customHeight="1" x14ac:dyDescent="0.25">
      <c r="A88" s="211"/>
      <c r="B88" s="212"/>
      <c r="C88" s="213"/>
      <c r="D88" s="214"/>
      <c r="E88" s="215"/>
      <c r="F88" s="215"/>
      <c r="G88" s="215"/>
      <c r="H88" s="215"/>
      <c r="I88" s="215"/>
      <c r="J88" s="216"/>
      <c r="K88" s="77"/>
      <c r="L88" s="77"/>
    </row>
    <row r="89" spans="1:12" ht="20.25" hidden="1" customHeight="1" x14ac:dyDescent="0.25">
      <c r="A89" s="1562" t="s">
        <v>352</v>
      </c>
      <c r="B89" s="1563"/>
      <c r="C89" s="1563"/>
      <c r="D89" s="1563"/>
      <c r="E89" s="1563"/>
      <c r="F89" s="1563"/>
      <c r="G89" s="1563"/>
      <c r="H89" s="1563"/>
      <c r="I89" s="1563"/>
      <c r="J89" s="1564"/>
    </row>
    <row r="90" spans="1:12" ht="30" hidden="1" customHeight="1" x14ac:dyDescent="0.25">
      <c r="A90" s="176" t="s">
        <v>1</v>
      </c>
      <c r="B90" s="1600" t="s">
        <v>44</v>
      </c>
      <c r="C90" s="1600"/>
      <c r="D90" s="1600"/>
      <c r="E90" s="1600" t="s">
        <v>45</v>
      </c>
      <c r="F90" s="1600"/>
      <c r="G90" s="1600" t="s">
        <v>46</v>
      </c>
      <c r="H90" s="1600"/>
      <c r="I90" s="1600" t="s">
        <v>102</v>
      </c>
      <c r="J90" s="1600"/>
    </row>
    <row r="91" spans="1:12" ht="16.5" hidden="1" customHeight="1" x14ac:dyDescent="0.25">
      <c r="A91" s="177">
        <v>1</v>
      </c>
      <c r="B91" s="1535">
        <v>2</v>
      </c>
      <c r="C91" s="1535"/>
      <c r="D91" s="1535"/>
      <c r="E91" s="1535">
        <v>3</v>
      </c>
      <c r="F91" s="1535"/>
      <c r="G91" s="1535">
        <v>4</v>
      </c>
      <c r="H91" s="1535"/>
      <c r="I91" s="1535">
        <v>5</v>
      </c>
      <c r="J91" s="1535"/>
    </row>
    <row r="92" spans="1:12" ht="47.25" hidden="1" customHeight="1" x14ac:dyDescent="0.25">
      <c r="A92" s="150">
        <v>1</v>
      </c>
      <c r="B92" s="1463" t="s">
        <v>363</v>
      </c>
      <c r="C92" s="1464"/>
      <c r="D92" s="1465"/>
      <c r="E92" s="1571">
        <f>I92/G92</f>
        <v>0</v>
      </c>
      <c r="F92" s="1571"/>
      <c r="G92" s="1540">
        <v>12</v>
      </c>
      <c r="H92" s="1540"/>
      <c r="I92" s="1589">
        <v>0</v>
      </c>
      <c r="J92" s="1589"/>
    </row>
    <row r="93" spans="1:12" ht="51.75" hidden="1" customHeight="1" x14ac:dyDescent="0.25">
      <c r="A93" s="150" t="s">
        <v>75</v>
      </c>
      <c r="B93" s="1463" t="s">
        <v>364</v>
      </c>
      <c r="C93" s="1464"/>
      <c r="D93" s="1465"/>
      <c r="E93" s="1571">
        <f>I93/G93</f>
        <v>0</v>
      </c>
      <c r="F93" s="1571"/>
      <c r="G93" s="1540">
        <v>72</v>
      </c>
      <c r="H93" s="1540"/>
      <c r="I93" s="1589">
        <v>0</v>
      </c>
      <c r="J93" s="1589"/>
    </row>
    <row r="94" spans="1:12" ht="33.75" hidden="1" customHeight="1" x14ac:dyDescent="0.25">
      <c r="A94" s="234"/>
      <c r="B94" s="1177" t="s">
        <v>324</v>
      </c>
      <c r="C94" s="1178"/>
      <c r="D94" s="1601"/>
      <c r="E94" s="1167" t="s">
        <v>14</v>
      </c>
      <c r="F94" s="1168"/>
      <c r="G94" s="1167" t="s">
        <v>14</v>
      </c>
      <c r="H94" s="1201"/>
      <c r="I94" s="235"/>
      <c r="J94" s="236">
        <f>I93</f>
        <v>0</v>
      </c>
    </row>
    <row r="95" spans="1:12" s="41" customFormat="1" ht="40.5" customHeight="1" x14ac:dyDescent="0.25">
      <c r="A95" s="1507" t="s">
        <v>353</v>
      </c>
      <c r="B95" s="1507"/>
      <c r="C95" s="1507"/>
      <c r="D95" s="1507"/>
      <c r="E95" s="1507"/>
      <c r="F95" s="1507"/>
      <c r="G95" s="1507"/>
      <c r="H95" s="1507"/>
      <c r="I95" s="1507"/>
      <c r="J95" s="1507"/>
    </row>
    <row r="96" spans="1:12" ht="38.25" x14ac:dyDescent="0.25">
      <c r="A96" s="177" t="s">
        <v>1</v>
      </c>
      <c r="B96" s="1535" t="s">
        <v>15</v>
      </c>
      <c r="C96" s="1535"/>
      <c r="D96" s="1535"/>
      <c r="E96" s="1535" t="s">
        <v>16</v>
      </c>
      <c r="F96" s="1535"/>
      <c r="G96" s="177" t="s">
        <v>17</v>
      </c>
      <c r="H96" s="177" t="s">
        <v>18</v>
      </c>
      <c r="I96" s="1535" t="s">
        <v>104</v>
      </c>
      <c r="J96" s="1535"/>
    </row>
    <row r="97" spans="1:10" x14ac:dyDescent="0.25">
      <c r="A97" s="177">
        <v>1</v>
      </c>
      <c r="B97" s="1535">
        <v>2</v>
      </c>
      <c r="C97" s="1535"/>
      <c r="D97" s="1535"/>
      <c r="E97" s="1535">
        <v>3</v>
      </c>
      <c r="F97" s="1535"/>
      <c r="G97" s="177">
        <v>4</v>
      </c>
      <c r="H97" s="177">
        <v>5</v>
      </c>
      <c r="I97" s="1535">
        <v>6</v>
      </c>
      <c r="J97" s="1535"/>
    </row>
    <row r="98" spans="1:10" ht="16.5" customHeight="1" x14ac:dyDescent="0.25">
      <c r="A98" s="1562" t="s">
        <v>354</v>
      </c>
      <c r="B98" s="1563"/>
      <c r="C98" s="1563"/>
      <c r="D98" s="1563"/>
      <c r="E98" s="1563"/>
      <c r="F98" s="1563"/>
      <c r="G98" s="1563"/>
      <c r="H98" s="1563"/>
      <c r="I98" s="1563"/>
      <c r="J98" s="1564"/>
    </row>
    <row r="99" spans="1:10" ht="25.5" customHeight="1" x14ac:dyDescent="0.25">
      <c r="A99" s="174" t="s">
        <v>70</v>
      </c>
      <c r="B99" s="1635" t="s">
        <v>609</v>
      </c>
      <c r="C99" s="1636"/>
      <c r="D99" s="1637"/>
      <c r="E99" s="1633">
        <v>300</v>
      </c>
      <c r="F99" s="1634"/>
      <c r="G99" s="174">
        <v>1</v>
      </c>
      <c r="H99" s="174">
        <v>5</v>
      </c>
      <c r="I99" s="1638">
        <f>E99*G99*H99</f>
        <v>1500</v>
      </c>
      <c r="J99" s="1638"/>
    </row>
    <row r="100" spans="1:10" ht="15" hidden="1" customHeight="1" x14ac:dyDescent="0.25">
      <c r="A100" s="1562" t="s">
        <v>356</v>
      </c>
      <c r="B100" s="1563"/>
      <c r="C100" s="1563"/>
      <c r="D100" s="1563"/>
      <c r="E100" s="1563"/>
      <c r="F100" s="1563"/>
      <c r="G100" s="1563"/>
      <c r="H100" s="1563"/>
      <c r="I100" s="1563"/>
      <c r="J100" s="1564"/>
    </row>
    <row r="101" spans="1:10" ht="53.25" hidden="1" customHeight="1" x14ac:dyDescent="0.25">
      <c r="A101" s="193" t="s">
        <v>70</v>
      </c>
      <c r="B101" s="1557" t="s">
        <v>458</v>
      </c>
      <c r="C101" s="1558"/>
      <c r="D101" s="1559"/>
      <c r="E101" s="1534">
        <v>22300</v>
      </c>
      <c r="F101" s="1534"/>
      <c r="G101" s="219">
        <v>45</v>
      </c>
      <c r="H101" s="219">
        <v>1</v>
      </c>
      <c r="I101" s="1569">
        <v>0</v>
      </c>
      <c r="J101" s="1570"/>
    </row>
    <row r="102" spans="1:10" ht="48.75" hidden="1" customHeight="1" x14ac:dyDescent="0.25">
      <c r="A102" s="174" t="s">
        <v>75</v>
      </c>
      <c r="B102" s="1557" t="s">
        <v>459</v>
      </c>
      <c r="C102" s="1558"/>
      <c r="D102" s="1559"/>
      <c r="E102" s="1560">
        <v>15600</v>
      </c>
      <c r="F102" s="1560"/>
      <c r="G102" s="131">
        <v>24</v>
      </c>
      <c r="H102" s="151">
        <v>1</v>
      </c>
      <c r="I102" s="1561">
        <v>0</v>
      </c>
      <c r="J102" s="1561"/>
    </row>
    <row r="103" spans="1:10" x14ac:dyDescent="0.25">
      <c r="A103" s="1562" t="s">
        <v>357</v>
      </c>
      <c r="B103" s="1563"/>
      <c r="C103" s="1563"/>
      <c r="D103" s="1563"/>
      <c r="E103" s="1563"/>
      <c r="F103" s="1563"/>
      <c r="G103" s="1563"/>
      <c r="H103" s="1563"/>
      <c r="I103" s="1563"/>
      <c r="J103" s="1564"/>
    </row>
    <row r="104" spans="1:10" ht="36.75" customHeight="1" x14ac:dyDescent="0.25">
      <c r="A104" s="152" t="s">
        <v>75</v>
      </c>
      <c r="B104" s="1630" t="s">
        <v>610</v>
      </c>
      <c r="C104" s="1631"/>
      <c r="D104" s="1632"/>
      <c r="E104" s="1628">
        <v>0</v>
      </c>
      <c r="F104" s="1628"/>
      <c r="G104" s="152">
        <v>3</v>
      </c>
      <c r="H104" s="152">
        <v>0</v>
      </c>
      <c r="I104" s="1629">
        <v>11500</v>
      </c>
      <c r="J104" s="1629"/>
    </row>
    <row r="105" spans="1:10" x14ac:dyDescent="0.25">
      <c r="A105" s="174"/>
      <c r="B105" s="1539" t="s">
        <v>13</v>
      </c>
      <c r="C105" s="1539"/>
      <c r="D105" s="1539"/>
      <c r="E105" s="1540" t="s">
        <v>14</v>
      </c>
      <c r="F105" s="1540"/>
      <c r="G105" s="174" t="s">
        <v>14</v>
      </c>
      <c r="H105" s="174" t="s">
        <v>14</v>
      </c>
      <c r="I105" s="1543">
        <f>I99+I102+I104+I101</f>
        <v>13000</v>
      </c>
      <c r="J105" s="1543"/>
    </row>
    <row r="106" spans="1:10" ht="19.5" hidden="1" customHeight="1" x14ac:dyDescent="0.25">
      <c r="A106" s="1480" t="s">
        <v>359</v>
      </c>
      <c r="B106" s="1480"/>
      <c r="C106" s="1480"/>
      <c r="D106" s="1480"/>
      <c r="E106" s="1480"/>
      <c r="F106" s="1480"/>
      <c r="G106" s="1480"/>
      <c r="H106" s="1480"/>
      <c r="I106" s="1480"/>
      <c r="J106" s="1480"/>
    </row>
    <row r="107" spans="1:10" ht="51" hidden="1" x14ac:dyDescent="0.25">
      <c r="A107" s="177" t="s">
        <v>1</v>
      </c>
      <c r="B107" s="1535" t="s">
        <v>15</v>
      </c>
      <c r="C107" s="1535"/>
      <c r="D107" s="1535"/>
      <c r="E107" s="1544" t="s">
        <v>20</v>
      </c>
      <c r="F107" s="1545"/>
      <c r="G107" s="177" t="s">
        <v>21</v>
      </c>
      <c r="H107" s="177" t="s">
        <v>22</v>
      </c>
      <c r="I107" s="1535" t="s">
        <v>19</v>
      </c>
      <c r="J107" s="1535"/>
    </row>
    <row r="108" spans="1:10" hidden="1" x14ac:dyDescent="0.25">
      <c r="A108" s="177">
        <v>1</v>
      </c>
      <c r="B108" s="1535">
        <v>2</v>
      </c>
      <c r="C108" s="1535"/>
      <c r="D108" s="1535"/>
      <c r="E108" s="1544">
        <v>3</v>
      </c>
      <c r="F108" s="1545"/>
      <c r="G108" s="177">
        <v>4</v>
      </c>
      <c r="H108" s="177">
        <v>5</v>
      </c>
      <c r="I108" s="1535">
        <v>6</v>
      </c>
      <c r="J108" s="1535"/>
    </row>
    <row r="109" spans="1:10" ht="47.25" hidden="1" customHeight="1" x14ac:dyDescent="0.25">
      <c r="A109" s="175" t="s">
        <v>70</v>
      </c>
      <c r="B109" s="1546" t="s">
        <v>79</v>
      </c>
      <c r="C109" s="1547"/>
      <c r="D109" s="1548"/>
      <c r="E109" s="1549"/>
      <c r="F109" s="1550"/>
      <c r="G109" s="154">
        <v>12</v>
      </c>
      <c r="H109" s="154">
        <v>85</v>
      </c>
      <c r="I109" s="1551">
        <f>E109*G109*H109</f>
        <v>0</v>
      </c>
      <c r="J109" s="1551"/>
    </row>
    <row r="110" spans="1:10" ht="17.25" hidden="1" customHeight="1" x14ac:dyDescent="0.25">
      <c r="A110" s="153"/>
      <c r="B110" s="1536" t="s">
        <v>13</v>
      </c>
      <c r="C110" s="1536"/>
      <c r="D110" s="1536"/>
      <c r="E110" s="1537" t="s">
        <v>14</v>
      </c>
      <c r="F110" s="1538"/>
      <c r="G110" s="174" t="s">
        <v>14</v>
      </c>
      <c r="H110" s="174" t="s">
        <v>14</v>
      </c>
      <c r="I110" s="1543">
        <f>SUM(I109)</f>
        <v>0</v>
      </c>
      <c r="J110" s="1552"/>
    </row>
    <row r="111" spans="1:10" s="41" customFormat="1" ht="54" customHeight="1" x14ac:dyDescent="0.25">
      <c r="A111" s="1507" t="s">
        <v>288</v>
      </c>
      <c r="B111" s="1507"/>
      <c r="C111" s="1507"/>
      <c r="D111" s="1507"/>
      <c r="E111" s="1507"/>
      <c r="F111" s="1507"/>
      <c r="G111" s="1507"/>
      <c r="H111" s="1507"/>
      <c r="I111" s="1507"/>
      <c r="J111" s="1507"/>
    </row>
    <row r="112" spans="1:10" ht="25.5" customHeight="1" x14ac:dyDescent="0.25">
      <c r="A112" s="172" t="s">
        <v>1</v>
      </c>
      <c r="B112" s="1508" t="s">
        <v>23</v>
      </c>
      <c r="C112" s="1508"/>
      <c r="D112" s="1508"/>
      <c r="E112" s="1508"/>
      <c r="F112" s="1508"/>
      <c r="G112" s="1508" t="s">
        <v>24</v>
      </c>
      <c r="H112" s="1508"/>
      <c r="I112" s="1508" t="s">
        <v>25</v>
      </c>
      <c r="J112" s="1508"/>
    </row>
    <row r="113" spans="1:10" ht="12" customHeight="1" x14ac:dyDescent="0.25">
      <c r="A113" s="188">
        <v>1</v>
      </c>
      <c r="B113" s="1346">
        <v>2</v>
      </c>
      <c r="C113" s="1346"/>
      <c r="D113" s="1346"/>
      <c r="E113" s="1346"/>
      <c r="F113" s="1346"/>
      <c r="G113" s="1346">
        <v>3</v>
      </c>
      <c r="H113" s="1346"/>
      <c r="I113" s="1346">
        <v>4</v>
      </c>
      <c r="J113" s="1346"/>
    </row>
    <row r="114" spans="1:10" ht="17.25" customHeight="1" x14ac:dyDescent="0.25">
      <c r="A114" s="187" t="s">
        <v>70</v>
      </c>
      <c r="B114" s="1527" t="s">
        <v>26</v>
      </c>
      <c r="C114" s="1527"/>
      <c r="D114" s="1527"/>
      <c r="E114" s="1527"/>
      <c r="F114" s="1527"/>
      <c r="G114" s="1532" t="s">
        <v>14</v>
      </c>
      <c r="H114" s="1532"/>
      <c r="I114" s="1531">
        <f>SUM(I116:J118)</f>
        <v>26444</v>
      </c>
      <c r="J114" s="1531"/>
    </row>
    <row r="115" spans="1:10" ht="16.5" customHeight="1" x14ac:dyDescent="0.25">
      <c r="A115" s="89"/>
      <c r="B115" s="1387" t="s">
        <v>9</v>
      </c>
      <c r="C115" s="1444"/>
      <c r="D115" s="1444"/>
      <c r="E115" s="1444"/>
      <c r="F115" s="1388"/>
      <c r="G115" s="1505"/>
      <c r="H115" s="1505"/>
      <c r="I115" s="1504"/>
      <c r="J115" s="1504"/>
    </row>
    <row r="116" spans="1:10" ht="17.25" customHeight="1" x14ac:dyDescent="0.25">
      <c r="A116" s="191" t="s">
        <v>27</v>
      </c>
      <c r="B116" s="1533" t="s">
        <v>28</v>
      </c>
      <c r="C116" s="1533"/>
      <c r="D116" s="1533"/>
      <c r="E116" s="1533"/>
      <c r="F116" s="1533"/>
      <c r="G116" s="1503">
        <v>120200</v>
      </c>
      <c r="H116" s="1503"/>
      <c r="I116" s="1504">
        <f>G116*22%</f>
        <v>26444</v>
      </c>
      <c r="J116" s="1504"/>
    </row>
    <row r="117" spans="1:10" ht="15" customHeight="1" x14ac:dyDescent="0.25">
      <c r="A117" s="191" t="s">
        <v>29</v>
      </c>
      <c r="B117" s="1386" t="s">
        <v>30</v>
      </c>
      <c r="C117" s="1386"/>
      <c r="D117" s="1386"/>
      <c r="E117" s="1386"/>
      <c r="F117" s="1386"/>
      <c r="G117" s="1505"/>
      <c r="H117" s="1505"/>
      <c r="I117" s="1504">
        <f>G117*10%</f>
        <v>0</v>
      </c>
      <c r="J117" s="1504"/>
    </row>
    <row r="118" spans="1:10" ht="29.45" customHeight="1" x14ac:dyDescent="0.25">
      <c r="A118" s="191" t="s">
        <v>31</v>
      </c>
      <c r="B118" s="1506" t="s">
        <v>32</v>
      </c>
      <c r="C118" s="1506"/>
      <c r="D118" s="1506"/>
      <c r="E118" s="1506"/>
      <c r="F118" s="1506"/>
      <c r="G118" s="1505"/>
      <c r="H118" s="1505"/>
      <c r="I118" s="1504"/>
      <c r="J118" s="1504"/>
    </row>
    <row r="119" spans="1:10" ht="29.25" customHeight="1" x14ac:dyDescent="0.25">
      <c r="A119" s="187" t="s">
        <v>75</v>
      </c>
      <c r="B119" s="1527" t="s">
        <v>33</v>
      </c>
      <c r="C119" s="1527"/>
      <c r="D119" s="1527"/>
      <c r="E119" s="1527"/>
      <c r="F119" s="1527"/>
      <c r="G119" s="1532" t="s">
        <v>14</v>
      </c>
      <c r="H119" s="1532"/>
      <c r="I119" s="1531">
        <f>SUM(I121:J125)</f>
        <v>3425.7999999999997</v>
      </c>
      <c r="J119" s="1531"/>
    </row>
    <row r="120" spans="1:10" ht="15.75" customHeight="1" x14ac:dyDescent="0.25">
      <c r="A120" s="89"/>
      <c r="B120" s="1387" t="s">
        <v>9</v>
      </c>
      <c r="C120" s="1444"/>
      <c r="D120" s="1444"/>
      <c r="E120" s="1444"/>
      <c r="F120" s="1388"/>
      <c r="G120" s="1505"/>
      <c r="H120" s="1505"/>
      <c r="I120" s="1504"/>
      <c r="J120" s="1504"/>
    </row>
    <row r="121" spans="1:10" ht="27.75" customHeight="1" x14ac:dyDescent="0.25">
      <c r="A121" s="191" t="s">
        <v>34</v>
      </c>
      <c r="B121" s="1506" t="s">
        <v>35</v>
      </c>
      <c r="C121" s="1506"/>
      <c r="D121" s="1506"/>
      <c r="E121" s="1506"/>
      <c r="F121" s="1506"/>
      <c r="G121" s="1503">
        <f>G116+G117</f>
        <v>120200</v>
      </c>
      <c r="H121" s="1503"/>
      <c r="I121" s="1504">
        <f>G121*2.9%-300.4</f>
        <v>3185.3999999999996</v>
      </c>
      <c r="J121" s="1504"/>
    </row>
    <row r="122" spans="1:10" ht="15" customHeight="1" x14ac:dyDescent="0.25">
      <c r="A122" s="191" t="s">
        <v>36</v>
      </c>
      <c r="B122" s="1506" t="s">
        <v>37</v>
      </c>
      <c r="C122" s="1506"/>
      <c r="D122" s="1506"/>
      <c r="E122" s="1506"/>
      <c r="F122" s="1506"/>
      <c r="G122" s="1505"/>
      <c r="H122" s="1505"/>
      <c r="I122" s="1504"/>
      <c r="J122" s="1504"/>
    </row>
    <row r="123" spans="1:10" ht="35.25" customHeight="1" x14ac:dyDescent="0.25">
      <c r="A123" s="191" t="s">
        <v>38</v>
      </c>
      <c r="B123" s="1506" t="s">
        <v>39</v>
      </c>
      <c r="C123" s="1506"/>
      <c r="D123" s="1506"/>
      <c r="E123" s="1506"/>
      <c r="F123" s="1506"/>
      <c r="G123" s="1503">
        <f>G116+G117</f>
        <v>120200</v>
      </c>
      <c r="H123" s="1503"/>
      <c r="I123" s="1504">
        <f>G123*0.2%</f>
        <v>240.4</v>
      </c>
      <c r="J123" s="1504"/>
    </row>
    <row r="124" spans="1:10" s="41" customFormat="1" ht="15" customHeight="1" x14ac:dyDescent="0.25">
      <c r="A124" s="191" t="s">
        <v>40</v>
      </c>
      <c r="B124" s="1506" t="s">
        <v>41</v>
      </c>
      <c r="C124" s="1506"/>
      <c r="D124" s="1506"/>
      <c r="E124" s="1506"/>
      <c r="F124" s="1506"/>
      <c r="G124" s="1505"/>
      <c r="H124" s="1505"/>
      <c r="I124" s="1504"/>
      <c r="J124" s="1504"/>
    </row>
    <row r="125" spans="1:10" ht="15" customHeight="1" x14ac:dyDescent="0.25">
      <c r="A125" s="191" t="s">
        <v>42</v>
      </c>
      <c r="B125" s="1506" t="s">
        <v>41</v>
      </c>
      <c r="C125" s="1506"/>
      <c r="D125" s="1506"/>
      <c r="E125" s="1506"/>
      <c r="F125" s="1506"/>
      <c r="G125" s="1505"/>
      <c r="H125" s="1505"/>
      <c r="I125" s="1504"/>
      <c r="J125" s="1504"/>
    </row>
    <row r="126" spans="1:10" ht="30" customHeight="1" x14ac:dyDescent="0.25">
      <c r="A126" s="187" t="s">
        <v>77</v>
      </c>
      <c r="B126" s="1527" t="s">
        <v>43</v>
      </c>
      <c r="C126" s="1527"/>
      <c r="D126" s="1527"/>
      <c r="E126" s="1527"/>
      <c r="F126" s="1527"/>
      <c r="G126" s="1530">
        <f>G116+G117</f>
        <v>120200</v>
      </c>
      <c r="H126" s="1530"/>
      <c r="I126" s="1531">
        <f>G126*5.1%</f>
        <v>6130.2</v>
      </c>
      <c r="J126" s="1531"/>
    </row>
    <row r="127" spans="1:10" ht="19.5" customHeight="1" x14ac:dyDescent="0.25">
      <c r="A127" s="191"/>
      <c r="B127" s="1338" t="s">
        <v>726</v>
      </c>
      <c r="C127" s="1338"/>
      <c r="D127" s="1338"/>
      <c r="E127" s="1338"/>
      <c r="F127" s="1338"/>
      <c r="G127" s="1341" t="s">
        <v>14</v>
      </c>
      <c r="H127" s="1341"/>
      <c r="I127" s="1529">
        <f>I114+I119+I126</f>
        <v>36000</v>
      </c>
      <c r="J127" s="1529"/>
    </row>
    <row r="128" spans="1:10" ht="36" hidden="1" customHeight="1" x14ac:dyDescent="0.25">
      <c r="A128" s="172" t="s">
        <v>1</v>
      </c>
      <c r="B128" s="1501" t="s">
        <v>23</v>
      </c>
      <c r="C128" s="1528"/>
      <c r="D128" s="1528"/>
      <c r="E128" s="1528"/>
      <c r="F128" s="1502"/>
      <c r="G128" s="1501" t="s">
        <v>24</v>
      </c>
      <c r="H128" s="1502"/>
      <c r="I128" s="1501" t="s">
        <v>25</v>
      </c>
      <c r="J128" s="1502"/>
    </row>
    <row r="129" spans="1:10" ht="11.25" hidden="1" customHeight="1" x14ac:dyDescent="0.25">
      <c r="A129" s="188">
        <v>1</v>
      </c>
      <c r="B129" s="1344">
        <v>2</v>
      </c>
      <c r="C129" s="1392"/>
      <c r="D129" s="1392"/>
      <c r="E129" s="1392"/>
      <c r="F129" s="1345"/>
      <c r="G129" s="1344">
        <v>3</v>
      </c>
      <c r="H129" s="1345"/>
      <c r="I129" s="1344">
        <v>4</v>
      </c>
      <c r="J129" s="1345"/>
    </row>
    <row r="130" spans="1:10" ht="20.25" hidden="1" customHeight="1" x14ac:dyDescent="0.25">
      <c r="A130" s="187" t="s">
        <v>70</v>
      </c>
      <c r="B130" s="1484" t="s">
        <v>26</v>
      </c>
      <c r="C130" s="1485"/>
      <c r="D130" s="1485"/>
      <c r="E130" s="1485"/>
      <c r="F130" s="1486"/>
      <c r="G130" s="1362" t="s">
        <v>14</v>
      </c>
      <c r="H130" s="1363"/>
      <c r="I130" s="1487">
        <f>SUM(I132:J134)</f>
        <v>0</v>
      </c>
      <c r="J130" s="1488"/>
    </row>
    <row r="131" spans="1:10" ht="18" hidden="1" customHeight="1" x14ac:dyDescent="0.25">
      <c r="A131" s="89"/>
      <c r="B131" s="1387" t="s">
        <v>9</v>
      </c>
      <c r="C131" s="1444"/>
      <c r="D131" s="1444"/>
      <c r="E131" s="1444"/>
      <c r="F131" s="1388"/>
      <c r="G131" s="1489"/>
      <c r="H131" s="1490"/>
      <c r="I131" s="1491"/>
      <c r="J131" s="1492"/>
    </row>
    <row r="132" spans="1:10" s="41" customFormat="1" ht="20.25" hidden="1" customHeight="1" x14ac:dyDescent="0.25">
      <c r="A132" s="191" t="s">
        <v>27</v>
      </c>
      <c r="B132" s="1495" t="s">
        <v>28</v>
      </c>
      <c r="C132" s="1496"/>
      <c r="D132" s="1496"/>
      <c r="E132" s="1496"/>
      <c r="F132" s="1497"/>
      <c r="G132" s="1493">
        <f>J86</f>
        <v>0</v>
      </c>
      <c r="H132" s="1494"/>
      <c r="I132" s="1491">
        <f>G132*22%</f>
        <v>0</v>
      </c>
      <c r="J132" s="1492"/>
    </row>
    <row r="133" spans="1:10" hidden="1" x14ac:dyDescent="0.25">
      <c r="A133" s="191" t="s">
        <v>29</v>
      </c>
      <c r="B133" s="1402" t="s">
        <v>30</v>
      </c>
      <c r="C133" s="1403"/>
      <c r="D133" s="1403"/>
      <c r="E133" s="1403"/>
      <c r="F133" s="1404"/>
      <c r="G133" s="1489"/>
      <c r="H133" s="1490"/>
      <c r="I133" s="1491"/>
      <c r="J133" s="1492"/>
    </row>
    <row r="134" spans="1:10" ht="15" hidden="1" customHeight="1" x14ac:dyDescent="0.25">
      <c r="A134" s="191" t="s">
        <v>31</v>
      </c>
      <c r="B134" s="1498" t="s">
        <v>32</v>
      </c>
      <c r="C134" s="1499"/>
      <c r="D134" s="1499"/>
      <c r="E134" s="1499"/>
      <c r="F134" s="1500"/>
      <c r="G134" s="1489"/>
      <c r="H134" s="1490"/>
      <c r="I134" s="1491"/>
      <c r="J134" s="1492"/>
    </row>
    <row r="135" spans="1:10" ht="15" hidden="1" customHeight="1" x14ac:dyDescent="0.25">
      <c r="A135" s="187" t="s">
        <v>75</v>
      </c>
      <c r="B135" s="1484" t="s">
        <v>33</v>
      </c>
      <c r="C135" s="1485"/>
      <c r="D135" s="1485"/>
      <c r="E135" s="1485"/>
      <c r="F135" s="1486"/>
      <c r="G135" s="1362" t="s">
        <v>14</v>
      </c>
      <c r="H135" s="1363"/>
      <c r="I135" s="1487">
        <f>SUM(I137:J141)</f>
        <v>-4.0000000000000001E-3</v>
      </c>
      <c r="J135" s="1488"/>
    </row>
    <row r="136" spans="1:10" ht="15" hidden="1" customHeight="1" x14ac:dyDescent="0.25">
      <c r="A136" s="89"/>
      <c r="B136" s="1387" t="s">
        <v>9</v>
      </c>
      <c r="C136" s="1444"/>
      <c r="D136" s="1444"/>
      <c r="E136" s="1444"/>
      <c r="F136" s="1388"/>
      <c r="G136" s="1489"/>
      <c r="H136" s="1490"/>
      <c r="I136" s="1491"/>
      <c r="J136" s="1492"/>
    </row>
    <row r="137" spans="1:10" ht="26.25" hidden="1" customHeight="1" x14ac:dyDescent="0.25">
      <c r="A137" s="191" t="s">
        <v>34</v>
      </c>
      <c r="B137" s="1498" t="s">
        <v>35</v>
      </c>
      <c r="C137" s="1499"/>
      <c r="D137" s="1499"/>
      <c r="E137" s="1499"/>
      <c r="F137" s="1500"/>
      <c r="G137" s="1493">
        <f>G132</f>
        <v>0</v>
      </c>
      <c r="H137" s="1494"/>
      <c r="I137" s="1491">
        <f>G137*2.9%</f>
        <v>0</v>
      </c>
      <c r="J137" s="1492"/>
    </row>
    <row r="138" spans="1:10" hidden="1" x14ac:dyDescent="0.25">
      <c r="A138" s="191" t="s">
        <v>36</v>
      </c>
      <c r="B138" s="1498" t="s">
        <v>37</v>
      </c>
      <c r="C138" s="1499"/>
      <c r="D138" s="1499"/>
      <c r="E138" s="1499"/>
      <c r="F138" s="1500"/>
      <c r="G138" s="1489"/>
      <c r="H138" s="1490"/>
      <c r="I138" s="1491"/>
      <c r="J138" s="1492"/>
    </row>
    <row r="139" spans="1:10" ht="26.25" hidden="1" customHeight="1" x14ac:dyDescent="0.25">
      <c r="A139" s="191" t="s">
        <v>38</v>
      </c>
      <c r="B139" s="1498" t="s">
        <v>39</v>
      </c>
      <c r="C139" s="1499"/>
      <c r="D139" s="1499"/>
      <c r="E139" s="1499"/>
      <c r="F139" s="1500"/>
      <c r="G139" s="1493">
        <f>G132</f>
        <v>0</v>
      </c>
      <c r="H139" s="1494"/>
      <c r="I139" s="1491">
        <f>G139*0.2%-0.004</f>
        <v>-4.0000000000000001E-3</v>
      </c>
      <c r="J139" s="1492"/>
    </row>
    <row r="140" spans="1:10" s="41" customFormat="1" ht="14.25" hidden="1" customHeight="1" x14ac:dyDescent="0.25">
      <c r="A140" s="191" t="s">
        <v>40</v>
      </c>
      <c r="B140" s="1498" t="s">
        <v>41</v>
      </c>
      <c r="C140" s="1499"/>
      <c r="D140" s="1499"/>
      <c r="E140" s="1499"/>
      <c r="F140" s="1500"/>
      <c r="G140" s="1489"/>
      <c r="H140" s="1490"/>
      <c r="I140" s="1491"/>
      <c r="J140" s="1492"/>
    </row>
    <row r="141" spans="1:10" ht="15" hidden="1" customHeight="1" x14ac:dyDescent="0.25">
      <c r="A141" s="191" t="s">
        <v>42</v>
      </c>
      <c r="B141" s="1498" t="s">
        <v>41</v>
      </c>
      <c r="C141" s="1499"/>
      <c r="D141" s="1499"/>
      <c r="E141" s="1499"/>
      <c r="F141" s="1500"/>
      <c r="G141" s="1489"/>
      <c r="H141" s="1490"/>
      <c r="I141" s="1491"/>
      <c r="J141" s="1492"/>
    </row>
    <row r="142" spans="1:10" hidden="1" x14ac:dyDescent="0.25">
      <c r="A142" s="187" t="s">
        <v>77</v>
      </c>
      <c r="B142" s="1484" t="s">
        <v>43</v>
      </c>
      <c r="C142" s="1485"/>
      <c r="D142" s="1485"/>
      <c r="E142" s="1485"/>
      <c r="F142" s="1486"/>
      <c r="G142" s="1524">
        <f>G132</f>
        <v>0</v>
      </c>
      <c r="H142" s="1525"/>
      <c r="I142" s="1487">
        <f>G142*5.1%</f>
        <v>0</v>
      </c>
      <c r="J142" s="1488"/>
    </row>
    <row r="143" spans="1:10" x14ac:dyDescent="0.25">
      <c r="A143" s="191"/>
      <c r="B143" s="1431" t="s">
        <v>373</v>
      </c>
      <c r="C143" s="1432"/>
      <c r="D143" s="1432"/>
      <c r="E143" s="1432"/>
      <c r="F143" s="1433"/>
      <c r="G143" s="1406" t="s">
        <v>14</v>
      </c>
      <c r="H143" s="1407"/>
      <c r="I143" s="1520">
        <f>I130+I135+I142</f>
        <v>-4.0000000000000001E-3</v>
      </c>
      <c r="J143" s="1521"/>
    </row>
    <row r="144" spans="1:10" x14ac:dyDescent="0.25">
      <c r="A144" s="191"/>
      <c r="B144" s="1431" t="s">
        <v>767</v>
      </c>
      <c r="C144" s="1432"/>
      <c r="D144" s="1432"/>
      <c r="E144" s="1432"/>
      <c r="F144" s="1433"/>
      <c r="G144" s="182"/>
      <c r="H144" s="183"/>
      <c r="I144" s="1520">
        <v>0</v>
      </c>
      <c r="J144" s="1521"/>
    </row>
    <row r="145" spans="1:12" s="41" customFormat="1" ht="19.5" customHeight="1" x14ac:dyDescent="0.25">
      <c r="A145" s="100"/>
      <c r="B145" s="1526" t="s">
        <v>675</v>
      </c>
      <c r="C145" s="1526"/>
      <c r="D145" s="1526"/>
      <c r="E145" s="1526"/>
      <c r="F145" s="1526"/>
      <c r="G145" s="1522" t="s">
        <v>14</v>
      </c>
      <c r="H145" s="1522"/>
      <c r="I145" s="1523">
        <f>I127+I143+I144</f>
        <v>35999.995999999999</v>
      </c>
      <c r="J145" s="1523"/>
      <c r="K145" s="1474"/>
      <c r="L145" s="1474"/>
    </row>
    <row r="146" spans="1:12" s="41" customFormat="1" ht="38.25" customHeight="1" x14ac:dyDescent="0.2">
      <c r="A146" s="1477" t="s">
        <v>414</v>
      </c>
      <c r="B146" s="1477"/>
      <c r="C146" s="1477"/>
      <c r="D146" s="1477"/>
      <c r="E146" s="1477"/>
      <c r="F146" s="1477"/>
      <c r="G146" s="1477"/>
      <c r="H146" s="1477"/>
      <c r="I146" s="1477"/>
      <c r="J146" s="1477"/>
    </row>
    <row r="147" spans="1:12" ht="19.5" hidden="1" customHeight="1" x14ac:dyDescent="0.25">
      <c r="A147" s="1480" t="s">
        <v>370</v>
      </c>
      <c r="B147" s="1480"/>
      <c r="C147" s="1480"/>
      <c r="D147" s="1480"/>
      <c r="E147" s="1480"/>
      <c r="F147" s="1480"/>
      <c r="G147" s="1480"/>
      <c r="H147" s="1480"/>
      <c r="I147" s="1480"/>
      <c r="J147" s="1480"/>
      <c r="K147" s="11"/>
      <c r="L147" s="11"/>
    </row>
    <row r="148" spans="1:12" ht="15" hidden="1" customHeight="1" x14ac:dyDescent="0.25">
      <c r="A148" s="80" t="s">
        <v>80</v>
      </c>
      <c r="B148" s="81"/>
      <c r="C148" s="84">
        <v>321</v>
      </c>
      <c r="D148" s="84"/>
      <c r="E148" s="84"/>
      <c r="F148" s="85"/>
      <c r="G148" s="85"/>
      <c r="H148" s="85"/>
      <c r="I148" s="85"/>
      <c r="J148" s="85"/>
      <c r="K148" s="11"/>
      <c r="L148" s="11"/>
    </row>
    <row r="149" spans="1:12" ht="16.5" hidden="1" customHeight="1" x14ac:dyDescent="0.25">
      <c r="A149" s="80" t="s">
        <v>81</v>
      </c>
      <c r="B149" s="81"/>
      <c r="C149" s="81"/>
      <c r="D149" s="81"/>
      <c r="E149" s="86"/>
      <c r="F149" s="87"/>
      <c r="G149" s="87"/>
      <c r="H149" s="87"/>
      <c r="I149" s="87"/>
      <c r="J149" s="87"/>
      <c r="K149" s="11"/>
      <c r="L149" s="11"/>
    </row>
    <row r="150" spans="1:12" ht="36" hidden="1" customHeight="1" x14ac:dyDescent="0.25">
      <c r="A150" s="188" t="s">
        <v>1</v>
      </c>
      <c r="B150" s="1344" t="s">
        <v>44</v>
      </c>
      <c r="C150" s="1392"/>
      <c r="D150" s="1345"/>
      <c r="E150" s="1344" t="s">
        <v>45</v>
      </c>
      <c r="F150" s="1345"/>
      <c r="G150" s="1344" t="s">
        <v>46</v>
      </c>
      <c r="H150" s="1345"/>
      <c r="I150" s="1344" t="s">
        <v>102</v>
      </c>
      <c r="J150" s="1345"/>
      <c r="K150" s="11"/>
      <c r="L150" s="11"/>
    </row>
    <row r="151" spans="1:12" ht="16.5" hidden="1" customHeight="1" x14ac:dyDescent="0.25">
      <c r="A151" s="188">
        <v>1</v>
      </c>
      <c r="B151" s="1344">
        <v>2</v>
      </c>
      <c r="C151" s="1392"/>
      <c r="D151" s="1345"/>
      <c r="E151" s="1344">
        <v>3</v>
      </c>
      <c r="F151" s="1345"/>
      <c r="G151" s="1344">
        <v>4</v>
      </c>
      <c r="H151" s="1345"/>
      <c r="I151" s="1344">
        <v>5</v>
      </c>
      <c r="J151" s="1345"/>
      <c r="K151" s="11"/>
      <c r="L151" s="11"/>
    </row>
    <row r="152" spans="1:12" ht="89.25" hidden="1" customHeight="1" x14ac:dyDescent="0.25">
      <c r="A152" s="171" t="s">
        <v>70</v>
      </c>
      <c r="B152" s="1402" t="s">
        <v>361</v>
      </c>
      <c r="C152" s="1403"/>
      <c r="D152" s="1404"/>
      <c r="E152" s="1387"/>
      <c r="F152" s="1388"/>
      <c r="G152" s="1387"/>
      <c r="H152" s="1388"/>
      <c r="I152" s="1387"/>
      <c r="J152" s="1388"/>
    </row>
    <row r="153" spans="1:12" ht="28.5" hidden="1" customHeight="1" x14ac:dyDescent="0.25">
      <c r="A153" s="191" t="s">
        <v>75</v>
      </c>
      <c r="B153" s="1402" t="s">
        <v>360</v>
      </c>
      <c r="C153" s="1403"/>
      <c r="D153" s="1404"/>
      <c r="E153" s="1387"/>
      <c r="F153" s="1388"/>
      <c r="G153" s="1387"/>
      <c r="H153" s="1388"/>
      <c r="I153" s="1387"/>
      <c r="J153" s="1388"/>
    </row>
    <row r="154" spans="1:12" ht="28.5" hidden="1" customHeight="1" x14ac:dyDescent="0.25">
      <c r="A154" s="191" t="s">
        <v>70</v>
      </c>
      <c r="B154" s="1546" t="s">
        <v>366</v>
      </c>
      <c r="C154" s="1547"/>
      <c r="D154" s="1548"/>
      <c r="E154" s="1387"/>
      <c r="F154" s="1425"/>
      <c r="G154" s="1387"/>
      <c r="H154" s="1425"/>
      <c r="I154" s="1387"/>
      <c r="J154" s="1425"/>
    </row>
    <row r="155" spans="1:12" hidden="1" x14ac:dyDescent="0.25">
      <c r="A155" s="189"/>
      <c r="B155" s="1431" t="s">
        <v>13</v>
      </c>
      <c r="C155" s="1432"/>
      <c r="D155" s="1433"/>
      <c r="E155" s="1406" t="s">
        <v>14</v>
      </c>
      <c r="F155" s="1407"/>
      <c r="G155" s="1406" t="s">
        <v>14</v>
      </c>
      <c r="H155" s="1407"/>
      <c r="I155" s="1406">
        <f>SUM(I154)</f>
        <v>0</v>
      </c>
      <c r="J155" s="1407"/>
    </row>
    <row r="156" spans="1:12" s="41" customFormat="1" ht="21" hidden="1" customHeight="1" x14ac:dyDescent="0.25">
      <c r="A156" s="1480" t="s">
        <v>362</v>
      </c>
      <c r="B156" s="1480"/>
      <c r="C156" s="1480"/>
      <c r="D156" s="1480"/>
      <c r="E156" s="1480"/>
      <c r="F156" s="1480"/>
      <c r="G156" s="1480"/>
      <c r="H156" s="1480"/>
      <c r="I156" s="1480"/>
      <c r="J156" s="1480"/>
    </row>
    <row r="157" spans="1:12" s="41" customFormat="1" ht="21" hidden="1" customHeight="1" x14ac:dyDescent="0.25">
      <c r="A157" s="80" t="s">
        <v>80</v>
      </c>
      <c r="B157" s="81"/>
      <c r="C157" s="84">
        <v>851</v>
      </c>
      <c r="D157" s="84">
        <v>852</v>
      </c>
      <c r="E157" s="84">
        <v>853</v>
      </c>
      <c r="F157" s="85"/>
      <c r="G157" s="85"/>
      <c r="H157" s="85"/>
      <c r="I157" s="85"/>
      <c r="J157" s="85"/>
      <c r="K157" s="42"/>
      <c r="L157" s="43"/>
    </row>
    <row r="158" spans="1:12" s="41" customFormat="1" ht="15.75" hidden="1" x14ac:dyDescent="0.25">
      <c r="A158" s="80" t="s">
        <v>81</v>
      </c>
      <c r="B158" s="81"/>
      <c r="C158" s="81"/>
      <c r="D158" s="81"/>
      <c r="E158" s="86"/>
      <c r="F158" s="87"/>
      <c r="G158" s="87"/>
      <c r="H158" s="87"/>
      <c r="I158" s="87"/>
      <c r="J158" s="87"/>
    </row>
    <row r="159" spans="1:12" ht="39.75" hidden="1" customHeight="1" x14ac:dyDescent="0.25">
      <c r="A159" s="188" t="s">
        <v>1</v>
      </c>
      <c r="B159" s="1346" t="s">
        <v>15</v>
      </c>
      <c r="C159" s="1346"/>
      <c r="D159" s="1346"/>
      <c r="E159" s="1346" t="s">
        <v>47</v>
      </c>
      <c r="F159" s="1346"/>
      <c r="G159" s="1346" t="s">
        <v>48</v>
      </c>
      <c r="H159" s="1346"/>
      <c r="I159" s="1346" t="s">
        <v>103</v>
      </c>
      <c r="J159" s="1346"/>
    </row>
    <row r="160" spans="1:12" ht="15" hidden="1" customHeight="1" x14ac:dyDescent="0.25">
      <c r="A160" s="188">
        <v>1</v>
      </c>
      <c r="B160" s="1346">
        <v>2</v>
      </c>
      <c r="C160" s="1346"/>
      <c r="D160" s="1346"/>
      <c r="E160" s="1346">
        <v>3</v>
      </c>
      <c r="F160" s="1346"/>
      <c r="G160" s="1346">
        <v>4</v>
      </c>
      <c r="H160" s="1346"/>
      <c r="I160" s="1346">
        <v>5</v>
      </c>
      <c r="J160" s="1346"/>
    </row>
    <row r="161" spans="1:12" ht="20.25" hidden="1" customHeight="1" x14ac:dyDescent="0.25">
      <c r="A161" s="1512" t="s">
        <v>70</v>
      </c>
      <c r="B161" s="1517" t="s">
        <v>289</v>
      </c>
      <c r="C161" s="1518"/>
      <c r="D161" s="194" t="s">
        <v>460</v>
      </c>
      <c r="E161" s="1519"/>
      <c r="F161" s="1519"/>
      <c r="G161" s="1516">
        <v>2.1999999999999999E-2</v>
      </c>
      <c r="H161" s="1516"/>
      <c r="I161" s="1468"/>
      <c r="J161" s="1468"/>
    </row>
    <row r="162" spans="1:12" ht="17.25" hidden="1" customHeight="1" x14ac:dyDescent="0.25">
      <c r="A162" s="1513"/>
      <c r="B162" s="1518"/>
      <c r="C162" s="1518"/>
      <c r="D162" s="195" t="s">
        <v>461</v>
      </c>
      <c r="E162" s="1519"/>
      <c r="F162" s="1519"/>
      <c r="G162" s="1516">
        <v>2.1999999999999999E-2</v>
      </c>
      <c r="H162" s="1516"/>
      <c r="I162" s="1468"/>
      <c r="J162" s="1468"/>
    </row>
    <row r="163" spans="1:12" ht="18" hidden="1" customHeight="1" x14ac:dyDescent="0.25">
      <c r="A163" s="191" t="s">
        <v>75</v>
      </c>
      <c r="B163" s="1402" t="s">
        <v>291</v>
      </c>
      <c r="C163" s="1403"/>
      <c r="D163" s="1404"/>
      <c r="E163" s="1445">
        <v>0</v>
      </c>
      <c r="F163" s="1445"/>
      <c r="G163" s="1445">
        <v>0</v>
      </c>
      <c r="H163" s="1445"/>
      <c r="I163" s="1468"/>
      <c r="J163" s="1468"/>
    </row>
    <row r="164" spans="1:12" ht="31.5" hidden="1" customHeight="1" x14ac:dyDescent="0.25">
      <c r="A164" s="191" t="s">
        <v>77</v>
      </c>
      <c r="B164" s="1402" t="s">
        <v>292</v>
      </c>
      <c r="C164" s="1403"/>
      <c r="D164" s="1404"/>
      <c r="E164" s="1445">
        <v>0</v>
      </c>
      <c r="F164" s="1445"/>
      <c r="G164" s="1445">
        <v>0</v>
      </c>
      <c r="H164" s="1445"/>
      <c r="I164" s="1468"/>
      <c r="J164" s="1468"/>
    </row>
    <row r="165" spans="1:12" ht="31.5" hidden="1" customHeight="1" x14ac:dyDescent="0.25">
      <c r="A165" s="191" t="s">
        <v>86</v>
      </c>
      <c r="B165" s="1402" t="s">
        <v>290</v>
      </c>
      <c r="C165" s="1403"/>
      <c r="D165" s="1404"/>
      <c r="E165" s="1387">
        <v>0</v>
      </c>
      <c r="F165" s="1388"/>
      <c r="G165" s="1387">
        <v>0</v>
      </c>
      <c r="H165" s="1388"/>
      <c r="I165" s="1514"/>
      <c r="J165" s="1515"/>
    </row>
    <row r="166" spans="1:12" ht="15.75" hidden="1" customHeight="1" x14ac:dyDescent="0.25">
      <c r="A166" s="189"/>
      <c r="B166" s="1338" t="s">
        <v>13</v>
      </c>
      <c r="C166" s="1338"/>
      <c r="D166" s="1338"/>
      <c r="E166" s="1341" t="s">
        <v>74</v>
      </c>
      <c r="F166" s="1341"/>
      <c r="G166" s="1341" t="s">
        <v>14</v>
      </c>
      <c r="H166" s="1341"/>
      <c r="I166" s="1347">
        <f>SUM(I161:J165)</f>
        <v>0</v>
      </c>
      <c r="J166" s="1341"/>
    </row>
    <row r="167" spans="1:12" ht="27" hidden="1" customHeight="1" x14ac:dyDescent="0.25">
      <c r="A167" s="1480" t="s">
        <v>85</v>
      </c>
      <c r="B167" s="1480"/>
      <c r="C167" s="1480"/>
      <c r="D167" s="1480"/>
      <c r="E167" s="1480"/>
      <c r="F167" s="1480"/>
      <c r="G167" s="1480"/>
      <c r="H167" s="1480"/>
      <c r="I167" s="1480"/>
      <c r="J167" s="1480"/>
      <c r="K167" s="1474"/>
      <c r="L167" s="1474"/>
    </row>
    <row r="168" spans="1:12" s="41" customFormat="1" ht="15.75" hidden="1" customHeight="1" x14ac:dyDescent="0.25">
      <c r="A168" s="80" t="s">
        <v>80</v>
      </c>
      <c r="B168" s="81"/>
      <c r="C168" s="84"/>
      <c r="D168" s="84"/>
      <c r="E168" s="84"/>
      <c r="F168" s="85"/>
      <c r="G168" s="85"/>
      <c r="H168" s="85"/>
      <c r="I168" s="85"/>
      <c r="J168" s="85"/>
      <c r="K168" s="42"/>
      <c r="L168" s="43"/>
    </row>
    <row r="169" spans="1:12" s="41" customFormat="1" ht="15.75" hidden="1" x14ac:dyDescent="0.25">
      <c r="A169" s="80" t="s">
        <v>81</v>
      </c>
      <c r="B169" s="81"/>
      <c r="C169" s="81"/>
      <c r="D169" s="81"/>
      <c r="E169" s="86"/>
      <c r="F169" s="87"/>
      <c r="G169" s="87"/>
      <c r="H169" s="87"/>
      <c r="I169" s="87"/>
      <c r="J169" s="87"/>
    </row>
    <row r="170" spans="1:12" ht="24.75" hidden="1" customHeight="1" x14ac:dyDescent="0.25">
      <c r="A170" s="188" t="s">
        <v>1</v>
      </c>
      <c r="B170" s="1346" t="s">
        <v>44</v>
      </c>
      <c r="C170" s="1346"/>
      <c r="D170" s="1346"/>
      <c r="E170" s="1346" t="s">
        <v>45</v>
      </c>
      <c r="F170" s="1346"/>
      <c r="G170" s="1346" t="s">
        <v>46</v>
      </c>
      <c r="H170" s="1346"/>
      <c r="I170" s="1346" t="s">
        <v>102</v>
      </c>
      <c r="J170" s="1346"/>
      <c r="K170" s="11"/>
      <c r="L170" s="11"/>
    </row>
    <row r="171" spans="1:12" ht="14.25" hidden="1" customHeight="1" x14ac:dyDescent="0.25">
      <c r="A171" s="188">
        <v>1</v>
      </c>
      <c r="B171" s="1346">
        <v>2</v>
      </c>
      <c r="C171" s="1346"/>
      <c r="D171" s="1346"/>
      <c r="E171" s="1346">
        <v>3</v>
      </c>
      <c r="F171" s="1346"/>
      <c r="G171" s="1346">
        <v>4</v>
      </c>
      <c r="H171" s="1346"/>
      <c r="I171" s="1346">
        <v>5</v>
      </c>
      <c r="J171" s="1346"/>
      <c r="K171" s="201"/>
      <c r="L171" s="202"/>
    </row>
    <row r="172" spans="1:12" ht="15" hidden="1" customHeight="1" x14ac:dyDescent="0.25">
      <c r="A172" s="191"/>
      <c r="B172" s="1387"/>
      <c r="C172" s="1444"/>
      <c r="D172" s="1388"/>
      <c r="E172" s="1387"/>
      <c r="F172" s="1388"/>
      <c r="G172" s="1387"/>
      <c r="H172" s="1388"/>
      <c r="I172" s="1387"/>
      <c r="J172" s="1388"/>
      <c r="K172" s="11"/>
      <c r="L172" s="11"/>
    </row>
    <row r="173" spans="1:12" ht="17.25" hidden="1" customHeight="1" x14ac:dyDescent="0.25">
      <c r="A173" s="189"/>
      <c r="B173" s="1338" t="s">
        <v>13</v>
      </c>
      <c r="C173" s="1338"/>
      <c r="D173" s="1338"/>
      <c r="E173" s="1341" t="s">
        <v>14</v>
      </c>
      <c r="F173" s="1341"/>
      <c r="G173" s="1341" t="s">
        <v>14</v>
      </c>
      <c r="H173" s="1341"/>
      <c r="I173" s="1341"/>
      <c r="J173" s="1341"/>
      <c r="K173" s="11"/>
      <c r="L173" s="11"/>
    </row>
    <row r="174" spans="1:12" ht="16.5" hidden="1" customHeight="1" x14ac:dyDescent="0.25">
      <c r="A174" s="1446" t="s">
        <v>91</v>
      </c>
      <c r="B174" s="1446"/>
      <c r="C174" s="1446"/>
      <c r="D174" s="1446"/>
      <c r="E174" s="1446"/>
      <c r="F174" s="1446"/>
      <c r="G174" s="1446"/>
      <c r="H174" s="1446"/>
      <c r="I174" s="1446"/>
      <c r="J174" s="1446"/>
      <c r="K174" s="11"/>
      <c r="L174" s="11"/>
    </row>
    <row r="175" spans="1:12" ht="18" hidden="1" customHeight="1" x14ac:dyDescent="0.25">
      <c r="A175" s="80" t="s">
        <v>80</v>
      </c>
      <c r="B175" s="81"/>
      <c r="C175" s="84">
        <v>244</v>
      </c>
      <c r="D175" s="84"/>
      <c r="E175" s="84"/>
      <c r="F175" s="85"/>
      <c r="G175" s="85"/>
      <c r="H175" s="85"/>
      <c r="I175" s="85"/>
      <c r="J175" s="85"/>
      <c r="K175" s="11"/>
      <c r="L175" s="11"/>
    </row>
    <row r="176" spans="1:12" ht="18" hidden="1" customHeight="1" x14ac:dyDescent="0.25">
      <c r="A176" s="80" t="s">
        <v>81</v>
      </c>
      <c r="B176" s="81"/>
      <c r="C176" s="81"/>
      <c r="D176" s="81"/>
      <c r="E176" s="86" t="s">
        <v>82</v>
      </c>
      <c r="F176" s="87"/>
      <c r="G176" s="86"/>
      <c r="H176" s="87"/>
      <c r="I176" s="87"/>
      <c r="J176" s="87"/>
      <c r="K176" s="11"/>
      <c r="L176" s="11"/>
    </row>
    <row r="177" spans="1:13" ht="18" hidden="1" customHeight="1" x14ac:dyDescent="0.25">
      <c r="A177" s="1442" t="s">
        <v>507</v>
      </c>
      <c r="B177" s="1442"/>
      <c r="C177" s="1442"/>
      <c r="D177" s="1442"/>
      <c r="E177" s="1442"/>
      <c r="F177" s="1442"/>
      <c r="G177" s="1442"/>
      <c r="H177" s="1442"/>
      <c r="I177" s="1442"/>
      <c r="J177" s="1442"/>
      <c r="K177" s="11"/>
      <c r="L177" s="11"/>
    </row>
    <row r="178" spans="1:13" ht="30" hidden="1" customHeight="1" x14ac:dyDescent="0.25">
      <c r="A178" s="188" t="s">
        <v>1</v>
      </c>
      <c r="B178" s="1346" t="s">
        <v>44</v>
      </c>
      <c r="C178" s="1346"/>
      <c r="D178" s="1346"/>
      <c r="E178" s="1346" t="s">
        <v>45</v>
      </c>
      <c r="F178" s="1346"/>
      <c r="G178" s="1346" t="s">
        <v>46</v>
      </c>
      <c r="H178" s="1346"/>
      <c r="I178" s="1346" t="s">
        <v>102</v>
      </c>
      <c r="J178" s="1346"/>
      <c r="K178" s="135"/>
      <c r="L178" s="11"/>
    </row>
    <row r="179" spans="1:13" ht="17.25" hidden="1" customHeight="1" x14ac:dyDescent="0.25">
      <c r="A179" s="188">
        <v>1</v>
      </c>
      <c r="B179" s="1346">
        <v>2</v>
      </c>
      <c r="C179" s="1346"/>
      <c r="D179" s="1346"/>
      <c r="E179" s="1346">
        <v>3</v>
      </c>
      <c r="F179" s="1346"/>
      <c r="G179" s="1346">
        <v>4</v>
      </c>
      <c r="H179" s="1346"/>
      <c r="I179" s="1346">
        <v>5</v>
      </c>
      <c r="J179" s="1346"/>
      <c r="K179" s="11"/>
      <c r="L179" s="11"/>
    </row>
    <row r="180" spans="1:13" ht="21.75" hidden="1" customHeight="1" x14ac:dyDescent="0.25">
      <c r="A180" s="191" t="s">
        <v>70</v>
      </c>
      <c r="B180" s="1402" t="s">
        <v>508</v>
      </c>
      <c r="C180" s="1403"/>
      <c r="D180" s="1404"/>
      <c r="E180" s="1387">
        <v>5000</v>
      </c>
      <c r="F180" s="1388"/>
      <c r="G180" s="1387">
        <v>1</v>
      </c>
      <c r="H180" s="1388"/>
      <c r="I180" s="1475">
        <v>0</v>
      </c>
      <c r="J180" s="1476"/>
      <c r="K180" s="11"/>
      <c r="L180" s="136"/>
    </row>
    <row r="181" spans="1:13" ht="38.25" hidden="1" customHeight="1" x14ac:dyDescent="0.25">
      <c r="A181" s="191" t="s">
        <v>75</v>
      </c>
      <c r="B181" s="1447" t="s">
        <v>487</v>
      </c>
      <c r="C181" s="1448"/>
      <c r="D181" s="1449"/>
      <c r="E181" s="1387">
        <v>1625</v>
      </c>
      <c r="F181" s="1388"/>
      <c r="G181" s="1387">
        <v>2</v>
      </c>
      <c r="H181" s="1388"/>
      <c r="I181" s="1475">
        <v>0</v>
      </c>
      <c r="J181" s="1476"/>
      <c r="K181" s="11"/>
      <c r="L181" s="136"/>
    </row>
    <row r="182" spans="1:13" ht="15" hidden="1" customHeight="1" x14ac:dyDescent="0.25">
      <c r="A182" s="237"/>
      <c r="B182" s="1509" t="s">
        <v>13</v>
      </c>
      <c r="C182" s="1509"/>
      <c r="D182" s="1509"/>
      <c r="E182" s="1510" t="s">
        <v>14</v>
      </c>
      <c r="F182" s="1510"/>
      <c r="G182" s="1510" t="s">
        <v>14</v>
      </c>
      <c r="H182" s="1510"/>
      <c r="I182" s="1511">
        <f>I180+I181</f>
        <v>0</v>
      </c>
      <c r="J182" s="1511"/>
      <c r="K182" s="11"/>
      <c r="L182" s="11"/>
      <c r="M182" s="14"/>
    </row>
    <row r="183" spans="1:13" ht="29.25" customHeight="1" x14ac:dyDescent="0.25">
      <c r="A183" s="1446" t="s">
        <v>49</v>
      </c>
      <c r="B183" s="1446"/>
      <c r="C183" s="1446"/>
      <c r="D183" s="1446"/>
      <c r="E183" s="1446"/>
      <c r="F183" s="1446"/>
      <c r="G183" s="1446"/>
      <c r="H183" s="1446"/>
      <c r="I183" s="1446"/>
      <c r="J183" s="1446"/>
      <c r="K183" s="11"/>
      <c r="L183" s="11"/>
      <c r="M183" s="14"/>
    </row>
    <row r="184" spans="1:13" ht="19.5" customHeight="1" x14ac:dyDescent="0.25">
      <c r="A184" s="80" t="s">
        <v>80</v>
      </c>
      <c r="B184" s="81"/>
      <c r="C184" s="84" t="s">
        <v>750</v>
      </c>
      <c r="D184" s="84"/>
      <c r="E184" s="84"/>
      <c r="F184" s="85"/>
      <c r="G184" s="85"/>
      <c r="H184" s="85"/>
      <c r="I184" s="85"/>
      <c r="J184" s="85"/>
      <c r="K184" s="11"/>
      <c r="L184" s="11"/>
      <c r="M184" s="14"/>
    </row>
    <row r="185" spans="1:13" ht="17.25" customHeight="1" x14ac:dyDescent="0.25">
      <c r="A185" s="80" t="s">
        <v>81</v>
      </c>
      <c r="B185" s="81"/>
      <c r="C185" s="81"/>
      <c r="D185" s="81"/>
      <c r="E185" s="86" t="s">
        <v>82</v>
      </c>
      <c r="F185" s="87"/>
      <c r="G185" s="86"/>
      <c r="H185" s="87"/>
      <c r="I185" s="87"/>
      <c r="J185" s="87"/>
      <c r="K185" s="11"/>
      <c r="L185" s="11"/>
      <c r="M185" s="14"/>
    </row>
    <row r="186" spans="1:13" ht="17.25" customHeight="1" x14ac:dyDescent="0.25">
      <c r="A186" s="1446" t="s">
        <v>294</v>
      </c>
      <c r="B186" s="1446"/>
      <c r="C186" s="1446"/>
      <c r="D186" s="1446"/>
      <c r="E186" s="1446"/>
      <c r="F186" s="1446"/>
      <c r="G186" s="1446"/>
      <c r="H186" s="1446"/>
      <c r="I186" s="1446"/>
      <c r="J186" s="1446"/>
      <c r="K186" s="11"/>
      <c r="L186" s="11"/>
      <c r="M186" s="14"/>
    </row>
    <row r="187" spans="1:13" ht="39.75" customHeight="1" x14ac:dyDescent="0.25">
      <c r="A187" s="188" t="s">
        <v>1</v>
      </c>
      <c r="B187" s="1346" t="s">
        <v>15</v>
      </c>
      <c r="C187" s="1346"/>
      <c r="D187" s="1346"/>
      <c r="E187" s="188" t="s">
        <v>50</v>
      </c>
      <c r="F187" s="188" t="s">
        <v>51</v>
      </c>
      <c r="G187" s="1346" t="s">
        <v>52</v>
      </c>
      <c r="H187" s="1346"/>
      <c r="I187" s="1346" t="s">
        <v>104</v>
      </c>
      <c r="J187" s="1346"/>
      <c r="K187" s="11"/>
      <c r="L187" s="11"/>
      <c r="M187" s="14"/>
    </row>
    <row r="188" spans="1:13" ht="15" customHeight="1" x14ac:dyDescent="0.25">
      <c r="A188" s="188">
        <v>1</v>
      </c>
      <c r="B188" s="1346">
        <v>2</v>
      </c>
      <c r="C188" s="1346"/>
      <c r="D188" s="1346"/>
      <c r="E188" s="188">
        <v>3</v>
      </c>
      <c r="F188" s="188">
        <v>4</v>
      </c>
      <c r="G188" s="1346">
        <v>5</v>
      </c>
      <c r="H188" s="1346"/>
      <c r="I188" s="1346">
        <v>6</v>
      </c>
      <c r="J188" s="1346"/>
      <c r="K188" s="11"/>
      <c r="L188" s="11"/>
      <c r="M188" s="14"/>
    </row>
    <row r="189" spans="1:13" ht="14.25" customHeight="1" x14ac:dyDescent="0.25">
      <c r="A189" s="187">
        <v>1</v>
      </c>
      <c r="B189" s="1357" t="s">
        <v>768</v>
      </c>
      <c r="C189" s="1358"/>
      <c r="D189" s="1359"/>
      <c r="E189" s="146" t="s">
        <v>74</v>
      </c>
      <c r="F189" s="146" t="s">
        <v>74</v>
      </c>
      <c r="G189" s="1469" t="s">
        <v>74</v>
      </c>
      <c r="H189" s="1469"/>
      <c r="I189" s="1470">
        <f>I190+I191+I192+I193</f>
        <v>3000</v>
      </c>
      <c r="J189" s="1470"/>
      <c r="K189" s="11"/>
      <c r="L189" s="11"/>
      <c r="M189" s="14"/>
    </row>
    <row r="190" spans="1:13" ht="15" customHeight="1" x14ac:dyDescent="0.25">
      <c r="A190" s="191" t="s">
        <v>342</v>
      </c>
      <c r="B190" s="1386" t="s">
        <v>769</v>
      </c>
      <c r="C190" s="1386"/>
      <c r="D190" s="1386"/>
      <c r="E190" s="191">
        <v>1</v>
      </c>
      <c r="F190" s="191">
        <v>1</v>
      </c>
      <c r="G190" s="1471">
        <v>0</v>
      </c>
      <c r="H190" s="1471"/>
      <c r="I190" s="1468">
        <v>3000</v>
      </c>
      <c r="J190" s="1468"/>
      <c r="K190" s="13"/>
      <c r="L190" s="13"/>
      <c r="M190" s="14"/>
    </row>
    <row r="191" spans="1:13" hidden="1" x14ac:dyDescent="0.25">
      <c r="A191" s="191" t="s">
        <v>343</v>
      </c>
      <c r="B191" s="1386" t="s">
        <v>95</v>
      </c>
      <c r="C191" s="1386"/>
      <c r="D191" s="1386"/>
      <c r="E191" s="191"/>
      <c r="F191" s="191"/>
      <c r="G191" s="1472"/>
      <c r="H191" s="1472"/>
      <c r="I191" s="1468"/>
      <c r="J191" s="1468"/>
      <c r="M191" s="14"/>
    </row>
    <row r="192" spans="1:13" hidden="1" x14ac:dyDescent="0.25">
      <c r="A192" s="191" t="s">
        <v>344</v>
      </c>
      <c r="B192" s="1386" t="s">
        <v>96</v>
      </c>
      <c r="C192" s="1386"/>
      <c r="D192" s="1386"/>
      <c r="E192" s="191"/>
      <c r="F192" s="191"/>
      <c r="G192" s="1467"/>
      <c r="H192" s="1467"/>
      <c r="I192" s="1473"/>
      <c r="J192" s="1473"/>
      <c r="M192" s="14"/>
    </row>
    <row r="193" spans="1:14" hidden="1" x14ac:dyDescent="0.25">
      <c r="A193" s="191" t="s">
        <v>264</v>
      </c>
      <c r="B193" s="1386" t="s">
        <v>199</v>
      </c>
      <c r="C193" s="1386"/>
      <c r="D193" s="1386"/>
      <c r="E193" s="191"/>
      <c r="F193" s="191"/>
      <c r="G193" s="1467"/>
      <c r="H193" s="1467"/>
      <c r="I193" s="1468"/>
      <c r="J193" s="1468"/>
      <c r="M193" s="14"/>
    </row>
    <row r="194" spans="1:14" hidden="1" x14ac:dyDescent="0.25">
      <c r="A194" s="187">
        <v>2</v>
      </c>
      <c r="B194" s="1357" t="s">
        <v>345</v>
      </c>
      <c r="C194" s="1358"/>
      <c r="D194" s="1359"/>
      <c r="E194" s="146" t="s">
        <v>74</v>
      </c>
      <c r="F194" s="146" t="s">
        <v>74</v>
      </c>
      <c r="G194" s="1469" t="s">
        <v>74</v>
      </c>
      <c r="H194" s="1469"/>
      <c r="I194" s="1470">
        <f>I195</f>
        <v>0</v>
      </c>
      <c r="J194" s="1470"/>
      <c r="M194" s="14"/>
    </row>
    <row r="195" spans="1:14" s="41" customFormat="1" ht="19.5" hidden="1" customHeight="1" x14ac:dyDescent="0.25">
      <c r="A195" s="191" t="s">
        <v>346</v>
      </c>
      <c r="B195" s="1386" t="s">
        <v>199</v>
      </c>
      <c r="C195" s="1386"/>
      <c r="D195" s="1386"/>
      <c r="E195" s="191">
        <v>1</v>
      </c>
      <c r="F195" s="191">
        <v>10</v>
      </c>
      <c r="G195" s="1467">
        <v>25000</v>
      </c>
      <c r="H195" s="1467"/>
      <c r="I195" s="1468"/>
      <c r="J195" s="1468"/>
    </row>
    <row r="196" spans="1:14" ht="16.5" customHeight="1" x14ac:dyDescent="0.25">
      <c r="A196" s="191"/>
      <c r="B196" s="1338" t="s">
        <v>772</v>
      </c>
      <c r="C196" s="1338"/>
      <c r="D196" s="1338"/>
      <c r="E196" s="189" t="s">
        <v>14</v>
      </c>
      <c r="F196" s="189" t="s">
        <v>14</v>
      </c>
      <c r="G196" s="1341" t="s">
        <v>14</v>
      </c>
      <c r="H196" s="1341"/>
      <c r="I196" s="1347">
        <f>I189+I194</f>
        <v>3000</v>
      </c>
      <c r="J196" s="1341"/>
      <c r="K196" s="124">
        <v>2400</v>
      </c>
      <c r="N196" s="126"/>
    </row>
    <row r="197" spans="1:14" ht="12" customHeight="1" x14ac:dyDescent="0.25">
      <c r="A197" s="88"/>
      <c r="B197" s="81"/>
      <c r="C197" s="81"/>
      <c r="D197" s="81"/>
      <c r="E197" s="81"/>
      <c r="F197" s="81"/>
      <c r="G197" s="81"/>
      <c r="H197" s="81"/>
      <c r="I197" s="81"/>
      <c r="J197" s="81"/>
      <c r="K197" s="14"/>
      <c r="M197" s="73"/>
    </row>
    <row r="198" spans="1:14" ht="18.75" customHeight="1" x14ac:dyDescent="0.25">
      <c r="A198" s="1446" t="s">
        <v>278</v>
      </c>
      <c r="B198" s="1446"/>
      <c r="C198" s="1446"/>
      <c r="D198" s="1446"/>
      <c r="E198" s="1446"/>
      <c r="F198" s="1446"/>
      <c r="G198" s="1446"/>
      <c r="H198" s="1446"/>
      <c r="I198" s="1446"/>
      <c r="J198" s="1446"/>
      <c r="K198" s="14"/>
      <c r="M198" s="73"/>
    </row>
    <row r="199" spans="1:14" ht="12.75" customHeight="1" x14ac:dyDescent="0.25">
      <c r="A199" s="188" t="s">
        <v>1</v>
      </c>
      <c r="B199" s="1346" t="s">
        <v>15</v>
      </c>
      <c r="C199" s="1346"/>
      <c r="D199" s="1346"/>
      <c r="E199" s="1346" t="s">
        <v>53</v>
      </c>
      <c r="F199" s="1346"/>
      <c r="G199" s="1346" t="s">
        <v>54</v>
      </c>
      <c r="H199" s="1346"/>
      <c r="I199" s="1346" t="s">
        <v>260</v>
      </c>
      <c r="J199" s="1346"/>
      <c r="K199" s="14"/>
      <c r="M199" s="73"/>
    </row>
    <row r="200" spans="1:14" ht="15" customHeight="1" x14ac:dyDescent="0.25">
      <c r="A200" s="188">
        <v>1</v>
      </c>
      <c r="B200" s="1346">
        <v>2</v>
      </c>
      <c r="C200" s="1346"/>
      <c r="D200" s="1346"/>
      <c r="E200" s="1346">
        <v>3</v>
      </c>
      <c r="F200" s="1346"/>
      <c r="G200" s="1346">
        <v>4</v>
      </c>
      <c r="H200" s="1346"/>
      <c r="I200" s="1346">
        <v>5</v>
      </c>
      <c r="J200" s="1346"/>
      <c r="K200" s="14"/>
      <c r="M200" s="73"/>
    </row>
    <row r="201" spans="1:14" ht="17.25" customHeight="1" x14ac:dyDescent="0.25">
      <c r="A201" s="191">
        <v>1</v>
      </c>
      <c r="B201" s="1463" t="s">
        <v>322</v>
      </c>
      <c r="C201" s="1464"/>
      <c r="D201" s="1465"/>
      <c r="E201" s="1445"/>
      <c r="F201" s="1445"/>
      <c r="G201" s="1466"/>
      <c r="H201" s="1466"/>
      <c r="I201" s="1466">
        <f>E201*G201</f>
        <v>0</v>
      </c>
      <c r="J201" s="1466"/>
      <c r="K201" s="14"/>
      <c r="M201" s="73"/>
    </row>
    <row r="202" spans="1:14" x14ac:dyDescent="0.25">
      <c r="A202" s="191"/>
      <c r="B202" s="1338" t="s">
        <v>13</v>
      </c>
      <c r="C202" s="1338"/>
      <c r="D202" s="1338"/>
      <c r="E202" s="1341" t="s">
        <v>74</v>
      </c>
      <c r="F202" s="1341"/>
      <c r="G202" s="1341" t="s">
        <v>74</v>
      </c>
      <c r="H202" s="1341"/>
      <c r="I202" s="1385">
        <f>I201</f>
        <v>0</v>
      </c>
      <c r="J202" s="1341"/>
    </row>
    <row r="203" spans="1:14" ht="24" customHeight="1" x14ac:dyDescent="0.25">
      <c r="A203" s="1446" t="s">
        <v>274</v>
      </c>
      <c r="B203" s="1446"/>
      <c r="C203" s="1446"/>
      <c r="D203" s="1446"/>
      <c r="E203" s="1446"/>
      <c r="F203" s="1446"/>
      <c r="G203" s="1446"/>
      <c r="H203" s="1446"/>
      <c r="I203" s="1446"/>
      <c r="J203" s="1446"/>
    </row>
    <row r="204" spans="1:14" s="41" customFormat="1" ht="25.5" customHeight="1" x14ac:dyDescent="0.2">
      <c r="A204" s="188" t="s">
        <v>1</v>
      </c>
      <c r="B204" s="1346" t="s">
        <v>44</v>
      </c>
      <c r="C204" s="1346"/>
      <c r="D204" s="1346"/>
      <c r="E204" s="188" t="s">
        <v>55</v>
      </c>
      <c r="F204" s="1346" t="s">
        <v>56</v>
      </c>
      <c r="G204" s="1346"/>
      <c r="H204" s="188" t="s">
        <v>57</v>
      </c>
      <c r="I204" s="1346" t="s">
        <v>104</v>
      </c>
      <c r="J204" s="1346"/>
    </row>
    <row r="205" spans="1:14" s="41" customFormat="1" ht="12.75" x14ac:dyDescent="0.2">
      <c r="A205" s="188">
        <v>1</v>
      </c>
      <c r="B205" s="1346">
        <v>2</v>
      </c>
      <c r="C205" s="1346"/>
      <c r="D205" s="1346"/>
      <c r="E205" s="188">
        <v>3</v>
      </c>
      <c r="F205" s="1346">
        <v>4</v>
      </c>
      <c r="G205" s="1346"/>
      <c r="H205" s="188">
        <v>5</v>
      </c>
      <c r="I205" s="1346">
        <v>6</v>
      </c>
      <c r="J205" s="1346"/>
    </row>
    <row r="206" spans="1:14" ht="15" hidden="1" customHeight="1" x14ac:dyDescent="0.25">
      <c r="A206" s="187">
        <v>1</v>
      </c>
      <c r="B206" s="1357" t="s">
        <v>151</v>
      </c>
      <c r="C206" s="1358"/>
      <c r="D206" s="1359"/>
      <c r="E206" s="90">
        <f>E207+E208</f>
        <v>0</v>
      </c>
      <c r="F206" s="1460"/>
      <c r="G206" s="1461"/>
      <c r="H206" s="91">
        <f>F208/F207-100%</f>
        <v>3.5000412984224072E-2</v>
      </c>
      <c r="I206" s="1462">
        <f>I207+I208</f>
        <v>0</v>
      </c>
      <c r="J206" s="1462"/>
      <c r="K206" s="14"/>
    </row>
    <row r="207" spans="1:14" ht="15" hidden="1" customHeight="1" x14ac:dyDescent="0.25">
      <c r="A207" s="191"/>
      <c r="B207" s="1445" t="s">
        <v>100</v>
      </c>
      <c r="C207" s="1445"/>
      <c r="D207" s="1445"/>
      <c r="E207" s="190"/>
      <c r="F207" s="1373">
        <v>1937.12</v>
      </c>
      <c r="G207" s="1374"/>
      <c r="H207" s="191"/>
      <c r="I207" s="1459">
        <f>E207*F207</f>
        <v>0</v>
      </c>
      <c r="J207" s="1459"/>
      <c r="K207" s="14"/>
    </row>
    <row r="208" spans="1:14" ht="15" hidden="1" customHeight="1" x14ac:dyDescent="0.25">
      <c r="A208" s="191"/>
      <c r="B208" s="1445" t="s">
        <v>101</v>
      </c>
      <c r="C208" s="1445"/>
      <c r="D208" s="1445"/>
      <c r="E208" s="190"/>
      <c r="F208" s="1373">
        <v>2004.92</v>
      </c>
      <c r="G208" s="1374"/>
      <c r="H208" s="191"/>
      <c r="I208" s="1459">
        <f>E208*F208</f>
        <v>0</v>
      </c>
      <c r="J208" s="1459"/>
      <c r="K208" s="14"/>
    </row>
    <row r="209" spans="1:13" ht="34.5" hidden="1" customHeight="1" x14ac:dyDescent="0.25">
      <c r="A209" s="187">
        <v>2</v>
      </c>
      <c r="B209" s="1357" t="s">
        <v>523</v>
      </c>
      <c r="C209" s="1358"/>
      <c r="D209" s="1359"/>
      <c r="E209" s="90">
        <f>E210+E211</f>
        <v>0</v>
      </c>
      <c r="F209" s="1460"/>
      <c r="G209" s="1461"/>
      <c r="H209" s="91">
        <f>F211/F210-100%</f>
        <v>3.5040944581984368E-2</v>
      </c>
      <c r="I209" s="1462">
        <f>I210+I211</f>
        <v>0</v>
      </c>
      <c r="J209" s="1462"/>
      <c r="K209" s="14"/>
    </row>
    <row r="210" spans="1:13" ht="15" hidden="1" customHeight="1" x14ac:dyDescent="0.25">
      <c r="A210" s="191"/>
      <c r="B210" s="1445" t="s">
        <v>100</v>
      </c>
      <c r="C210" s="1445"/>
      <c r="D210" s="1445"/>
      <c r="E210" s="190"/>
      <c r="F210" s="1373">
        <v>52.51</v>
      </c>
      <c r="G210" s="1374"/>
      <c r="H210" s="191"/>
      <c r="I210" s="1459">
        <f>E210*F210</f>
        <v>0</v>
      </c>
      <c r="J210" s="1459"/>
      <c r="K210" s="14"/>
    </row>
    <row r="211" spans="1:13" ht="15" hidden="1" customHeight="1" x14ac:dyDescent="0.25">
      <c r="A211" s="191"/>
      <c r="B211" s="1445" t="s">
        <v>101</v>
      </c>
      <c r="C211" s="1445"/>
      <c r="D211" s="1445"/>
      <c r="E211" s="190"/>
      <c r="F211" s="1373">
        <v>54.35</v>
      </c>
      <c r="G211" s="1374"/>
      <c r="H211" s="191"/>
      <c r="I211" s="1459">
        <f>E211*F211</f>
        <v>0</v>
      </c>
      <c r="J211" s="1459"/>
      <c r="K211" s="99"/>
    </row>
    <row r="212" spans="1:13" ht="15" hidden="1" customHeight="1" x14ac:dyDescent="0.25">
      <c r="A212" s="187">
        <v>3</v>
      </c>
      <c r="B212" s="1357" t="s">
        <v>524</v>
      </c>
      <c r="C212" s="1358"/>
      <c r="D212" s="1359"/>
      <c r="E212" s="90">
        <f>E213+E214</f>
        <v>0</v>
      </c>
      <c r="F212" s="1460"/>
      <c r="G212" s="1461"/>
      <c r="H212" s="91">
        <f>F214/F213-100%</f>
        <v>3.5000412984224072E-2</v>
      </c>
      <c r="I212" s="1626">
        <f>I213+I214</f>
        <v>0</v>
      </c>
      <c r="J212" s="1627"/>
      <c r="K212" s="99"/>
    </row>
    <row r="213" spans="1:13" ht="15" hidden="1" customHeight="1" x14ac:dyDescent="0.25">
      <c r="A213" s="191"/>
      <c r="B213" s="1445" t="s">
        <v>100</v>
      </c>
      <c r="C213" s="1445"/>
      <c r="D213" s="1445"/>
      <c r="E213" s="190"/>
      <c r="F213" s="1373">
        <v>1937.12</v>
      </c>
      <c r="G213" s="1374"/>
      <c r="H213" s="191"/>
      <c r="I213" s="1459">
        <f>E213*F213</f>
        <v>0</v>
      </c>
      <c r="J213" s="1459"/>
      <c r="K213" s="99"/>
    </row>
    <row r="214" spans="1:13" ht="15" hidden="1" customHeight="1" x14ac:dyDescent="0.25">
      <c r="A214" s="191"/>
      <c r="B214" s="1445" t="s">
        <v>101</v>
      </c>
      <c r="C214" s="1445"/>
      <c r="D214" s="1445"/>
      <c r="E214" s="190"/>
      <c r="F214" s="1373">
        <v>2004.92</v>
      </c>
      <c r="G214" s="1374"/>
      <c r="H214" s="191"/>
      <c r="I214" s="1459">
        <f>E214*F214</f>
        <v>0</v>
      </c>
      <c r="J214" s="1459"/>
      <c r="K214" s="99"/>
    </row>
    <row r="215" spans="1:13" ht="15" customHeight="1" x14ac:dyDescent="0.25">
      <c r="A215" s="187">
        <v>1</v>
      </c>
      <c r="B215" s="1357" t="s">
        <v>153</v>
      </c>
      <c r="C215" s="1358"/>
      <c r="D215" s="1359"/>
      <c r="E215" s="90">
        <f>E216+E217</f>
        <v>54</v>
      </c>
      <c r="F215" s="1460"/>
      <c r="G215" s="1461"/>
      <c r="H215" s="91">
        <f>F217/F216-100%</f>
        <v>-1</v>
      </c>
      <c r="I215" s="1462">
        <f>I216+I217</f>
        <v>3400</v>
      </c>
      <c r="J215" s="1462"/>
      <c r="K215" s="14">
        <v>883.3</v>
      </c>
    </row>
    <row r="216" spans="1:13" ht="15" customHeight="1" x14ac:dyDescent="0.25">
      <c r="A216" s="191"/>
      <c r="B216" s="1445" t="s">
        <v>100</v>
      </c>
      <c r="C216" s="1445"/>
      <c r="D216" s="1445"/>
      <c r="E216" s="190">
        <v>54</v>
      </c>
      <c r="F216" s="1044">
        <v>62.75</v>
      </c>
      <c r="G216" s="1045"/>
      <c r="H216" s="191"/>
      <c r="I216" s="1459">
        <f>E216*F216+11.5</f>
        <v>3400</v>
      </c>
      <c r="J216" s="1459"/>
      <c r="K216" s="14"/>
    </row>
    <row r="217" spans="1:13" ht="15" customHeight="1" x14ac:dyDescent="0.25">
      <c r="A217" s="191"/>
      <c r="B217" s="1445" t="s">
        <v>101</v>
      </c>
      <c r="C217" s="1445"/>
      <c r="D217" s="1445"/>
      <c r="E217" s="190">
        <v>0</v>
      </c>
      <c r="F217" s="1044"/>
      <c r="G217" s="1045"/>
      <c r="H217" s="191"/>
      <c r="I217" s="1459">
        <f>E217*F217</f>
        <v>0</v>
      </c>
      <c r="J217" s="1459"/>
      <c r="K217" s="14"/>
    </row>
    <row r="218" spans="1:13" ht="15" customHeight="1" x14ac:dyDescent="0.25">
      <c r="A218" s="187">
        <v>2</v>
      </c>
      <c r="B218" s="1357" t="s">
        <v>154</v>
      </c>
      <c r="C218" s="1358"/>
      <c r="D218" s="1359"/>
      <c r="E218" s="90">
        <f>E219+E220</f>
        <v>51</v>
      </c>
      <c r="F218" s="1460"/>
      <c r="G218" s="1461"/>
      <c r="H218" s="91">
        <f>F220/F219-100%</f>
        <v>-1</v>
      </c>
      <c r="I218" s="1462">
        <f>I219+I220</f>
        <v>3800.0000000000005</v>
      </c>
      <c r="J218" s="1462"/>
      <c r="K218" s="166">
        <f>I218+I215</f>
        <v>7200</v>
      </c>
    </row>
    <row r="219" spans="1:13" ht="15" customHeight="1" x14ac:dyDescent="0.35">
      <c r="A219" s="191"/>
      <c r="B219" s="1445" t="s">
        <v>100</v>
      </c>
      <c r="C219" s="1445"/>
      <c r="D219" s="1445"/>
      <c r="E219" s="190">
        <v>51</v>
      </c>
      <c r="F219" s="1044">
        <v>74.87</v>
      </c>
      <c r="G219" s="1045"/>
      <c r="H219" s="191"/>
      <c r="I219" s="1459">
        <f>E219*F219-18.37</f>
        <v>3800.0000000000005</v>
      </c>
      <c r="J219" s="1459"/>
      <c r="K219" s="137"/>
    </row>
    <row r="220" spans="1:13" ht="15" customHeight="1" x14ac:dyDescent="0.25">
      <c r="A220" s="191"/>
      <c r="B220" s="1445" t="s">
        <v>101</v>
      </c>
      <c r="C220" s="1445"/>
      <c r="D220" s="1445"/>
      <c r="E220" s="190">
        <v>0</v>
      </c>
      <c r="F220" s="1044"/>
      <c r="G220" s="1045"/>
      <c r="H220" s="191"/>
      <c r="I220" s="1459">
        <f>E220*F220</f>
        <v>0</v>
      </c>
      <c r="J220" s="1459"/>
      <c r="K220" s="15">
        <v>0</v>
      </c>
    </row>
    <row r="221" spans="1:13" ht="15" customHeight="1" x14ac:dyDescent="0.25">
      <c r="A221" s="187">
        <v>3</v>
      </c>
      <c r="B221" s="1357" t="s">
        <v>155</v>
      </c>
      <c r="C221" s="1358"/>
      <c r="D221" s="1359"/>
      <c r="E221" s="230">
        <f>E222+E223</f>
        <v>500</v>
      </c>
      <c r="F221" s="1460"/>
      <c r="G221" s="1461"/>
      <c r="H221" s="91">
        <f>F223/F222-100%</f>
        <v>-1</v>
      </c>
      <c r="I221" s="1462">
        <f>I222+I223</f>
        <v>4300</v>
      </c>
      <c r="J221" s="1462"/>
      <c r="K221" s="14">
        <v>3100</v>
      </c>
      <c r="L221" s="1">
        <v>11717.12</v>
      </c>
      <c r="M221" s="1">
        <f>K221+L221</f>
        <v>14817.12</v>
      </c>
    </row>
    <row r="222" spans="1:13" ht="15" customHeight="1" x14ac:dyDescent="0.25">
      <c r="A222" s="191"/>
      <c r="B222" s="1445" t="s">
        <v>100</v>
      </c>
      <c r="C222" s="1445"/>
      <c r="D222" s="1445"/>
      <c r="E222" s="196">
        <v>500</v>
      </c>
      <c r="F222" s="1044">
        <v>8.6</v>
      </c>
      <c r="G222" s="1045"/>
      <c r="H222" s="191"/>
      <c r="I222" s="1459">
        <f>E222*F222</f>
        <v>4300</v>
      </c>
      <c r="J222" s="1459"/>
      <c r="K222" s="14"/>
    </row>
    <row r="223" spans="1:13" ht="15" customHeight="1" x14ac:dyDescent="0.25">
      <c r="A223" s="191"/>
      <c r="B223" s="1445" t="s">
        <v>101</v>
      </c>
      <c r="C223" s="1445"/>
      <c r="D223" s="1445"/>
      <c r="E223" s="196"/>
      <c r="F223" s="1044"/>
      <c r="G223" s="1045"/>
      <c r="H223" s="191"/>
      <c r="I223" s="1459">
        <f>E223*F223</f>
        <v>0</v>
      </c>
      <c r="J223" s="1459"/>
    </row>
    <row r="224" spans="1:13" ht="15" hidden="1" customHeight="1" x14ac:dyDescent="0.25">
      <c r="A224" s="187">
        <v>7</v>
      </c>
      <c r="B224" s="1357" t="s">
        <v>371</v>
      </c>
      <c r="C224" s="1358"/>
      <c r="D224" s="1359"/>
      <c r="E224" s="230">
        <f>E225+E226</f>
        <v>0</v>
      </c>
      <c r="F224" s="1460"/>
      <c r="G224" s="1461"/>
      <c r="H224" s="91">
        <v>0</v>
      </c>
      <c r="I224" s="1462">
        <f>I225+I226</f>
        <v>0</v>
      </c>
      <c r="J224" s="1462"/>
      <c r="K224" s="126"/>
    </row>
    <row r="225" spans="1:12" ht="15" hidden="1" customHeight="1" x14ac:dyDescent="0.25">
      <c r="A225" s="191"/>
      <c r="B225" s="1445" t="s">
        <v>100</v>
      </c>
      <c r="C225" s="1445"/>
      <c r="D225" s="1445"/>
      <c r="E225" s="196"/>
      <c r="F225" s="1373">
        <v>747.07</v>
      </c>
      <c r="G225" s="1374"/>
      <c r="H225" s="191"/>
      <c r="I225" s="1459">
        <f>E225*F225</f>
        <v>0</v>
      </c>
      <c r="J225" s="1459"/>
    </row>
    <row r="226" spans="1:12" ht="15" hidden="1" customHeight="1" x14ac:dyDescent="0.25">
      <c r="A226" s="191"/>
      <c r="B226" s="1445" t="s">
        <v>101</v>
      </c>
      <c r="C226" s="1445"/>
      <c r="D226" s="1445"/>
      <c r="E226" s="196"/>
      <c r="F226" s="1373">
        <v>747.07</v>
      </c>
      <c r="G226" s="1374"/>
      <c r="H226" s="191"/>
      <c r="I226" s="1459">
        <f>E226*F226</f>
        <v>0</v>
      </c>
      <c r="J226" s="1459"/>
    </row>
    <row r="227" spans="1:12" ht="15" customHeight="1" x14ac:dyDescent="0.25">
      <c r="A227" s="191"/>
      <c r="B227" s="1338" t="s">
        <v>13</v>
      </c>
      <c r="C227" s="1338"/>
      <c r="D227" s="1338"/>
      <c r="E227" s="189" t="s">
        <v>14</v>
      </c>
      <c r="F227" s="1341" t="s">
        <v>14</v>
      </c>
      <c r="G227" s="1341"/>
      <c r="H227" s="189" t="s">
        <v>14</v>
      </c>
      <c r="I227" s="1347">
        <f>I206+I209+I212+I215+I218+I221+I224</f>
        <v>11500</v>
      </c>
      <c r="J227" s="1347"/>
      <c r="K227" s="1">
        <v>6514</v>
      </c>
    </row>
    <row r="228" spans="1:12" s="41" customFormat="1" ht="19.5" hidden="1" customHeight="1" x14ac:dyDescent="0.25">
      <c r="A228" s="1446" t="s">
        <v>279</v>
      </c>
      <c r="B228" s="1446"/>
      <c r="C228" s="1446"/>
      <c r="D228" s="1446"/>
      <c r="E228" s="1446"/>
      <c r="F228" s="1446"/>
      <c r="G228" s="1446"/>
      <c r="H228" s="1446"/>
      <c r="I228" s="1446"/>
      <c r="J228" s="1446"/>
    </row>
    <row r="229" spans="1:12" s="41" customFormat="1" ht="15" hidden="1" customHeight="1" x14ac:dyDescent="0.2">
      <c r="A229" s="188" t="s">
        <v>1</v>
      </c>
      <c r="B229" s="1346" t="s">
        <v>44</v>
      </c>
      <c r="C229" s="1346"/>
      <c r="D229" s="1346"/>
      <c r="E229" s="1346" t="s">
        <v>58</v>
      </c>
      <c r="F229" s="1346"/>
      <c r="G229" s="1346" t="s">
        <v>59</v>
      </c>
      <c r="H229" s="1346"/>
      <c r="I229" s="1346" t="s">
        <v>60</v>
      </c>
      <c r="J229" s="1346"/>
    </row>
    <row r="230" spans="1:12" ht="15" hidden="1" customHeight="1" x14ac:dyDescent="0.25">
      <c r="A230" s="188">
        <v>1</v>
      </c>
      <c r="B230" s="1346">
        <v>2</v>
      </c>
      <c r="C230" s="1346"/>
      <c r="D230" s="1346"/>
      <c r="E230" s="1346">
        <v>3</v>
      </c>
      <c r="F230" s="1346"/>
      <c r="G230" s="1346">
        <v>4</v>
      </c>
      <c r="H230" s="1346"/>
      <c r="I230" s="1346">
        <v>5</v>
      </c>
      <c r="J230" s="1346"/>
      <c r="K230" s="15"/>
    </row>
    <row r="231" spans="1:12" ht="15" hidden="1" customHeight="1" x14ac:dyDescent="0.25">
      <c r="A231" s="191"/>
      <c r="B231" s="1387"/>
      <c r="C231" s="1444"/>
      <c r="D231" s="1388"/>
      <c r="E231" s="1445"/>
      <c r="F231" s="1445"/>
      <c r="G231" s="1445"/>
      <c r="H231" s="1445"/>
      <c r="I231" s="1445"/>
      <c r="J231" s="1445"/>
      <c r="K231" s="14"/>
    </row>
    <row r="232" spans="1:12" ht="15" hidden="1" customHeight="1" x14ac:dyDescent="0.25">
      <c r="A232" s="189"/>
      <c r="B232" s="1338" t="s">
        <v>13</v>
      </c>
      <c r="C232" s="1338"/>
      <c r="D232" s="1338"/>
      <c r="E232" s="1341" t="s">
        <v>14</v>
      </c>
      <c r="F232" s="1341"/>
      <c r="G232" s="1341" t="s">
        <v>14</v>
      </c>
      <c r="H232" s="1341"/>
      <c r="I232" s="1341"/>
      <c r="J232" s="1341"/>
    </row>
    <row r="233" spans="1:12" ht="16.5" customHeight="1" x14ac:dyDescent="0.25">
      <c r="A233" s="1446" t="s">
        <v>275</v>
      </c>
      <c r="B233" s="1446"/>
      <c r="C233" s="1446"/>
      <c r="D233" s="1446"/>
      <c r="E233" s="1446"/>
      <c r="F233" s="1446"/>
      <c r="G233" s="1446"/>
      <c r="H233" s="1446"/>
      <c r="I233" s="1446"/>
      <c r="J233" s="1446"/>
    </row>
    <row r="234" spans="1:12" ht="15" customHeight="1" x14ac:dyDescent="0.25">
      <c r="A234" s="1414" t="s">
        <v>1</v>
      </c>
      <c r="B234" s="1416" t="s">
        <v>15</v>
      </c>
      <c r="C234" s="1417"/>
      <c r="D234" s="1418"/>
      <c r="E234" s="1414" t="s">
        <v>61</v>
      </c>
      <c r="F234" s="1414" t="s">
        <v>62</v>
      </c>
      <c r="G234" s="1346" t="s">
        <v>63</v>
      </c>
      <c r="H234" s="1346"/>
      <c r="I234" s="1346"/>
      <c r="J234" s="1346"/>
    </row>
    <row r="235" spans="1:12" ht="24" customHeight="1" x14ac:dyDescent="0.25">
      <c r="A235" s="1415"/>
      <c r="B235" s="1419"/>
      <c r="C235" s="1420"/>
      <c r="D235" s="1421"/>
      <c r="E235" s="1415"/>
      <c r="F235" s="1415"/>
      <c r="G235" s="188" t="s">
        <v>298</v>
      </c>
      <c r="H235" s="188" t="s">
        <v>295</v>
      </c>
      <c r="I235" s="184" t="s">
        <v>296</v>
      </c>
      <c r="J235" s="188" t="s">
        <v>297</v>
      </c>
    </row>
    <row r="236" spans="1:12" ht="11.25" customHeight="1" x14ac:dyDescent="0.25">
      <c r="A236" s="188">
        <v>1</v>
      </c>
      <c r="B236" s="1346">
        <v>2</v>
      </c>
      <c r="C236" s="1346"/>
      <c r="D236" s="1346"/>
      <c r="E236" s="188">
        <v>3</v>
      </c>
      <c r="F236" s="188">
        <v>4</v>
      </c>
      <c r="G236" s="1344">
        <v>5</v>
      </c>
      <c r="H236" s="1392"/>
      <c r="I236" s="1392"/>
      <c r="J236" s="1345"/>
    </row>
    <row r="237" spans="1:12" ht="41.25" customHeight="1" x14ac:dyDescent="0.25">
      <c r="A237" s="191">
        <v>1</v>
      </c>
      <c r="B237" s="1040" t="s">
        <v>612</v>
      </c>
      <c r="C237" s="1040"/>
      <c r="D237" s="1040"/>
      <c r="E237" s="191" t="s">
        <v>535</v>
      </c>
      <c r="F237" s="191"/>
      <c r="G237" s="191"/>
      <c r="H237" s="191"/>
      <c r="I237" s="163"/>
      <c r="J237" s="156">
        <v>45000</v>
      </c>
    </row>
    <row r="238" spans="1:12" ht="21" customHeight="1" x14ac:dyDescent="0.25">
      <c r="A238" s="191">
        <v>2</v>
      </c>
      <c r="B238" s="1040" t="s">
        <v>662</v>
      </c>
      <c r="C238" s="1040"/>
      <c r="D238" s="1040"/>
      <c r="E238" s="191" t="s">
        <v>535</v>
      </c>
      <c r="F238" s="191">
        <v>1</v>
      </c>
      <c r="G238" s="191" t="s">
        <v>299</v>
      </c>
      <c r="H238" s="191">
        <v>1</v>
      </c>
      <c r="I238" s="163">
        <v>12000</v>
      </c>
      <c r="J238" s="156">
        <v>12000</v>
      </c>
    </row>
    <row r="239" spans="1:12" ht="0.75" customHeight="1" x14ac:dyDescent="0.25">
      <c r="A239" s="191">
        <v>3</v>
      </c>
      <c r="B239" s="1040" t="s">
        <v>660</v>
      </c>
      <c r="C239" s="1040"/>
      <c r="D239" s="1040"/>
      <c r="E239" s="410" t="s">
        <v>677</v>
      </c>
      <c r="F239" s="410">
        <v>1</v>
      </c>
      <c r="G239" s="410" t="s">
        <v>661</v>
      </c>
      <c r="H239" s="410">
        <v>1</v>
      </c>
      <c r="I239" s="163">
        <v>0</v>
      </c>
      <c r="J239" s="411">
        <v>0</v>
      </c>
      <c r="K239" s="157"/>
      <c r="L239" s="133"/>
    </row>
    <row r="240" spans="1:12" ht="24.75" customHeight="1" x14ac:dyDescent="0.25">
      <c r="A240" s="191">
        <v>3</v>
      </c>
      <c r="B240" s="1040" t="s">
        <v>731</v>
      </c>
      <c r="C240" s="1040"/>
      <c r="D240" s="1040"/>
      <c r="E240" s="422" t="s">
        <v>677</v>
      </c>
      <c r="F240" s="422">
        <v>1</v>
      </c>
      <c r="G240" s="422" t="s">
        <v>661</v>
      </c>
      <c r="H240" s="422">
        <v>1</v>
      </c>
      <c r="I240" s="163">
        <v>5000</v>
      </c>
      <c r="J240" s="156">
        <f>I240</f>
        <v>5000</v>
      </c>
      <c r="K240" s="157"/>
      <c r="L240" s="133"/>
    </row>
    <row r="241" spans="1:12" ht="17.25" hidden="1" customHeight="1" x14ac:dyDescent="0.25">
      <c r="A241" s="1621"/>
      <c r="B241" s="1057"/>
      <c r="C241" s="1058"/>
      <c r="D241" s="1059"/>
      <c r="E241" s="191"/>
      <c r="F241" s="200"/>
      <c r="G241" s="200"/>
      <c r="H241" s="200"/>
      <c r="I241" s="163"/>
      <c r="J241" s="156"/>
      <c r="K241" s="165"/>
    </row>
    <row r="242" spans="1:12" hidden="1" x14ac:dyDescent="0.25">
      <c r="A242" s="1622"/>
      <c r="B242" s="1623"/>
      <c r="C242" s="1624"/>
      <c r="D242" s="1625"/>
      <c r="E242" s="191"/>
      <c r="F242" s="200"/>
      <c r="G242" s="200"/>
      <c r="H242" s="200"/>
      <c r="I242" s="163"/>
      <c r="J242" s="156"/>
    </row>
    <row r="243" spans="1:12" ht="24" hidden="1" customHeight="1" x14ac:dyDescent="0.25">
      <c r="A243" s="191"/>
      <c r="B243" s="1040"/>
      <c r="C243" s="1040"/>
      <c r="D243" s="1040"/>
      <c r="E243" s="191"/>
      <c r="F243" s="191"/>
      <c r="G243" s="191"/>
      <c r="H243" s="191"/>
      <c r="I243" s="163"/>
      <c r="J243" s="156"/>
    </row>
    <row r="244" spans="1:12" ht="30" hidden="1" customHeight="1" x14ac:dyDescent="0.25">
      <c r="A244" s="191"/>
      <c r="B244" s="1450"/>
      <c r="C244" s="1450"/>
      <c r="D244" s="1450"/>
      <c r="E244" s="191"/>
      <c r="F244" s="191"/>
      <c r="G244" s="191"/>
      <c r="H244" s="191"/>
      <c r="I244" s="162"/>
      <c r="J244" s="155"/>
      <c r="K244" s="11"/>
      <c r="L244" s="11"/>
    </row>
    <row r="245" spans="1:12" ht="29.25" hidden="1" customHeight="1" x14ac:dyDescent="0.25">
      <c r="A245" s="191"/>
      <c r="B245" s="1040"/>
      <c r="C245" s="1040"/>
      <c r="D245" s="1040"/>
      <c r="E245" s="191"/>
      <c r="F245" s="191"/>
      <c r="G245" s="191"/>
      <c r="H245" s="191"/>
      <c r="I245" s="163"/>
      <c r="J245" s="156"/>
      <c r="K245" s="11"/>
      <c r="L245" s="11"/>
    </row>
    <row r="246" spans="1:12" ht="23.25" hidden="1" customHeight="1" x14ac:dyDescent="0.25">
      <c r="A246" s="191"/>
      <c r="B246" s="1040"/>
      <c r="C246" s="1040"/>
      <c r="D246" s="1040"/>
      <c r="E246" s="191"/>
      <c r="F246" s="191"/>
      <c r="G246" s="191"/>
      <c r="H246" s="191"/>
      <c r="I246" s="163"/>
      <c r="J246" s="156"/>
      <c r="K246" s="11"/>
      <c r="L246" s="11"/>
    </row>
    <row r="247" spans="1:12" ht="46.5" hidden="1" customHeight="1" x14ac:dyDescent="0.25">
      <c r="A247" s="191"/>
      <c r="B247" s="1040"/>
      <c r="C247" s="1040"/>
      <c r="D247" s="1040"/>
      <c r="E247" s="191"/>
      <c r="F247" s="191"/>
      <c r="G247" s="191"/>
      <c r="H247" s="191"/>
      <c r="I247" s="163"/>
      <c r="J247" s="156"/>
    </row>
    <row r="248" spans="1:12" ht="25.5" hidden="1" customHeight="1" x14ac:dyDescent="0.25">
      <c r="A248" s="191"/>
      <c r="B248" s="1017"/>
      <c r="C248" s="1451"/>
      <c r="D248" s="1452"/>
      <c r="E248" s="191"/>
      <c r="F248" s="191"/>
      <c r="G248" s="191"/>
      <c r="H248" s="191"/>
      <c r="I248" s="163"/>
      <c r="J248" s="156"/>
    </row>
    <row r="249" spans="1:12" ht="38.25" hidden="1" customHeight="1" x14ac:dyDescent="0.25">
      <c r="A249" s="191"/>
      <c r="B249" s="1040"/>
      <c r="C249" s="1040"/>
      <c r="D249" s="1040"/>
      <c r="E249" s="191"/>
      <c r="F249" s="191"/>
      <c r="G249" s="191"/>
      <c r="H249" s="191"/>
      <c r="I249" s="163"/>
      <c r="J249" s="156"/>
    </row>
    <row r="250" spans="1:12" ht="38.25" hidden="1" customHeight="1" x14ac:dyDescent="0.25">
      <c r="A250" s="191"/>
      <c r="B250" s="1017"/>
      <c r="C250" s="1018"/>
      <c r="D250" s="1019"/>
      <c r="E250" s="191"/>
      <c r="F250" s="191"/>
      <c r="G250" s="191"/>
      <c r="H250" s="191"/>
      <c r="I250" s="163"/>
      <c r="J250" s="156"/>
    </row>
    <row r="251" spans="1:12" ht="17.25" hidden="1" customHeight="1" x14ac:dyDescent="0.25">
      <c r="A251" s="191"/>
      <c r="B251" s="1017"/>
      <c r="C251" s="1018"/>
      <c r="D251" s="1019"/>
      <c r="E251" s="191"/>
      <c r="F251" s="191"/>
      <c r="G251" s="191"/>
      <c r="H251" s="191"/>
      <c r="I251" s="163"/>
      <c r="J251" s="156"/>
    </row>
    <row r="252" spans="1:12" ht="9.75" hidden="1" customHeight="1" x14ac:dyDescent="0.25">
      <c r="A252" s="191"/>
      <c r="B252" s="1026"/>
      <c r="C252" s="1052"/>
      <c r="D252" s="1027"/>
      <c r="E252" s="191"/>
      <c r="F252" s="191"/>
      <c r="G252" s="191"/>
      <c r="H252" s="191"/>
      <c r="I252" s="163"/>
      <c r="J252" s="156"/>
    </row>
    <row r="253" spans="1:12" ht="11.25" hidden="1" customHeight="1" x14ac:dyDescent="0.25">
      <c r="A253" s="191"/>
      <c r="B253" s="1026"/>
      <c r="C253" s="1052"/>
      <c r="D253" s="1027"/>
      <c r="E253" s="191"/>
      <c r="F253" s="191"/>
      <c r="G253" s="191"/>
      <c r="H253" s="191"/>
      <c r="I253" s="163"/>
      <c r="J253" s="156"/>
    </row>
    <row r="254" spans="1:12" x14ac:dyDescent="0.25">
      <c r="A254" s="189"/>
      <c r="B254" s="1338" t="s">
        <v>13</v>
      </c>
      <c r="C254" s="1338"/>
      <c r="D254" s="1338"/>
      <c r="E254" s="189" t="s">
        <v>14</v>
      </c>
      <c r="F254" s="189" t="s">
        <v>14</v>
      </c>
      <c r="G254" s="1396">
        <f>SUM(J237:J253)</f>
        <v>62000</v>
      </c>
      <c r="H254" s="1397"/>
      <c r="I254" s="1397"/>
      <c r="J254" s="1397"/>
    </row>
    <row r="255" spans="1:12" ht="17.25" customHeight="1" x14ac:dyDescent="0.25">
      <c r="A255" s="1446" t="s">
        <v>280</v>
      </c>
      <c r="B255" s="1446"/>
      <c r="C255" s="1446"/>
      <c r="D255" s="1446"/>
      <c r="E255" s="1446"/>
      <c r="F255" s="1446"/>
      <c r="G255" s="1446"/>
      <c r="H255" s="1446"/>
      <c r="I255" s="1446"/>
      <c r="J255" s="1446"/>
    </row>
    <row r="256" spans="1:12" ht="17.25" customHeight="1" x14ac:dyDescent="0.25">
      <c r="A256" s="1414" t="s">
        <v>1</v>
      </c>
      <c r="B256" s="1416" t="s">
        <v>15</v>
      </c>
      <c r="C256" s="1417"/>
      <c r="D256" s="1418"/>
      <c r="E256" s="1416" t="s">
        <v>64</v>
      </c>
      <c r="F256" s="1418"/>
      <c r="G256" s="1346" t="s">
        <v>65</v>
      </c>
      <c r="H256" s="1346"/>
      <c r="I256" s="1346"/>
      <c r="J256" s="1346"/>
    </row>
    <row r="257" spans="1:11" ht="27.75" customHeight="1" x14ac:dyDescent="0.25">
      <c r="A257" s="1415"/>
      <c r="B257" s="1419"/>
      <c r="C257" s="1420"/>
      <c r="D257" s="1421"/>
      <c r="E257" s="1419"/>
      <c r="F257" s="1421"/>
      <c r="G257" s="188" t="s">
        <v>298</v>
      </c>
      <c r="H257" s="188" t="s">
        <v>295</v>
      </c>
      <c r="I257" s="188" t="s">
        <v>296</v>
      </c>
      <c r="J257" s="188" t="s">
        <v>297</v>
      </c>
    </row>
    <row r="258" spans="1:11" ht="14.25" customHeight="1" x14ac:dyDescent="0.25">
      <c r="A258" s="188">
        <v>1</v>
      </c>
      <c r="B258" s="1346">
        <v>2</v>
      </c>
      <c r="C258" s="1346"/>
      <c r="D258" s="1346"/>
      <c r="E258" s="1344">
        <v>3</v>
      </c>
      <c r="F258" s="1345"/>
      <c r="G258" s="1346">
        <v>4</v>
      </c>
      <c r="H258" s="1346"/>
      <c r="I258" s="1346"/>
      <c r="J258" s="1346"/>
    </row>
    <row r="259" spans="1:11" ht="30" customHeight="1" x14ac:dyDescent="0.25">
      <c r="A259" s="187" t="s">
        <v>70</v>
      </c>
      <c r="B259" s="1357" t="s">
        <v>347</v>
      </c>
      <c r="C259" s="1358"/>
      <c r="D259" s="1359"/>
      <c r="E259" s="1349" t="s">
        <v>74</v>
      </c>
      <c r="F259" s="1350"/>
      <c r="G259" s="146" t="s">
        <v>74</v>
      </c>
      <c r="H259" s="146" t="s">
        <v>74</v>
      </c>
      <c r="I259" s="147" t="s">
        <v>74</v>
      </c>
      <c r="J259" s="145">
        <f>SUM(J260:J263)</f>
        <v>2500</v>
      </c>
    </row>
    <row r="260" spans="1:11" ht="30" customHeight="1" x14ac:dyDescent="0.25">
      <c r="A260" s="160">
        <v>1</v>
      </c>
      <c r="B260" s="1386" t="s">
        <v>770</v>
      </c>
      <c r="C260" s="1386"/>
      <c r="D260" s="1386"/>
      <c r="E260" s="248"/>
      <c r="F260" s="249">
        <v>1</v>
      </c>
      <c r="G260" s="222">
        <v>1</v>
      </c>
      <c r="H260" s="222">
        <v>1</v>
      </c>
      <c r="I260" s="223">
        <v>0</v>
      </c>
      <c r="J260" s="156">
        <v>2500</v>
      </c>
      <c r="K260" s="527">
        <v>1600</v>
      </c>
    </row>
    <row r="261" spans="1:11" ht="30" hidden="1" customHeight="1" x14ac:dyDescent="0.25">
      <c r="A261" s="191">
        <v>1</v>
      </c>
      <c r="B261" s="1040" t="s">
        <v>771</v>
      </c>
      <c r="C261" s="1040"/>
      <c r="D261" s="1040"/>
      <c r="E261" s="1387">
        <v>1</v>
      </c>
      <c r="F261" s="1388"/>
      <c r="G261" s="191">
        <v>1</v>
      </c>
      <c r="H261" s="191">
        <v>1</v>
      </c>
      <c r="I261" s="161">
        <v>0</v>
      </c>
      <c r="J261" s="423">
        <v>0</v>
      </c>
    </row>
    <row r="262" spans="1:11" s="41" customFormat="1" ht="30" hidden="1" customHeight="1" x14ac:dyDescent="0.25">
      <c r="A262" s="98">
        <v>3</v>
      </c>
      <c r="B262" s="1017" t="s">
        <v>566</v>
      </c>
      <c r="C262" s="1619"/>
      <c r="D262" s="1620"/>
      <c r="E262" s="1387">
        <v>1</v>
      </c>
      <c r="F262" s="1388"/>
      <c r="G262" s="256">
        <v>1</v>
      </c>
      <c r="H262" s="256">
        <v>1</v>
      </c>
      <c r="I262" s="161">
        <v>0</v>
      </c>
      <c r="J262" s="156">
        <f>I262</f>
        <v>0</v>
      </c>
    </row>
    <row r="263" spans="1:11" ht="30" hidden="1" customHeight="1" x14ac:dyDescent="0.25">
      <c r="A263" s="191">
        <v>4</v>
      </c>
      <c r="B263" s="1040" t="s">
        <v>575</v>
      </c>
      <c r="C263" s="1040"/>
      <c r="D263" s="1040"/>
      <c r="E263" s="1387"/>
      <c r="F263" s="1388"/>
      <c r="G263" s="191"/>
      <c r="H263" s="191"/>
      <c r="I263" s="161"/>
      <c r="J263" s="156">
        <v>0</v>
      </c>
    </row>
    <row r="264" spans="1:11" ht="24" hidden="1" customHeight="1" x14ac:dyDescent="0.25">
      <c r="A264" s="191"/>
      <c r="B264" s="1040"/>
      <c r="C264" s="1040"/>
      <c r="D264" s="1040"/>
      <c r="E264" s="1026"/>
      <c r="F264" s="1027"/>
      <c r="G264" s="160"/>
      <c r="H264" s="160"/>
      <c r="I264" s="161"/>
      <c r="J264" s="101"/>
    </row>
    <row r="265" spans="1:11" ht="22.5" hidden="1" customHeight="1" x14ac:dyDescent="0.25">
      <c r="A265" s="191"/>
      <c r="B265" s="1040"/>
      <c r="C265" s="1040"/>
      <c r="D265" s="1040"/>
      <c r="E265" s="1387"/>
      <c r="F265" s="1388"/>
      <c r="G265" s="191"/>
      <c r="H265" s="191"/>
      <c r="I265" s="161"/>
      <c r="J265" s="101"/>
    </row>
    <row r="266" spans="1:11" ht="30" hidden="1" customHeight="1" x14ac:dyDescent="0.25">
      <c r="A266" s="191"/>
      <c r="B266" s="1040"/>
      <c r="C266" s="1040"/>
      <c r="D266" s="1040"/>
      <c r="E266" s="1387"/>
      <c r="F266" s="1388"/>
      <c r="G266" s="191"/>
      <c r="H266" s="191"/>
      <c r="I266" s="161"/>
      <c r="J266" s="101"/>
    </row>
    <row r="267" spans="1:11" ht="30" hidden="1" customHeight="1" x14ac:dyDescent="0.25">
      <c r="A267" s="191"/>
      <c r="B267" s="1040"/>
      <c r="C267" s="1040"/>
      <c r="D267" s="1040"/>
      <c r="E267" s="1026"/>
      <c r="F267" s="1027"/>
      <c r="G267" s="160"/>
      <c r="H267" s="160"/>
      <c r="I267" s="161"/>
      <c r="J267" s="101"/>
      <c r="K267" s="164"/>
    </row>
    <row r="268" spans="1:11" ht="51.75" hidden="1" customHeight="1" x14ac:dyDescent="0.25">
      <c r="A268" s="191"/>
      <c r="B268" s="1040"/>
      <c r="C268" s="1040"/>
      <c r="D268" s="1040"/>
      <c r="E268" s="1387"/>
      <c r="F268" s="1388"/>
      <c r="G268" s="191"/>
      <c r="H268" s="191"/>
      <c r="I268" s="161"/>
      <c r="J268" s="101"/>
    </row>
    <row r="269" spans="1:11" ht="30" hidden="1" customHeight="1" x14ac:dyDescent="0.25">
      <c r="A269" s="191"/>
      <c r="B269" s="1040"/>
      <c r="C269" s="1040"/>
      <c r="D269" s="1040"/>
      <c r="E269" s="1387"/>
      <c r="F269" s="1388"/>
      <c r="G269" s="191"/>
      <c r="H269" s="191"/>
      <c r="I269" s="161"/>
      <c r="J269" s="101"/>
    </row>
    <row r="270" spans="1:11" ht="43.5" hidden="1" customHeight="1" x14ac:dyDescent="0.25">
      <c r="A270" s="191"/>
      <c r="B270" s="1386"/>
      <c r="C270" s="1386"/>
      <c r="D270" s="1386"/>
      <c r="E270" s="1387"/>
      <c r="F270" s="1388"/>
      <c r="G270" s="191"/>
      <c r="H270" s="191"/>
      <c r="I270" s="161"/>
      <c r="J270" s="101"/>
    </row>
    <row r="271" spans="1:11" ht="48" hidden="1" customHeight="1" x14ac:dyDescent="0.25">
      <c r="A271" s="191"/>
      <c r="B271" s="1386"/>
      <c r="C271" s="1386"/>
      <c r="D271" s="1386"/>
      <c r="E271" s="1387"/>
      <c r="F271" s="1388"/>
      <c r="G271" s="191"/>
      <c r="H271" s="191"/>
      <c r="I271" s="161"/>
      <c r="J271" s="101"/>
    </row>
    <row r="272" spans="1:11" ht="30" hidden="1" customHeight="1" x14ac:dyDescent="0.25">
      <c r="A272" s="191"/>
      <c r="B272" s="1386"/>
      <c r="C272" s="1386"/>
      <c r="D272" s="1386"/>
      <c r="E272" s="1387"/>
      <c r="F272" s="1388"/>
      <c r="G272" s="191"/>
      <c r="H272" s="190"/>
      <c r="I272" s="161"/>
      <c r="J272" s="101"/>
    </row>
    <row r="273" spans="1:11" ht="30" hidden="1" customHeight="1" x14ac:dyDescent="0.25">
      <c r="A273" s="191"/>
      <c r="B273" s="1040"/>
      <c r="C273" s="1040"/>
      <c r="D273" s="1040"/>
      <c r="E273" s="1387"/>
      <c r="F273" s="1388"/>
      <c r="G273" s="191"/>
      <c r="H273" s="191"/>
      <c r="I273" s="161"/>
      <c r="J273" s="101"/>
    </row>
    <row r="274" spans="1:11" ht="30" hidden="1" customHeight="1" x14ac:dyDescent="0.25">
      <c r="A274" s="191"/>
      <c r="B274" s="192"/>
      <c r="C274" s="220"/>
      <c r="D274" s="221"/>
      <c r="E274" s="185"/>
      <c r="F274" s="186"/>
      <c r="G274" s="191"/>
      <c r="H274" s="191"/>
      <c r="I274" s="161"/>
      <c r="J274" s="101"/>
    </row>
    <row r="275" spans="1:11" ht="30" hidden="1" customHeight="1" x14ac:dyDescent="0.25">
      <c r="A275" s="187" t="s">
        <v>75</v>
      </c>
      <c r="B275" s="1357" t="s">
        <v>347</v>
      </c>
      <c r="C275" s="1358"/>
      <c r="D275" s="1359"/>
      <c r="E275" s="1349" t="s">
        <v>74</v>
      </c>
      <c r="F275" s="1350"/>
      <c r="G275" s="146" t="s">
        <v>74</v>
      </c>
      <c r="H275" s="146" t="s">
        <v>74</v>
      </c>
      <c r="I275" s="147" t="s">
        <v>74</v>
      </c>
      <c r="J275" s="145">
        <f>J276</f>
        <v>0</v>
      </c>
    </row>
    <row r="276" spans="1:11" ht="30" hidden="1" customHeight="1" x14ac:dyDescent="0.25">
      <c r="A276" s="191"/>
      <c r="B276" s="1386"/>
      <c r="C276" s="1386"/>
      <c r="D276" s="1386"/>
      <c r="E276" s="1387"/>
      <c r="F276" s="1388"/>
      <c r="G276" s="191"/>
      <c r="H276" s="191"/>
      <c r="I276" s="92"/>
      <c r="J276" s="101"/>
    </row>
    <row r="277" spans="1:11" ht="30" hidden="1" customHeight="1" x14ac:dyDescent="0.25">
      <c r="A277" s="187" t="s">
        <v>77</v>
      </c>
      <c r="B277" s="1357" t="s">
        <v>469</v>
      </c>
      <c r="C277" s="1358"/>
      <c r="D277" s="1359"/>
      <c r="E277" s="1349" t="s">
        <v>74</v>
      </c>
      <c r="F277" s="1350"/>
      <c r="G277" s="146" t="s">
        <v>74</v>
      </c>
      <c r="H277" s="146" t="s">
        <v>74</v>
      </c>
      <c r="I277" s="147" t="s">
        <v>74</v>
      </c>
      <c r="J277" s="145">
        <f>J278</f>
        <v>0</v>
      </c>
    </row>
    <row r="278" spans="1:11" ht="30" hidden="1" customHeight="1" x14ac:dyDescent="0.25">
      <c r="A278" s="191"/>
      <c r="B278" s="1386"/>
      <c r="C278" s="1386"/>
      <c r="D278" s="1386"/>
      <c r="E278" s="1387"/>
      <c r="F278" s="1388"/>
      <c r="G278" s="191"/>
      <c r="H278" s="191"/>
      <c r="I278" s="92"/>
      <c r="J278" s="101"/>
    </row>
    <row r="279" spans="1:11" ht="30" hidden="1" customHeight="1" x14ac:dyDescent="0.25">
      <c r="A279" s="187" t="s">
        <v>86</v>
      </c>
      <c r="B279" s="1357" t="s">
        <v>349</v>
      </c>
      <c r="C279" s="1358"/>
      <c r="D279" s="1359"/>
      <c r="E279" s="1349" t="s">
        <v>74</v>
      </c>
      <c r="F279" s="1350"/>
      <c r="G279" s="146" t="s">
        <v>74</v>
      </c>
      <c r="H279" s="146" t="s">
        <v>74</v>
      </c>
      <c r="I279" s="147" t="s">
        <v>74</v>
      </c>
      <c r="J279" s="145">
        <f>J280+J281</f>
        <v>0</v>
      </c>
      <c r="K279" s="1" t="s">
        <v>478</v>
      </c>
    </row>
    <row r="280" spans="1:11" ht="30" hidden="1" customHeight="1" x14ac:dyDescent="0.25">
      <c r="A280" s="160"/>
      <c r="B280" s="1017"/>
      <c r="C280" s="1018"/>
      <c r="D280" s="1019"/>
      <c r="E280" s="1034"/>
      <c r="F280" s="1035"/>
      <c r="G280" s="222"/>
      <c r="H280" s="222"/>
      <c r="I280" s="223"/>
      <c r="J280" s="156"/>
    </row>
    <row r="281" spans="1:11" ht="30" hidden="1" customHeight="1" x14ac:dyDescent="0.25">
      <c r="A281" s="160"/>
      <c r="B281" s="1017"/>
      <c r="C281" s="1018"/>
      <c r="D281" s="1019"/>
      <c r="E281" s="225"/>
      <c r="F281" s="224"/>
      <c r="G281" s="222"/>
      <c r="H281" s="222"/>
      <c r="I281" s="223"/>
      <c r="J281" s="156"/>
    </row>
    <row r="282" spans="1:11" ht="55.5" hidden="1" customHeight="1" x14ac:dyDescent="0.25">
      <c r="A282" s="187" t="s">
        <v>87</v>
      </c>
      <c r="B282" s="1357" t="s">
        <v>475</v>
      </c>
      <c r="C282" s="1358"/>
      <c r="D282" s="1359"/>
      <c r="E282" s="1349" t="s">
        <v>74</v>
      </c>
      <c r="F282" s="1350"/>
      <c r="G282" s="146" t="s">
        <v>74</v>
      </c>
      <c r="H282" s="146" t="s">
        <v>74</v>
      </c>
      <c r="I282" s="147" t="s">
        <v>74</v>
      </c>
      <c r="J282" s="227">
        <f>J283</f>
        <v>0</v>
      </c>
    </row>
    <row r="283" spans="1:11" ht="30" hidden="1" customHeight="1" x14ac:dyDescent="0.25">
      <c r="A283" s="160"/>
      <c r="B283" s="1017"/>
      <c r="C283" s="1018"/>
      <c r="D283" s="1019"/>
      <c r="E283" s="1034"/>
      <c r="F283" s="1035"/>
      <c r="G283" s="222"/>
      <c r="H283" s="222"/>
      <c r="I283" s="223"/>
      <c r="J283" s="226"/>
    </row>
    <row r="284" spans="1:11" ht="54.75" hidden="1" customHeight="1" x14ac:dyDescent="0.25">
      <c r="A284" s="187" t="s">
        <v>97</v>
      </c>
      <c r="B284" s="1357" t="s">
        <v>479</v>
      </c>
      <c r="C284" s="1358"/>
      <c r="D284" s="1359"/>
      <c r="E284" s="1349" t="s">
        <v>74</v>
      </c>
      <c r="F284" s="1350"/>
      <c r="G284" s="146" t="s">
        <v>74</v>
      </c>
      <c r="H284" s="146" t="s">
        <v>74</v>
      </c>
      <c r="I284" s="147" t="s">
        <v>74</v>
      </c>
      <c r="J284" s="227">
        <f>J285+J286+J287+J288</f>
        <v>0</v>
      </c>
    </row>
    <row r="285" spans="1:11" ht="30" hidden="1" customHeight="1" x14ac:dyDescent="0.25">
      <c r="A285" s="160"/>
      <c r="B285" s="1099"/>
      <c r="C285" s="1100"/>
      <c r="D285" s="1101"/>
      <c r="E285" s="1034"/>
      <c r="F285" s="1035"/>
      <c r="G285" s="222"/>
      <c r="H285" s="222"/>
      <c r="I285" s="223"/>
      <c r="J285" s="156"/>
    </row>
    <row r="286" spans="1:11" ht="30" hidden="1" customHeight="1" x14ac:dyDescent="0.25">
      <c r="A286" s="160"/>
      <c r="B286" s="1099"/>
      <c r="C286" s="1100"/>
      <c r="D286" s="1101"/>
      <c r="E286" s="1034"/>
      <c r="F286" s="1035"/>
      <c r="G286" s="222"/>
      <c r="H286" s="222"/>
      <c r="I286" s="223"/>
      <c r="J286" s="156"/>
    </row>
    <row r="287" spans="1:11" ht="30" hidden="1" customHeight="1" x14ac:dyDescent="0.25">
      <c r="A287" s="160"/>
      <c r="B287" s="1099"/>
      <c r="C287" s="1100"/>
      <c r="D287" s="1101"/>
      <c r="E287" s="1034"/>
      <c r="F287" s="1035"/>
      <c r="G287" s="222"/>
      <c r="H287" s="222"/>
      <c r="I287" s="223"/>
      <c r="J287" s="156"/>
    </row>
    <row r="288" spans="1:11" ht="30" hidden="1" customHeight="1" x14ac:dyDescent="0.25">
      <c r="A288" s="160"/>
      <c r="B288" s="1367"/>
      <c r="C288" s="1367"/>
      <c r="D288" s="1367"/>
      <c r="E288" s="1387"/>
      <c r="F288" s="1388"/>
      <c r="G288" s="191"/>
      <c r="H288" s="191"/>
      <c r="I288" s="92"/>
      <c r="J288" s="101"/>
    </row>
    <row r="289" spans="1:11" ht="30" customHeight="1" x14ac:dyDescent="0.25">
      <c r="A289" s="168"/>
      <c r="B289" s="1393" t="str">
        <f>B196</f>
        <v>Итого (благотворительность):</v>
      </c>
      <c r="C289" s="1393"/>
      <c r="D289" s="1393"/>
      <c r="E289" s="1394" t="s">
        <v>14</v>
      </c>
      <c r="F289" s="1395"/>
      <c r="G289" s="1396">
        <f>J259+J275+J277+J279+J282+J284</f>
        <v>2500</v>
      </c>
      <c r="H289" s="1397"/>
      <c r="I289" s="1397"/>
      <c r="J289" s="1397"/>
    </row>
    <row r="290" spans="1:11" ht="30" hidden="1" customHeight="1" x14ac:dyDescent="0.25">
      <c r="A290" s="1074" t="s">
        <v>375</v>
      </c>
      <c r="B290" s="1074"/>
      <c r="C290" s="1074"/>
      <c r="D290" s="1074"/>
      <c r="E290" s="1074"/>
      <c r="F290" s="1074"/>
      <c r="G290" s="1074"/>
      <c r="H290" s="1074"/>
      <c r="I290" s="1074"/>
      <c r="J290" s="1074"/>
    </row>
    <row r="291" spans="1:11" ht="30" hidden="1" customHeight="1" x14ac:dyDescent="0.25">
      <c r="A291" s="188" t="s">
        <v>1</v>
      </c>
      <c r="B291" s="1346" t="s">
        <v>44</v>
      </c>
      <c r="C291" s="1346"/>
      <c r="D291" s="1346"/>
      <c r="E291" s="1346" t="s">
        <v>58</v>
      </c>
      <c r="F291" s="1346"/>
      <c r="G291" s="1344" t="s">
        <v>66</v>
      </c>
      <c r="H291" s="1345"/>
      <c r="I291" s="1346" t="s">
        <v>60</v>
      </c>
      <c r="J291" s="1346"/>
    </row>
    <row r="292" spans="1:11" ht="30" hidden="1" customHeight="1" x14ac:dyDescent="0.25">
      <c r="A292" s="188">
        <v>1</v>
      </c>
      <c r="B292" s="1346">
        <v>2</v>
      </c>
      <c r="C292" s="1346"/>
      <c r="D292" s="1346"/>
      <c r="E292" s="1346">
        <v>3</v>
      </c>
      <c r="F292" s="1346"/>
      <c r="G292" s="1346">
        <v>4</v>
      </c>
      <c r="H292" s="1346"/>
      <c r="I292" s="1346">
        <v>5</v>
      </c>
      <c r="J292" s="1346"/>
    </row>
    <row r="293" spans="1:11" ht="30" hidden="1" customHeight="1" x14ac:dyDescent="0.25">
      <c r="A293" s="191" t="s">
        <v>27</v>
      </c>
      <c r="B293" s="1387"/>
      <c r="C293" s="1444"/>
      <c r="D293" s="1388"/>
      <c r="E293" s="1445"/>
      <c r="F293" s="1445"/>
      <c r="G293" s="1445"/>
      <c r="H293" s="1445"/>
      <c r="I293" s="1445"/>
      <c r="J293" s="1445"/>
    </row>
    <row r="294" spans="1:11" ht="30" hidden="1" customHeight="1" x14ac:dyDescent="0.25">
      <c r="A294" s="189"/>
      <c r="B294" s="1338" t="s">
        <v>13</v>
      </c>
      <c r="C294" s="1338"/>
      <c r="D294" s="1338"/>
      <c r="E294" s="1341" t="s">
        <v>14</v>
      </c>
      <c r="F294" s="1341"/>
      <c r="G294" s="1341" t="s">
        <v>14</v>
      </c>
      <c r="H294" s="1341"/>
      <c r="I294" s="1341">
        <f>I293</f>
        <v>0</v>
      </c>
      <c r="J294" s="1341"/>
    </row>
    <row r="295" spans="1:11" ht="15.75" hidden="1" customHeight="1" x14ac:dyDescent="0.25">
      <c r="A295" s="1442" t="s">
        <v>376</v>
      </c>
      <c r="B295" s="1442"/>
      <c r="C295" s="1442"/>
      <c r="D295" s="1442"/>
      <c r="E295" s="1442"/>
      <c r="F295" s="1442"/>
      <c r="G295" s="1442"/>
      <c r="H295" s="1442"/>
      <c r="I295" s="1442"/>
      <c r="J295" s="1442"/>
    </row>
    <row r="296" spans="1:11" ht="17.25" hidden="1" customHeight="1" x14ac:dyDescent="0.25">
      <c r="A296" s="188" t="s">
        <v>1</v>
      </c>
      <c r="B296" s="1344" t="s">
        <v>15</v>
      </c>
      <c r="C296" s="1392"/>
      <c r="D296" s="1345"/>
      <c r="E296" s="1344" t="s">
        <v>58</v>
      </c>
      <c r="F296" s="1345"/>
      <c r="G296" s="1344" t="s">
        <v>66</v>
      </c>
      <c r="H296" s="1345"/>
      <c r="I296" s="1344" t="s">
        <v>260</v>
      </c>
      <c r="J296" s="1345"/>
    </row>
    <row r="297" spans="1:11" ht="16.5" hidden="1" customHeight="1" x14ac:dyDescent="0.25">
      <c r="A297" s="188">
        <v>1</v>
      </c>
      <c r="B297" s="1344">
        <v>2</v>
      </c>
      <c r="C297" s="1392"/>
      <c r="D297" s="1345"/>
      <c r="E297" s="1344">
        <v>3</v>
      </c>
      <c r="F297" s="1345"/>
      <c r="G297" s="1344">
        <v>4</v>
      </c>
      <c r="H297" s="1345"/>
      <c r="I297" s="1344">
        <v>5</v>
      </c>
      <c r="J297" s="1345"/>
    </row>
    <row r="298" spans="1:11" ht="30" hidden="1" customHeight="1" x14ac:dyDescent="0.25">
      <c r="A298" s="187" t="s">
        <v>70</v>
      </c>
      <c r="B298" s="1357" t="s">
        <v>170</v>
      </c>
      <c r="C298" s="1358"/>
      <c r="D298" s="1359"/>
      <c r="E298" s="93"/>
      <c r="F298" s="93"/>
      <c r="G298" s="1362"/>
      <c r="H298" s="1363"/>
      <c r="I298" s="1401">
        <f>I299</f>
        <v>0</v>
      </c>
      <c r="J298" s="1390"/>
    </row>
    <row r="299" spans="1:11" ht="17.25" hidden="1" customHeight="1" x14ac:dyDescent="0.25">
      <c r="A299" s="191" t="s">
        <v>27</v>
      </c>
      <c r="B299" s="1377" t="s">
        <v>327</v>
      </c>
      <c r="C299" s="1378"/>
      <c r="D299" s="1379"/>
      <c r="E299" s="94" t="s">
        <v>300</v>
      </c>
      <c r="F299" s="94">
        <v>4</v>
      </c>
      <c r="G299" s="1373" t="s">
        <v>256</v>
      </c>
      <c r="H299" s="1374"/>
      <c r="I299" s="1430"/>
      <c r="J299" s="1381"/>
    </row>
    <row r="300" spans="1:11" ht="30" hidden="1" customHeight="1" x14ac:dyDescent="0.25">
      <c r="A300" s="187" t="s">
        <v>70</v>
      </c>
      <c r="B300" s="1357" t="s">
        <v>526</v>
      </c>
      <c r="C300" s="1358"/>
      <c r="D300" s="1359"/>
      <c r="E300" s="149" t="s">
        <v>74</v>
      </c>
      <c r="F300" s="149" t="s">
        <v>74</v>
      </c>
      <c r="G300" s="1349" t="s">
        <v>74</v>
      </c>
      <c r="H300" s="1350"/>
      <c r="I300" s="1401">
        <f>I301+I303+I302+I304</f>
        <v>0</v>
      </c>
      <c r="J300" s="1390"/>
    </row>
    <row r="301" spans="1:11" s="41" customFormat="1" ht="30" hidden="1" customHeight="1" x14ac:dyDescent="0.25">
      <c r="A301" s="191">
        <v>1</v>
      </c>
      <c r="B301" s="1099" t="s">
        <v>1139</v>
      </c>
      <c r="C301" s="1100"/>
      <c r="D301" s="1101"/>
      <c r="E301" s="94" t="s">
        <v>488</v>
      </c>
      <c r="F301" s="190">
        <v>33</v>
      </c>
      <c r="G301" s="1373" t="s">
        <v>74</v>
      </c>
      <c r="H301" s="1374"/>
      <c r="I301" s="1430">
        <v>0</v>
      </c>
      <c r="J301" s="1381"/>
      <c r="K301" s="41" t="s">
        <v>574</v>
      </c>
    </row>
    <row r="302" spans="1:11" s="41" customFormat="1" ht="30" hidden="1" customHeight="1" x14ac:dyDescent="0.25">
      <c r="A302" s="191">
        <v>2</v>
      </c>
      <c r="B302" s="1099" t="s">
        <v>565</v>
      </c>
      <c r="C302" s="1100"/>
      <c r="D302" s="1101"/>
      <c r="E302" s="94" t="s">
        <v>488</v>
      </c>
      <c r="F302" s="148">
        <v>33</v>
      </c>
      <c r="G302" s="1373" t="s">
        <v>74</v>
      </c>
      <c r="H302" s="1374"/>
      <c r="I302" s="1615">
        <v>0</v>
      </c>
      <c r="J302" s="1616"/>
    </row>
    <row r="303" spans="1:11" s="41" customFormat="1" ht="30" hidden="1" customHeight="1" x14ac:dyDescent="0.25">
      <c r="A303" s="191">
        <v>3</v>
      </c>
      <c r="B303" s="1099" t="s">
        <v>573</v>
      </c>
      <c r="C303" s="1100"/>
      <c r="D303" s="1101"/>
      <c r="E303" s="94" t="s">
        <v>488</v>
      </c>
      <c r="F303" s="148">
        <v>33</v>
      </c>
      <c r="G303" s="1373" t="s">
        <v>74</v>
      </c>
      <c r="H303" s="1374"/>
      <c r="I303" s="1617">
        <v>0</v>
      </c>
      <c r="J303" s="1618"/>
    </row>
    <row r="304" spans="1:11" ht="95.25" hidden="1" customHeight="1" x14ac:dyDescent="0.25">
      <c r="A304" s="191">
        <v>4</v>
      </c>
      <c r="B304" s="1099" t="s">
        <v>576</v>
      </c>
      <c r="C304" s="1100"/>
      <c r="D304" s="1101"/>
      <c r="E304" s="94" t="s">
        <v>488</v>
      </c>
      <c r="F304" s="148">
        <v>33</v>
      </c>
      <c r="G304" s="1373" t="s">
        <v>74</v>
      </c>
      <c r="H304" s="1374"/>
      <c r="I304" s="1615">
        <v>0</v>
      </c>
      <c r="J304" s="1616"/>
    </row>
    <row r="305" spans="1:11" ht="30" hidden="1" customHeight="1" x14ac:dyDescent="0.25">
      <c r="A305" s="187" t="s">
        <v>75</v>
      </c>
      <c r="B305" s="1357" t="s">
        <v>1084</v>
      </c>
      <c r="C305" s="1358"/>
      <c r="D305" s="1359"/>
      <c r="E305" s="1349" t="s">
        <v>74</v>
      </c>
      <c r="F305" s="1350"/>
      <c r="G305" s="1349" t="s">
        <v>74</v>
      </c>
      <c r="H305" s="1350"/>
      <c r="I305" s="1612">
        <f>SUM(I306:J309)</f>
        <v>0</v>
      </c>
      <c r="J305" s="1613"/>
    </row>
    <row r="306" spans="1:11" s="41" customFormat="1" ht="30" hidden="1" customHeight="1" x14ac:dyDescent="0.25">
      <c r="A306" s="95" t="s">
        <v>34</v>
      </c>
      <c r="B306" s="1353" t="s">
        <v>1085</v>
      </c>
      <c r="C306" s="1614"/>
      <c r="D306" s="1354"/>
      <c r="E306" s="313" t="s">
        <v>301</v>
      </c>
      <c r="F306" s="524">
        <v>1007</v>
      </c>
      <c r="G306" s="1372" t="s">
        <v>256</v>
      </c>
      <c r="H306" s="1372"/>
      <c r="I306" s="1364">
        <v>0</v>
      </c>
      <c r="J306" s="1365"/>
    </row>
    <row r="307" spans="1:11" ht="30" hidden="1" customHeight="1" x14ac:dyDescent="0.25">
      <c r="A307" s="191" t="s">
        <v>36</v>
      </c>
      <c r="B307" s="1353" t="s">
        <v>1086</v>
      </c>
      <c r="C307" s="1614"/>
      <c r="D307" s="1354"/>
      <c r="E307" s="94" t="s">
        <v>301</v>
      </c>
      <c r="F307" s="190">
        <v>1007</v>
      </c>
      <c r="G307" s="1372" t="s">
        <v>256</v>
      </c>
      <c r="H307" s="1372"/>
      <c r="I307" s="1364">
        <v>0</v>
      </c>
      <c r="J307" s="1365"/>
      <c r="K307" s="15"/>
    </row>
    <row r="308" spans="1:11" ht="30" hidden="1" customHeight="1" x14ac:dyDescent="0.25">
      <c r="A308" s="191"/>
      <c r="B308" s="1371"/>
      <c r="C308" s="1371"/>
      <c r="D308" s="1371"/>
      <c r="E308" s="94" t="s">
        <v>301</v>
      </c>
      <c r="F308" s="190">
        <v>1007</v>
      </c>
      <c r="G308" s="1372" t="s">
        <v>256</v>
      </c>
      <c r="H308" s="1372"/>
      <c r="I308" s="1364"/>
      <c r="J308" s="1365"/>
      <c r="K308" s="14"/>
    </row>
    <row r="309" spans="1:11" ht="30" hidden="1" customHeight="1" x14ac:dyDescent="0.25">
      <c r="A309" s="95"/>
      <c r="B309" s="1371"/>
      <c r="C309" s="1371"/>
      <c r="D309" s="1371"/>
      <c r="E309" s="94" t="s">
        <v>301</v>
      </c>
      <c r="F309" s="190">
        <v>1007</v>
      </c>
      <c r="G309" s="1372" t="s">
        <v>256</v>
      </c>
      <c r="H309" s="1372"/>
      <c r="I309" s="1364"/>
      <c r="J309" s="1365"/>
    </row>
    <row r="310" spans="1:11" ht="17.25" hidden="1" customHeight="1" x14ac:dyDescent="0.25">
      <c r="A310" s="191"/>
      <c r="B310" s="1338" t="s">
        <v>13</v>
      </c>
      <c r="C310" s="1338"/>
      <c r="D310" s="1338"/>
      <c r="E310" s="1339" t="s">
        <v>74</v>
      </c>
      <c r="F310" s="1340"/>
      <c r="G310" s="1341" t="s">
        <v>14</v>
      </c>
      <c r="H310" s="1341"/>
      <c r="I310" s="1611">
        <f>I305+I300</f>
        <v>0</v>
      </c>
      <c r="J310" s="1611"/>
    </row>
    <row r="311" spans="1:11" ht="21.75" customHeight="1" x14ac:dyDescent="0.25">
      <c r="A311" s="1391" t="s">
        <v>377</v>
      </c>
      <c r="B311" s="1391"/>
      <c r="C311" s="1391"/>
      <c r="D311" s="1391"/>
      <c r="E311" s="1391"/>
      <c r="F311" s="1391"/>
      <c r="G311" s="1391"/>
      <c r="H311" s="1391"/>
      <c r="I311" s="1391"/>
      <c r="J311" s="1391"/>
    </row>
    <row r="312" spans="1:11" ht="21.75" hidden="1" customHeight="1" x14ac:dyDescent="0.25">
      <c r="A312" s="1055" t="s">
        <v>489</v>
      </c>
      <c r="B312" s="1055"/>
      <c r="C312" s="1055"/>
      <c r="D312" s="1055"/>
      <c r="E312" s="1055"/>
      <c r="F312" s="1055"/>
      <c r="G312" s="1055"/>
      <c r="H312" s="1055"/>
      <c r="I312" s="1055"/>
      <c r="J312" s="1055"/>
    </row>
    <row r="313" spans="1:11" ht="21.75" hidden="1" customHeight="1" x14ac:dyDescent="0.25">
      <c r="A313" s="188" t="s">
        <v>1</v>
      </c>
      <c r="B313" s="1346" t="s">
        <v>15</v>
      </c>
      <c r="C313" s="1346"/>
      <c r="D313" s="1346"/>
      <c r="E313" s="1346" t="s">
        <v>58</v>
      </c>
      <c r="F313" s="1346"/>
      <c r="G313" s="1346" t="s">
        <v>66</v>
      </c>
      <c r="H313" s="1346"/>
      <c r="I313" s="1346" t="s">
        <v>260</v>
      </c>
      <c r="J313" s="1346"/>
    </row>
    <row r="314" spans="1:11" ht="21.75" hidden="1" customHeight="1" x14ac:dyDescent="0.25">
      <c r="A314" s="188">
        <v>1</v>
      </c>
      <c r="B314" s="1346">
        <v>2</v>
      </c>
      <c r="C314" s="1346"/>
      <c r="D314" s="1346"/>
      <c r="E314" s="1346">
        <v>3</v>
      </c>
      <c r="F314" s="1346"/>
      <c r="G314" s="1346">
        <v>4</v>
      </c>
      <c r="H314" s="1346"/>
      <c r="I314" s="1346">
        <v>5</v>
      </c>
      <c r="J314" s="1346"/>
    </row>
    <row r="315" spans="1:11" ht="39.75" hidden="1" customHeight="1" x14ac:dyDescent="0.25">
      <c r="A315" s="187" t="s">
        <v>70</v>
      </c>
      <c r="B315" s="1357" t="s">
        <v>172</v>
      </c>
      <c r="C315" s="1358"/>
      <c r="D315" s="1359"/>
      <c r="E315" s="93"/>
      <c r="F315" s="93"/>
      <c r="G315" s="1362"/>
      <c r="H315" s="1363"/>
      <c r="I315" s="1389">
        <f>SUM(I316:J317)</f>
        <v>0</v>
      </c>
      <c r="J315" s="1390"/>
    </row>
    <row r="316" spans="1:11" ht="35.25" hidden="1" customHeight="1" x14ac:dyDescent="0.25">
      <c r="A316" s="191" t="s">
        <v>27</v>
      </c>
      <c r="B316" s="1371" t="s">
        <v>173</v>
      </c>
      <c r="C316" s="1371"/>
      <c r="D316" s="1371"/>
      <c r="E316" s="94" t="s">
        <v>301</v>
      </c>
      <c r="F316" s="190">
        <v>822</v>
      </c>
      <c r="G316" s="1372" t="s">
        <v>256</v>
      </c>
      <c r="H316" s="1372"/>
      <c r="I316" s="1364"/>
      <c r="J316" s="1365"/>
    </row>
    <row r="317" spans="1:11" ht="21.75" hidden="1" customHeight="1" x14ac:dyDescent="0.25">
      <c r="A317" s="95" t="s">
        <v>27</v>
      </c>
      <c r="B317" s="1377"/>
      <c r="C317" s="1378"/>
      <c r="D317" s="1379"/>
      <c r="E317" s="94"/>
      <c r="F317" s="138"/>
      <c r="G317" s="1372"/>
      <c r="H317" s="1372"/>
      <c r="I317" s="1380"/>
      <c r="J317" s="1381"/>
    </row>
    <row r="318" spans="1:11" ht="21.75" hidden="1" customHeight="1" x14ac:dyDescent="0.25">
      <c r="A318" s="191"/>
      <c r="B318" s="1338" t="s">
        <v>13</v>
      </c>
      <c r="C318" s="1338"/>
      <c r="D318" s="1338"/>
      <c r="E318" s="1342" t="s">
        <v>74</v>
      </c>
      <c r="F318" s="1343"/>
      <c r="G318" s="1341" t="s">
        <v>14</v>
      </c>
      <c r="H318" s="1341"/>
      <c r="I318" s="1347">
        <f>I315</f>
        <v>0</v>
      </c>
      <c r="J318" s="1341"/>
    </row>
    <row r="319" spans="1:11" ht="15.75" hidden="1" x14ac:dyDescent="0.25">
      <c r="A319" s="1055" t="s">
        <v>490</v>
      </c>
      <c r="B319" s="1055"/>
      <c r="C319" s="1055"/>
      <c r="D319" s="1055"/>
      <c r="E319" s="1055"/>
      <c r="F319" s="1055"/>
      <c r="G319" s="1055"/>
      <c r="H319" s="1055"/>
      <c r="I319" s="1055"/>
      <c r="J319" s="1055"/>
    </row>
    <row r="320" spans="1:11" ht="15" hidden="1" customHeight="1" x14ac:dyDescent="0.25">
      <c r="A320" s="188" t="s">
        <v>1</v>
      </c>
      <c r="B320" s="1346" t="s">
        <v>15</v>
      </c>
      <c r="C320" s="1346"/>
      <c r="D320" s="1346"/>
      <c r="E320" s="1346" t="s">
        <v>58</v>
      </c>
      <c r="F320" s="1346"/>
      <c r="G320" s="1346" t="s">
        <v>66</v>
      </c>
      <c r="H320" s="1346"/>
      <c r="I320" s="1346" t="s">
        <v>260</v>
      </c>
      <c r="J320" s="1346"/>
    </row>
    <row r="321" spans="1:12" hidden="1" x14ac:dyDescent="0.25">
      <c r="A321" s="188">
        <v>1</v>
      </c>
      <c r="B321" s="1346">
        <v>2</v>
      </c>
      <c r="C321" s="1346"/>
      <c r="D321" s="1346"/>
      <c r="E321" s="1346">
        <v>3</v>
      </c>
      <c r="F321" s="1346"/>
      <c r="G321" s="1346">
        <v>4</v>
      </c>
      <c r="H321" s="1346"/>
      <c r="I321" s="1346">
        <v>5</v>
      </c>
      <c r="J321" s="1346"/>
    </row>
    <row r="322" spans="1:12" ht="30.75" hidden="1" customHeight="1" x14ac:dyDescent="0.25">
      <c r="A322" s="187" t="s">
        <v>70</v>
      </c>
      <c r="B322" s="1357" t="s">
        <v>172</v>
      </c>
      <c r="C322" s="1358"/>
      <c r="D322" s="1359"/>
      <c r="E322" s="93"/>
      <c r="F322" s="93"/>
      <c r="G322" s="1362"/>
      <c r="H322" s="1363"/>
      <c r="I322" s="1389">
        <f>SUM(I323:J324)</f>
        <v>0</v>
      </c>
      <c r="J322" s="1390"/>
      <c r="K322" s="139"/>
      <c r="L322" s="140"/>
    </row>
    <row r="323" spans="1:12" hidden="1" x14ac:dyDescent="0.25">
      <c r="A323" s="191" t="s">
        <v>27</v>
      </c>
      <c r="B323" s="1371" t="s">
        <v>173</v>
      </c>
      <c r="C323" s="1371"/>
      <c r="D323" s="1371"/>
      <c r="E323" s="94" t="s">
        <v>301</v>
      </c>
      <c r="F323" s="190"/>
      <c r="G323" s="1372" t="s">
        <v>256</v>
      </c>
      <c r="H323" s="1372"/>
      <c r="I323" s="1364"/>
      <c r="J323" s="1365"/>
      <c r="K323" s="139"/>
      <c r="L323" s="140"/>
    </row>
    <row r="324" spans="1:12" hidden="1" x14ac:dyDescent="0.25">
      <c r="A324" s="95" t="s">
        <v>27</v>
      </c>
      <c r="B324" s="1377"/>
      <c r="C324" s="1378"/>
      <c r="D324" s="1379"/>
      <c r="E324" s="94"/>
      <c r="F324" s="138"/>
      <c r="G324" s="1372"/>
      <c r="H324" s="1372"/>
      <c r="I324" s="1380"/>
      <c r="J324" s="1381"/>
    </row>
    <row r="325" spans="1:12" s="44" customFormat="1" ht="15" hidden="1" customHeight="1" x14ac:dyDescent="0.25">
      <c r="A325" s="191"/>
      <c r="B325" s="1338" t="s">
        <v>13</v>
      </c>
      <c r="C325" s="1338"/>
      <c r="D325" s="1338"/>
      <c r="E325" s="1342" t="s">
        <v>74</v>
      </c>
      <c r="F325" s="1343"/>
      <c r="G325" s="1341" t="s">
        <v>14</v>
      </c>
      <c r="H325" s="1341"/>
      <c r="I325" s="1347">
        <f>I322</f>
        <v>0</v>
      </c>
      <c r="J325" s="1341"/>
    </row>
    <row r="326" spans="1:12" s="44" customFormat="1" ht="15" hidden="1" customHeight="1" x14ac:dyDescent="0.25">
      <c r="A326" s="1055" t="s">
        <v>491</v>
      </c>
      <c r="B326" s="1055"/>
      <c r="C326" s="1055"/>
      <c r="D326" s="1055"/>
      <c r="E326" s="1055"/>
      <c r="F326" s="1055"/>
      <c r="G326" s="1055"/>
      <c r="H326" s="1055"/>
      <c r="I326" s="1055"/>
      <c r="J326" s="1055"/>
    </row>
    <row r="327" spans="1:12" s="44" customFormat="1" ht="15" hidden="1" customHeight="1" x14ac:dyDescent="0.2">
      <c r="A327" s="188" t="s">
        <v>1</v>
      </c>
      <c r="B327" s="1346" t="s">
        <v>15</v>
      </c>
      <c r="C327" s="1346"/>
      <c r="D327" s="1346"/>
      <c r="E327" s="1346" t="s">
        <v>58</v>
      </c>
      <c r="F327" s="1346"/>
      <c r="G327" s="1346" t="s">
        <v>66</v>
      </c>
      <c r="H327" s="1346"/>
      <c r="I327" s="1346" t="s">
        <v>260</v>
      </c>
      <c r="J327" s="1346"/>
    </row>
    <row r="328" spans="1:12" s="44" customFormat="1" ht="15" hidden="1" customHeight="1" x14ac:dyDescent="0.2">
      <c r="A328" s="188">
        <v>1</v>
      </c>
      <c r="B328" s="1346">
        <v>2</v>
      </c>
      <c r="C328" s="1346"/>
      <c r="D328" s="1346"/>
      <c r="E328" s="1346">
        <v>3</v>
      </c>
      <c r="F328" s="1346"/>
      <c r="G328" s="1346">
        <v>4</v>
      </c>
      <c r="H328" s="1346"/>
      <c r="I328" s="1346">
        <v>5</v>
      </c>
      <c r="J328" s="1346"/>
    </row>
    <row r="329" spans="1:12" s="44" customFormat="1" ht="39.75" hidden="1" customHeight="1" x14ac:dyDescent="0.25">
      <c r="A329" s="187" t="s">
        <v>70</v>
      </c>
      <c r="B329" s="1357" t="s">
        <v>172</v>
      </c>
      <c r="C329" s="1358"/>
      <c r="D329" s="1359"/>
      <c r="E329" s="93"/>
      <c r="F329" s="93"/>
      <c r="G329" s="1362"/>
      <c r="H329" s="1363"/>
      <c r="I329" s="1389">
        <f>SUM(I330:J331)</f>
        <v>0</v>
      </c>
      <c r="J329" s="1390"/>
    </row>
    <row r="330" spans="1:12" s="44" customFormat="1" ht="15" hidden="1" customHeight="1" x14ac:dyDescent="0.25">
      <c r="A330" s="191" t="s">
        <v>27</v>
      </c>
      <c r="B330" s="1371" t="s">
        <v>493</v>
      </c>
      <c r="C330" s="1371"/>
      <c r="D330" s="1371"/>
      <c r="E330" s="94"/>
      <c r="F330" s="190"/>
      <c r="G330" s="1372" t="s">
        <v>256</v>
      </c>
      <c r="H330" s="1372"/>
      <c r="I330" s="1364"/>
      <c r="J330" s="1365"/>
    </row>
    <row r="331" spans="1:12" s="45" customFormat="1" ht="15" hidden="1" customHeight="1" x14ac:dyDescent="0.25">
      <c r="A331" s="95" t="s">
        <v>27</v>
      </c>
      <c r="B331" s="1377"/>
      <c r="C331" s="1378"/>
      <c r="D331" s="1379"/>
      <c r="E331" s="94"/>
      <c r="F331" s="138"/>
      <c r="G331" s="1372"/>
      <c r="H331" s="1372"/>
      <c r="I331" s="1380"/>
      <c r="J331" s="1381"/>
    </row>
    <row r="332" spans="1:12" s="44" customFormat="1" ht="33" hidden="1" customHeight="1" x14ac:dyDescent="0.25">
      <c r="A332" s="191"/>
      <c r="B332" s="1338" t="s">
        <v>13</v>
      </c>
      <c r="C332" s="1338"/>
      <c r="D332" s="1338"/>
      <c r="E332" s="1342" t="s">
        <v>74</v>
      </c>
      <c r="F332" s="1343"/>
      <c r="G332" s="1341" t="s">
        <v>14</v>
      </c>
      <c r="H332" s="1341"/>
      <c r="I332" s="1347">
        <f>I329</f>
        <v>0</v>
      </c>
      <c r="J332" s="1341"/>
    </row>
    <row r="333" spans="1:12" s="45" customFormat="1" ht="15" hidden="1" customHeight="1" x14ac:dyDescent="0.25">
      <c r="A333" s="1055" t="s">
        <v>492</v>
      </c>
      <c r="B333" s="1055"/>
      <c r="C333" s="1055"/>
      <c r="D333" s="1055"/>
      <c r="E333" s="1055"/>
      <c r="F333" s="1055"/>
      <c r="G333" s="1055"/>
      <c r="H333" s="1055"/>
      <c r="I333" s="1055"/>
      <c r="J333" s="1055"/>
    </row>
    <row r="334" spans="1:12" s="45" customFormat="1" ht="15" hidden="1" customHeight="1" x14ac:dyDescent="0.25">
      <c r="A334" s="188" t="s">
        <v>1</v>
      </c>
      <c r="B334" s="1346" t="s">
        <v>15</v>
      </c>
      <c r="C334" s="1346"/>
      <c r="D334" s="1346"/>
      <c r="E334" s="1346" t="s">
        <v>58</v>
      </c>
      <c r="F334" s="1346"/>
      <c r="G334" s="1346" t="s">
        <v>66</v>
      </c>
      <c r="H334" s="1346"/>
      <c r="I334" s="1346" t="s">
        <v>260</v>
      </c>
      <c r="J334" s="1346"/>
    </row>
    <row r="335" spans="1:12" s="45" customFormat="1" ht="15" hidden="1" customHeight="1" x14ac:dyDescent="0.25">
      <c r="A335" s="188">
        <v>1</v>
      </c>
      <c r="B335" s="1346">
        <v>2</v>
      </c>
      <c r="C335" s="1346"/>
      <c r="D335" s="1346"/>
      <c r="E335" s="1346">
        <v>3</v>
      </c>
      <c r="F335" s="1346"/>
      <c r="G335" s="1346">
        <v>4</v>
      </c>
      <c r="H335" s="1346"/>
      <c r="I335" s="1346">
        <v>5</v>
      </c>
      <c r="J335" s="1346"/>
    </row>
    <row r="336" spans="1:12" s="45" customFormat="1" ht="38.25" hidden="1" customHeight="1" x14ac:dyDescent="0.25">
      <c r="A336" s="187" t="s">
        <v>70</v>
      </c>
      <c r="B336" s="1357" t="s">
        <v>172</v>
      </c>
      <c r="C336" s="1358"/>
      <c r="D336" s="1359"/>
      <c r="E336" s="93"/>
      <c r="F336" s="93"/>
      <c r="G336" s="1362"/>
      <c r="H336" s="1363"/>
      <c r="I336" s="1389">
        <f>SUM(I337:J338)</f>
        <v>0</v>
      </c>
      <c r="J336" s="1390"/>
    </row>
    <row r="337" spans="1:10" s="45" customFormat="1" ht="15" hidden="1" customHeight="1" x14ac:dyDescent="0.25">
      <c r="A337" s="191" t="s">
        <v>27</v>
      </c>
      <c r="B337" s="1371"/>
      <c r="C337" s="1371"/>
      <c r="D337" s="1371"/>
      <c r="E337" s="94" t="s">
        <v>301</v>
      </c>
      <c r="F337" s="190"/>
      <c r="G337" s="1372" t="s">
        <v>256</v>
      </c>
      <c r="H337" s="1372"/>
      <c r="I337" s="1364"/>
      <c r="J337" s="1365"/>
    </row>
    <row r="338" spans="1:10" s="45" customFormat="1" ht="15" hidden="1" customHeight="1" x14ac:dyDescent="0.25">
      <c r="A338" s="95" t="s">
        <v>27</v>
      </c>
      <c r="B338" s="1377"/>
      <c r="C338" s="1378"/>
      <c r="D338" s="1379"/>
      <c r="E338" s="94"/>
      <c r="F338" s="138"/>
      <c r="G338" s="1372"/>
      <c r="H338" s="1372"/>
      <c r="I338" s="1380"/>
      <c r="J338" s="1381"/>
    </row>
    <row r="339" spans="1:10" s="45" customFormat="1" ht="15" hidden="1" customHeight="1" x14ac:dyDescent="0.25">
      <c r="A339" s="191"/>
      <c r="B339" s="1338" t="s">
        <v>13</v>
      </c>
      <c r="C339" s="1338"/>
      <c r="D339" s="1338"/>
      <c r="E339" s="1342" t="s">
        <v>74</v>
      </c>
      <c r="F339" s="1343"/>
      <c r="G339" s="1341" t="s">
        <v>14</v>
      </c>
      <c r="H339" s="1341"/>
      <c r="I339" s="1347">
        <f>I336</f>
        <v>0</v>
      </c>
      <c r="J339" s="1341"/>
    </row>
    <row r="340" spans="1:10" s="45" customFormat="1" ht="15" hidden="1" customHeight="1" x14ac:dyDescent="0.25">
      <c r="A340" s="1055" t="s">
        <v>495</v>
      </c>
      <c r="B340" s="1055"/>
      <c r="C340" s="1055"/>
      <c r="D340" s="1055"/>
      <c r="E340" s="1055"/>
      <c r="F340" s="1055"/>
      <c r="G340" s="1055"/>
      <c r="H340" s="1055"/>
      <c r="I340" s="1055"/>
      <c r="J340" s="1055"/>
    </row>
    <row r="341" spans="1:10" s="45" customFormat="1" ht="15" hidden="1" customHeight="1" x14ac:dyDescent="0.25">
      <c r="A341" s="188" t="s">
        <v>1</v>
      </c>
      <c r="B341" s="1346" t="s">
        <v>15</v>
      </c>
      <c r="C341" s="1346"/>
      <c r="D341" s="1346"/>
      <c r="E341" s="1346" t="s">
        <v>58</v>
      </c>
      <c r="F341" s="1346"/>
      <c r="G341" s="1346" t="s">
        <v>66</v>
      </c>
      <c r="H341" s="1346"/>
      <c r="I341" s="1346" t="s">
        <v>260</v>
      </c>
      <c r="J341" s="1346"/>
    </row>
    <row r="342" spans="1:10" s="45" customFormat="1" ht="15" hidden="1" customHeight="1" x14ac:dyDescent="0.25">
      <c r="A342" s="188">
        <v>1</v>
      </c>
      <c r="B342" s="1346">
        <v>2</v>
      </c>
      <c r="C342" s="1346"/>
      <c r="D342" s="1346"/>
      <c r="E342" s="1346">
        <v>3</v>
      </c>
      <c r="F342" s="1346"/>
      <c r="G342" s="1346">
        <v>4</v>
      </c>
      <c r="H342" s="1346"/>
      <c r="I342" s="1346">
        <v>5</v>
      </c>
      <c r="J342" s="1346"/>
    </row>
    <row r="343" spans="1:10" s="45" customFormat="1" ht="36" hidden="1" customHeight="1" x14ac:dyDescent="0.25">
      <c r="A343" s="187" t="s">
        <v>70</v>
      </c>
      <c r="B343" s="1357" t="s">
        <v>172</v>
      </c>
      <c r="C343" s="1358"/>
      <c r="D343" s="1359"/>
      <c r="E343" s="93"/>
      <c r="F343" s="93"/>
      <c r="G343" s="1362"/>
      <c r="H343" s="1363"/>
      <c r="I343" s="1389">
        <f>SUM(I344:J345)</f>
        <v>0</v>
      </c>
      <c r="J343" s="1390"/>
    </row>
    <row r="344" spans="1:10" s="45" customFormat="1" ht="15" hidden="1" customHeight="1" x14ac:dyDescent="0.25">
      <c r="A344" s="191" t="s">
        <v>27</v>
      </c>
      <c r="B344" s="1371" t="s">
        <v>494</v>
      </c>
      <c r="C344" s="1371"/>
      <c r="D344" s="1371"/>
      <c r="E344" s="94" t="s">
        <v>301</v>
      </c>
      <c r="F344" s="190"/>
      <c r="G344" s="1372" t="s">
        <v>256</v>
      </c>
      <c r="H344" s="1372"/>
      <c r="I344" s="1364"/>
      <c r="J344" s="1365"/>
    </row>
    <row r="345" spans="1:10" s="45" customFormat="1" ht="15" hidden="1" customHeight="1" x14ac:dyDescent="0.25">
      <c r="A345" s="95" t="s">
        <v>27</v>
      </c>
      <c r="B345" s="1377"/>
      <c r="C345" s="1378"/>
      <c r="D345" s="1379"/>
      <c r="E345" s="94"/>
      <c r="F345" s="138"/>
      <c r="G345" s="1372"/>
      <c r="H345" s="1372"/>
      <c r="I345" s="1380"/>
      <c r="J345" s="1381"/>
    </row>
    <row r="346" spans="1:10" s="44" customFormat="1" ht="15.75" x14ac:dyDescent="0.25">
      <c r="A346" s="1056" t="s">
        <v>496</v>
      </c>
      <c r="B346" s="1056"/>
      <c r="C346" s="1056"/>
      <c r="D346" s="1056"/>
      <c r="E346" s="1056"/>
      <c r="F346" s="1056"/>
      <c r="G346" s="1056"/>
      <c r="H346" s="1056"/>
      <c r="I346" s="1056"/>
      <c r="J346" s="1056"/>
    </row>
    <row r="347" spans="1:10" s="44" customFormat="1" ht="25.5" x14ac:dyDescent="0.2">
      <c r="A347" s="188" t="s">
        <v>1</v>
      </c>
      <c r="B347" s="1346" t="s">
        <v>15</v>
      </c>
      <c r="C347" s="1346"/>
      <c r="D347" s="1346"/>
      <c r="E347" s="1346" t="s">
        <v>58</v>
      </c>
      <c r="F347" s="1346"/>
      <c r="G347" s="1346" t="s">
        <v>66</v>
      </c>
      <c r="H347" s="1346"/>
      <c r="I347" s="1346" t="s">
        <v>260</v>
      </c>
      <c r="J347" s="1346"/>
    </row>
    <row r="348" spans="1:10" s="44" customFormat="1" ht="12.75" x14ac:dyDescent="0.2">
      <c r="A348" s="188">
        <v>1</v>
      </c>
      <c r="B348" s="1346">
        <v>2</v>
      </c>
      <c r="C348" s="1346"/>
      <c r="D348" s="1346"/>
      <c r="E348" s="1346">
        <v>3</v>
      </c>
      <c r="F348" s="1346"/>
      <c r="G348" s="1346">
        <v>4</v>
      </c>
      <c r="H348" s="1346"/>
      <c r="I348" s="1346">
        <v>5</v>
      </c>
      <c r="J348" s="1346"/>
    </row>
    <row r="349" spans="1:10" s="44" customFormat="1" ht="32.25" customHeight="1" x14ac:dyDescent="0.25">
      <c r="A349" s="187">
        <v>1</v>
      </c>
      <c r="B349" s="1357" t="s">
        <v>172</v>
      </c>
      <c r="C349" s="1358"/>
      <c r="D349" s="1359"/>
      <c r="E349" s="93"/>
      <c r="F349" s="93"/>
      <c r="G349" s="1362"/>
      <c r="H349" s="1363"/>
      <c r="I349" s="1401">
        <f>I350+I351</f>
        <v>34000</v>
      </c>
      <c r="J349" s="1390"/>
    </row>
    <row r="350" spans="1:10" s="44" customFormat="1" ht="45.75" customHeight="1" x14ac:dyDescent="0.25">
      <c r="A350" s="191">
        <v>1</v>
      </c>
      <c r="B350" s="1040" t="s">
        <v>710</v>
      </c>
      <c r="C350" s="1040"/>
      <c r="D350" s="1040"/>
      <c r="E350" s="158"/>
      <c r="F350" s="159"/>
      <c r="G350" s="1196"/>
      <c r="H350" s="1196"/>
      <c r="I350" s="1240">
        <f>17000*2</f>
        <v>34000</v>
      </c>
      <c r="J350" s="1133"/>
    </row>
    <row r="351" spans="1:10" s="44" customFormat="1" ht="30" hidden="1" customHeight="1" x14ac:dyDescent="0.25">
      <c r="A351" s="191">
        <v>2</v>
      </c>
      <c r="B351" s="1040" t="s">
        <v>733</v>
      </c>
      <c r="C351" s="1040"/>
      <c r="D351" s="1040"/>
      <c r="E351" s="158"/>
      <c r="F351" s="159"/>
      <c r="G351" s="1196"/>
      <c r="H351" s="1196"/>
      <c r="I351" s="1240">
        <v>0</v>
      </c>
      <c r="J351" s="1133"/>
    </row>
    <row r="352" spans="1:10" s="44" customFormat="1" ht="28.5" hidden="1" customHeight="1" x14ac:dyDescent="0.25">
      <c r="A352" s="1055" t="s">
        <v>495</v>
      </c>
      <c r="B352" s="1055"/>
      <c r="C352" s="1055"/>
      <c r="D352" s="1055"/>
      <c r="E352" s="1055"/>
      <c r="F352" s="1055"/>
      <c r="G352" s="1055"/>
      <c r="H352" s="1055"/>
      <c r="I352" s="1055"/>
      <c r="J352" s="1055"/>
    </row>
    <row r="353" spans="1:10" s="44" customFormat="1" ht="42.75" hidden="1" customHeight="1" x14ac:dyDescent="0.2">
      <c r="A353" s="257" t="s">
        <v>1</v>
      </c>
      <c r="B353" s="1346" t="s">
        <v>15</v>
      </c>
      <c r="C353" s="1346"/>
      <c r="D353" s="1346"/>
      <c r="E353" s="1346" t="s">
        <v>58</v>
      </c>
      <c r="F353" s="1346"/>
      <c r="G353" s="1346" t="s">
        <v>66</v>
      </c>
      <c r="H353" s="1346"/>
      <c r="I353" s="1346" t="s">
        <v>260</v>
      </c>
      <c r="J353" s="1346"/>
    </row>
    <row r="354" spans="1:10" s="44" customFormat="1" ht="23.25" hidden="1" customHeight="1" x14ac:dyDescent="0.2">
      <c r="A354" s="257">
        <v>1</v>
      </c>
      <c r="B354" s="1346">
        <v>2</v>
      </c>
      <c r="C354" s="1346"/>
      <c r="D354" s="1346"/>
      <c r="E354" s="1346">
        <v>3</v>
      </c>
      <c r="F354" s="1346"/>
      <c r="G354" s="1346">
        <v>4</v>
      </c>
      <c r="H354" s="1346"/>
      <c r="I354" s="1346">
        <v>5</v>
      </c>
      <c r="J354" s="1346"/>
    </row>
    <row r="355" spans="1:10" s="44" customFormat="1" ht="33" hidden="1" customHeight="1" x14ac:dyDescent="0.25">
      <c r="A355" s="259" t="s">
        <v>70</v>
      </c>
      <c r="B355" s="1357" t="s">
        <v>172</v>
      </c>
      <c r="C355" s="1358"/>
      <c r="D355" s="1359"/>
      <c r="E355" s="93"/>
      <c r="F355" s="93"/>
      <c r="G355" s="1362"/>
      <c r="H355" s="1363"/>
      <c r="I355" s="1389">
        <f>SUM(I356:J357)</f>
        <v>0</v>
      </c>
      <c r="J355" s="1390"/>
    </row>
    <row r="356" spans="1:10" s="44" customFormat="1" ht="48" hidden="1" customHeight="1" x14ac:dyDescent="0.25">
      <c r="A356" s="256" t="s">
        <v>27</v>
      </c>
      <c r="B356" s="1371" t="s">
        <v>568</v>
      </c>
      <c r="C356" s="1371"/>
      <c r="D356" s="1371"/>
      <c r="E356" s="94" t="s">
        <v>301</v>
      </c>
      <c r="F356" s="258"/>
      <c r="G356" s="1372" t="s">
        <v>256</v>
      </c>
      <c r="H356" s="1372"/>
      <c r="I356" s="1364">
        <v>0</v>
      </c>
      <c r="J356" s="1365"/>
    </row>
    <row r="357" spans="1:10" ht="48.75" hidden="1" customHeight="1" x14ac:dyDescent="0.25">
      <c r="A357" s="95" t="s">
        <v>27</v>
      </c>
      <c r="B357" s="1377" t="s">
        <v>577</v>
      </c>
      <c r="C357" s="1378"/>
      <c r="D357" s="1379"/>
      <c r="E357" s="94"/>
      <c r="F357" s="138"/>
      <c r="G357" s="1372"/>
      <c r="H357" s="1372"/>
      <c r="I357" s="1380">
        <v>0</v>
      </c>
      <c r="J357" s="1381"/>
    </row>
    <row r="358" spans="1:10" ht="48.75" hidden="1" customHeight="1" x14ac:dyDescent="0.25">
      <c r="A358" s="1056" t="s">
        <v>496</v>
      </c>
      <c r="B358" s="1056"/>
      <c r="C358" s="1056"/>
      <c r="D358" s="1056"/>
      <c r="E358" s="1056"/>
      <c r="F358" s="1056"/>
      <c r="G358" s="1056"/>
      <c r="H358" s="1056"/>
      <c r="I358" s="1056"/>
      <c r="J358" s="1056"/>
    </row>
    <row r="359" spans="1:10" ht="26.25" hidden="1" customHeight="1" x14ac:dyDescent="0.25">
      <c r="A359" s="268" t="s">
        <v>1</v>
      </c>
      <c r="B359" s="1346" t="s">
        <v>15</v>
      </c>
      <c r="C359" s="1346"/>
      <c r="D359" s="1346"/>
      <c r="E359" s="1346" t="s">
        <v>58</v>
      </c>
      <c r="F359" s="1346"/>
      <c r="G359" s="1346" t="s">
        <v>66</v>
      </c>
      <c r="H359" s="1346"/>
      <c r="I359" s="1346" t="s">
        <v>260</v>
      </c>
      <c r="J359" s="1346"/>
    </row>
    <row r="360" spans="1:10" ht="23.25" hidden="1" customHeight="1" x14ac:dyDescent="0.25">
      <c r="A360" s="268">
        <v>1</v>
      </c>
      <c r="B360" s="1346">
        <v>2</v>
      </c>
      <c r="C360" s="1346"/>
      <c r="D360" s="1346"/>
      <c r="E360" s="1346">
        <v>3</v>
      </c>
      <c r="F360" s="1346"/>
      <c r="G360" s="1346">
        <v>4</v>
      </c>
      <c r="H360" s="1346"/>
      <c r="I360" s="1346">
        <v>5</v>
      </c>
      <c r="J360" s="1346"/>
    </row>
    <row r="361" spans="1:10" ht="48.75" hidden="1" customHeight="1" x14ac:dyDescent="0.25">
      <c r="A361" s="272">
        <v>1</v>
      </c>
      <c r="B361" s="1357" t="s">
        <v>578</v>
      </c>
      <c r="C361" s="1358"/>
      <c r="D361" s="1359"/>
      <c r="E361" s="93"/>
      <c r="F361" s="93"/>
      <c r="G361" s="1362"/>
      <c r="H361" s="1363"/>
      <c r="I361" s="1401">
        <f>I362+I363</f>
        <v>0</v>
      </c>
      <c r="J361" s="1390"/>
    </row>
    <row r="362" spans="1:10" ht="48.75" hidden="1" customHeight="1" x14ac:dyDescent="0.25">
      <c r="A362" s="271" t="s">
        <v>27</v>
      </c>
      <c r="B362" s="1245" t="s">
        <v>579</v>
      </c>
      <c r="C362" s="1245"/>
      <c r="D362" s="1245"/>
      <c r="E362" s="158"/>
      <c r="F362" s="159"/>
      <c r="G362" s="1196"/>
      <c r="H362" s="1196"/>
      <c r="I362" s="1240">
        <v>0</v>
      </c>
      <c r="J362" s="1133"/>
    </row>
    <row r="363" spans="1:10" ht="48.75" hidden="1" customHeight="1" x14ac:dyDescent="0.25">
      <c r="A363" s="275" t="s">
        <v>29</v>
      </c>
      <c r="B363" s="1245" t="s">
        <v>582</v>
      </c>
      <c r="C363" s="1245"/>
      <c r="D363" s="1245"/>
      <c r="E363" s="158"/>
      <c r="F363" s="159"/>
      <c r="G363" s="1196"/>
      <c r="H363" s="1196"/>
      <c r="I363" s="1222">
        <v>0</v>
      </c>
      <c r="J363" s="1222"/>
    </row>
    <row r="364" spans="1:10" ht="48.75" hidden="1" customHeight="1" x14ac:dyDescent="0.25">
      <c r="A364" s="95" t="s">
        <v>31</v>
      </c>
      <c r="B364" s="1445" t="s">
        <v>583</v>
      </c>
      <c r="C364" s="1445"/>
      <c r="D364" s="1445"/>
      <c r="E364" s="94"/>
      <c r="F364" s="138"/>
      <c r="G364" s="1372"/>
      <c r="H364" s="1372"/>
      <c r="I364" s="1641">
        <v>0</v>
      </c>
      <c r="J364" s="1641"/>
    </row>
    <row r="365" spans="1:10" ht="48.75" hidden="1" customHeight="1" x14ac:dyDescent="0.25">
      <c r="A365" s="242"/>
      <c r="B365" s="270"/>
      <c r="C365" s="270"/>
      <c r="D365" s="270"/>
      <c r="E365" s="261"/>
      <c r="F365" s="274"/>
      <c r="G365" s="273"/>
      <c r="H365" s="273"/>
      <c r="I365" s="269"/>
      <c r="J365" s="269"/>
    </row>
    <row r="366" spans="1:10" ht="15.75" hidden="1" x14ac:dyDescent="0.25">
      <c r="A366" s="1056" t="s">
        <v>501</v>
      </c>
      <c r="B366" s="1056"/>
      <c r="C366" s="1056"/>
      <c r="D366" s="1056"/>
      <c r="E366" s="1056"/>
      <c r="F366" s="1056"/>
      <c r="G366" s="1056"/>
      <c r="H366" s="1056"/>
      <c r="I366" s="1056"/>
      <c r="J366" s="1056"/>
    </row>
    <row r="367" spans="1:10" ht="25.5" hidden="1" x14ac:dyDescent="0.25">
      <c r="A367" s="188" t="s">
        <v>1</v>
      </c>
      <c r="B367" s="1346" t="s">
        <v>15</v>
      </c>
      <c r="C367" s="1346"/>
      <c r="D367" s="1346"/>
      <c r="E367" s="1346" t="s">
        <v>58</v>
      </c>
      <c r="F367" s="1346"/>
      <c r="G367" s="1346" t="s">
        <v>66</v>
      </c>
      <c r="H367" s="1346"/>
      <c r="I367" s="1346" t="s">
        <v>260</v>
      </c>
      <c r="J367" s="1346"/>
    </row>
    <row r="368" spans="1:10" hidden="1" x14ac:dyDescent="0.25">
      <c r="A368" s="188">
        <v>1</v>
      </c>
      <c r="B368" s="1346">
        <v>2</v>
      </c>
      <c r="C368" s="1346"/>
      <c r="D368" s="1346"/>
      <c r="E368" s="1346">
        <v>3</v>
      </c>
      <c r="F368" s="1346"/>
      <c r="G368" s="1346">
        <v>4</v>
      </c>
      <c r="H368" s="1346"/>
      <c r="I368" s="1346">
        <v>5</v>
      </c>
      <c r="J368" s="1346"/>
    </row>
    <row r="369" spans="1:10" ht="46.5" hidden="1" customHeight="1" x14ac:dyDescent="0.25">
      <c r="A369" s="229" t="s">
        <v>70</v>
      </c>
      <c r="B369" s="1357" t="s">
        <v>187</v>
      </c>
      <c r="C369" s="1358"/>
      <c r="D369" s="1359"/>
      <c r="E369" s="93"/>
      <c r="F369" s="90"/>
      <c r="G369" s="1610"/>
      <c r="H369" s="1610"/>
      <c r="I369" s="1389">
        <f>I370</f>
        <v>0</v>
      </c>
      <c r="J369" s="1390"/>
    </row>
    <row r="370" spans="1:10" hidden="1" x14ac:dyDescent="0.25">
      <c r="A370" s="95" t="s">
        <v>27</v>
      </c>
      <c r="B370" s="1245" t="s">
        <v>567</v>
      </c>
      <c r="C370" s="1245"/>
      <c r="D370" s="1245"/>
      <c r="E370" s="158"/>
      <c r="F370" s="159"/>
      <c r="G370" s="1196"/>
      <c r="H370" s="1196"/>
      <c r="I370" s="1240">
        <v>0</v>
      </c>
      <c r="J370" s="1133"/>
    </row>
    <row r="371" spans="1:10" hidden="1" x14ac:dyDescent="0.25">
      <c r="A371" s="95"/>
      <c r="B371" s="1026"/>
      <c r="C371" s="1052"/>
      <c r="D371" s="1027"/>
      <c r="E371" s="158"/>
      <c r="F371" s="159"/>
      <c r="G371" s="1044"/>
      <c r="H371" s="1045"/>
      <c r="I371" s="197"/>
      <c r="J371" s="198"/>
    </row>
    <row r="372" spans="1:10" ht="25.5" customHeight="1" x14ac:dyDescent="0.25">
      <c r="A372" s="95"/>
      <c r="B372" s="1338" t="s">
        <v>13</v>
      </c>
      <c r="C372" s="1338"/>
      <c r="D372" s="1338"/>
      <c r="E372" s="94"/>
      <c r="F372" s="190"/>
      <c r="G372" s="1372"/>
      <c r="H372" s="1372"/>
      <c r="I372" s="1336">
        <f>I315+I322+I329+I336+I343+I349+I355+I369+I361</f>
        <v>34000</v>
      </c>
      <c r="J372" s="1337"/>
    </row>
    <row r="373" spans="1:10" ht="15.75" hidden="1" x14ac:dyDescent="0.25">
      <c r="A373" s="1413" t="s">
        <v>378</v>
      </c>
      <c r="B373" s="1413"/>
      <c r="C373" s="1413"/>
      <c r="D373" s="1413"/>
      <c r="E373" s="1413"/>
      <c r="F373" s="1413"/>
      <c r="G373" s="1413"/>
      <c r="H373" s="1413"/>
      <c r="I373" s="1413"/>
      <c r="J373" s="1413"/>
    </row>
    <row r="374" spans="1:10" hidden="1" x14ac:dyDescent="0.25">
      <c r="A374" s="1414" t="s">
        <v>1</v>
      </c>
      <c r="B374" s="1416" t="s">
        <v>15</v>
      </c>
      <c r="C374" s="1417"/>
      <c r="D374" s="1418"/>
      <c r="E374" s="1416" t="s">
        <v>64</v>
      </c>
      <c r="F374" s="1418"/>
      <c r="G374" s="1346" t="s">
        <v>65</v>
      </c>
      <c r="H374" s="1346"/>
      <c r="I374" s="1346"/>
      <c r="J374" s="1346"/>
    </row>
    <row r="375" spans="1:10" ht="25.5" hidden="1" x14ac:dyDescent="0.25">
      <c r="A375" s="1415"/>
      <c r="B375" s="1419"/>
      <c r="C375" s="1420"/>
      <c r="D375" s="1421"/>
      <c r="E375" s="1419"/>
      <c r="F375" s="1421"/>
      <c r="G375" s="188" t="s">
        <v>298</v>
      </c>
      <c r="H375" s="188" t="s">
        <v>295</v>
      </c>
      <c r="I375" s="188" t="s">
        <v>296</v>
      </c>
      <c r="J375" s="188" t="s">
        <v>297</v>
      </c>
    </row>
    <row r="376" spans="1:10" hidden="1" x14ac:dyDescent="0.25">
      <c r="A376" s="188">
        <v>1</v>
      </c>
      <c r="B376" s="1346">
        <v>2</v>
      </c>
      <c r="C376" s="1346"/>
      <c r="D376" s="1346"/>
      <c r="E376" s="1344">
        <v>3</v>
      </c>
      <c r="F376" s="1345"/>
      <c r="G376" s="1346">
        <v>4</v>
      </c>
      <c r="H376" s="1346"/>
      <c r="I376" s="1346"/>
      <c r="J376" s="1346"/>
    </row>
    <row r="377" spans="1:10" hidden="1" x14ac:dyDescent="0.25">
      <c r="A377" s="191" t="s">
        <v>70</v>
      </c>
      <c r="B377" s="1386" t="s">
        <v>339</v>
      </c>
      <c r="C377" s="1386"/>
      <c r="D377" s="1386"/>
      <c r="E377" s="1387">
        <v>1</v>
      </c>
      <c r="F377" s="1388"/>
      <c r="G377" s="191" t="s">
        <v>299</v>
      </c>
      <c r="H377" s="191">
        <v>1</v>
      </c>
      <c r="I377" s="92"/>
      <c r="J377" s="101">
        <v>0</v>
      </c>
    </row>
    <row r="378" spans="1:10" hidden="1" x14ac:dyDescent="0.25">
      <c r="A378" s="191" t="s">
        <v>75</v>
      </c>
      <c r="B378" s="1386" t="s">
        <v>340</v>
      </c>
      <c r="C378" s="1386"/>
      <c r="D378" s="1386"/>
      <c r="E378" s="1387">
        <v>1</v>
      </c>
      <c r="F378" s="1388"/>
      <c r="G378" s="191" t="s">
        <v>299</v>
      </c>
      <c r="H378" s="191">
        <v>1</v>
      </c>
      <c r="I378" s="92"/>
      <c r="J378" s="101">
        <f t="shared" ref="J378:J379" si="20">H378*I378</f>
        <v>0</v>
      </c>
    </row>
    <row r="379" spans="1:10" hidden="1" x14ac:dyDescent="0.25">
      <c r="A379" s="191" t="s">
        <v>77</v>
      </c>
      <c r="B379" s="1386" t="s">
        <v>335</v>
      </c>
      <c r="C379" s="1386"/>
      <c r="D379" s="1386"/>
      <c r="E379" s="1387">
        <v>1</v>
      </c>
      <c r="F379" s="1388"/>
      <c r="G379" s="191" t="s">
        <v>299</v>
      </c>
      <c r="H379" s="190">
        <v>1</v>
      </c>
      <c r="I379" s="92"/>
      <c r="J379" s="101">
        <f t="shared" si="20"/>
        <v>0</v>
      </c>
    </row>
    <row r="380" spans="1:10" ht="15.75" hidden="1" x14ac:dyDescent="0.25">
      <c r="A380" s="168"/>
      <c r="B380" s="1393" t="s">
        <v>13</v>
      </c>
      <c r="C380" s="1393"/>
      <c r="D380" s="1393"/>
      <c r="E380" s="1394" t="s">
        <v>14</v>
      </c>
      <c r="F380" s="1395"/>
      <c r="G380" s="1396">
        <f>SUM(J377:J379)</f>
        <v>0</v>
      </c>
      <c r="H380" s="1397"/>
      <c r="I380" s="1397"/>
      <c r="J380" s="1397"/>
    </row>
    <row r="381" spans="1:10" hidden="1" x14ac:dyDescent="0.25">
      <c r="A381" s="81"/>
      <c r="B381" s="81"/>
      <c r="C381" s="81"/>
      <c r="D381" s="81"/>
      <c r="E381" s="81"/>
      <c r="F381" s="81"/>
      <c r="G381" s="81"/>
      <c r="H381" s="81"/>
      <c r="I381" s="81"/>
      <c r="J381" s="81"/>
    </row>
    <row r="382" spans="1:10" ht="32.25" customHeight="1" x14ac:dyDescent="0.25">
      <c r="A382" s="81"/>
      <c r="B382" s="81"/>
      <c r="C382" s="81"/>
      <c r="D382" s="81"/>
      <c r="E382" s="81"/>
      <c r="F382" s="81"/>
      <c r="G382" s="81"/>
      <c r="H382" s="96" t="s">
        <v>212</v>
      </c>
      <c r="I382" s="1441">
        <f>J87+J94+I105+I145+I166+I182+I196+I227+G254+G289+I294+I310+I372+G380</f>
        <v>307000.00000000006</v>
      </c>
      <c r="J382" s="1441"/>
    </row>
    <row r="383" spans="1:10" hidden="1" x14ac:dyDescent="0.25">
      <c r="A383" s="81"/>
      <c r="B383" s="81"/>
      <c r="C383" s="81"/>
      <c r="D383" s="81"/>
      <c r="E383" s="81"/>
      <c r="F383" s="81"/>
      <c r="G383" s="81"/>
      <c r="H383" s="97" t="s">
        <v>248</v>
      </c>
      <c r="I383" s="81"/>
      <c r="J383" s="81"/>
    </row>
    <row r="384" spans="1:10" hidden="1" x14ac:dyDescent="0.25">
      <c r="A384" s="81"/>
      <c r="B384" s="81"/>
      <c r="C384" s="81"/>
      <c r="D384" s="81"/>
      <c r="E384" s="81"/>
      <c r="F384" s="81"/>
      <c r="G384" s="81"/>
      <c r="H384" s="97" t="s">
        <v>262</v>
      </c>
      <c r="I384" s="1436">
        <f>J66+I99+I104+I127+I227+G254+I300+I349+G289+I196</f>
        <v>307000.00400000007</v>
      </c>
      <c r="J384" s="1436"/>
    </row>
    <row r="385" spans="1:12" hidden="1" x14ac:dyDescent="0.25">
      <c r="A385" s="81"/>
      <c r="B385" s="81"/>
      <c r="C385" s="81"/>
      <c r="D385" s="81"/>
      <c r="E385" s="81"/>
      <c r="F385" s="81"/>
      <c r="G385" s="81"/>
      <c r="H385" s="97" t="s">
        <v>527</v>
      </c>
      <c r="I385" s="1436">
        <f>J65+I144</f>
        <v>0</v>
      </c>
      <c r="J385" s="1436"/>
    </row>
    <row r="386" spans="1:12" hidden="1" x14ac:dyDescent="0.25">
      <c r="A386" s="81"/>
      <c r="B386" s="81"/>
      <c r="C386" s="81"/>
      <c r="D386" s="81"/>
      <c r="E386" s="81"/>
      <c r="F386" s="81"/>
      <c r="G386" s="81"/>
      <c r="H386" s="97" t="s">
        <v>331</v>
      </c>
      <c r="I386" s="1436">
        <v>0</v>
      </c>
      <c r="J386" s="1436"/>
    </row>
    <row r="387" spans="1:12" hidden="1" x14ac:dyDescent="0.25">
      <c r="A387" s="81"/>
      <c r="B387" s="81"/>
      <c r="C387" s="81"/>
      <c r="D387" s="81"/>
      <c r="E387" s="81"/>
      <c r="F387" s="81"/>
      <c r="G387" s="81"/>
      <c r="H387" s="97" t="s">
        <v>1081</v>
      </c>
      <c r="I387" s="1436">
        <f>I306</f>
        <v>0</v>
      </c>
      <c r="J387" s="1436"/>
    </row>
    <row r="388" spans="1:12" hidden="1" x14ac:dyDescent="0.25">
      <c r="A388" s="81"/>
      <c r="B388" s="81"/>
      <c r="C388" s="81"/>
      <c r="D388" s="81"/>
      <c r="E388" s="81"/>
      <c r="F388" s="81"/>
      <c r="G388" s="81"/>
      <c r="H388" s="97"/>
      <c r="I388" s="1436"/>
      <c r="J388" s="1436"/>
    </row>
    <row r="389" spans="1:12" hidden="1" x14ac:dyDescent="0.25">
      <c r="A389" s="81"/>
      <c r="B389" s="81"/>
      <c r="C389" s="81"/>
      <c r="D389" s="81"/>
      <c r="E389" s="81"/>
      <c r="F389" s="81"/>
      <c r="G389" s="81"/>
      <c r="H389" s="97"/>
      <c r="I389" s="1436"/>
      <c r="J389" s="1436"/>
    </row>
    <row r="390" spans="1:12" hidden="1" x14ac:dyDescent="0.25">
      <c r="A390" s="81"/>
      <c r="B390" s="81"/>
      <c r="C390" s="81"/>
      <c r="D390" s="81"/>
      <c r="E390" s="81"/>
      <c r="F390" s="81"/>
      <c r="G390" s="81"/>
      <c r="H390" s="97"/>
      <c r="I390" s="1436"/>
      <c r="J390" s="1436"/>
    </row>
    <row r="391" spans="1:12" hidden="1" x14ac:dyDescent="0.25">
      <c r="A391" s="81"/>
      <c r="B391" s="81"/>
      <c r="C391" s="81"/>
      <c r="D391" s="81"/>
      <c r="E391" s="81"/>
      <c r="F391" s="81"/>
      <c r="G391" s="81"/>
      <c r="H391" s="97"/>
      <c r="I391" s="1436"/>
      <c r="J391" s="1436"/>
    </row>
    <row r="392" spans="1:12" x14ac:dyDescent="0.25">
      <c r="A392" s="81"/>
      <c r="B392" s="81"/>
      <c r="C392" s="81"/>
      <c r="D392" s="81"/>
      <c r="E392" s="81"/>
      <c r="F392" s="81"/>
      <c r="G392" s="81"/>
      <c r="H392" s="97"/>
      <c r="I392" s="199"/>
      <c r="J392" s="199"/>
    </row>
    <row r="393" spans="1:12" x14ac:dyDescent="0.25">
      <c r="A393" s="1238" t="s">
        <v>211</v>
      </c>
      <c r="B393" s="1238"/>
      <c r="C393" s="1238"/>
      <c r="D393" s="367"/>
      <c r="E393" s="367"/>
      <c r="F393" s="368" t="s">
        <v>416</v>
      </c>
      <c r="G393" s="368"/>
      <c r="H393" s="368"/>
      <c r="I393" s="368"/>
      <c r="J393" s="44"/>
    </row>
    <row r="394" spans="1:12" s="164" customFormat="1" ht="15.75" x14ac:dyDescent="0.25">
      <c r="A394" s="581"/>
      <c r="B394" s="571"/>
      <c r="C394" s="571"/>
      <c r="D394" s="1236" t="s">
        <v>272</v>
      </c>
      <c r="E394" s="1236"/>
      <c r="F394" s="1237" t="s">
        <v>273</v>
      </c>
      <c r="G394" s="1237"/>
      <c r="H394" s="1237"/>
      <c r="I394" s="1237"/>
      <c r="J394" s="369"/>
      <c r="K394" s="292"/>
      <c r="L394" s="282">
        <f>I384+I390</f>
        <v>307000.00400000007</v>
      </c>
    </row>
    <row r="395" spans="1:12" x14ac:dyDescent="0.25">
      <c r="A395" s="1238" t="s">
        <v>415</v>
      </c>
      <c r="B395" s="1238"/>
      <c r="C395" s="1238"/>
      <c r="D395" s="367"/>
      <c r="E395" s="367"/>
      <c r="F395" s="368" t="s">
        <v>417</v>
      </c>
      <c r="G395" s="368"/>
      <c r="H395" s="368"/>
      <c r="I395" s="368"/>
      <c r="J395" s="44"/>
    </row>
    <row r="396" spans="1:12" x14ac:dyDescent="0.25">
      <c r="A396" s="579"/>
      <c r="B396" s="579"/>
      <c r="C396" s="579"/>
      <c r="D396" s="1241" t="s">
        <v>272</v>
      </c>
      <c r="E396" s="1241"/>
      <c r="F396" s="1258" t="s">
        <v>273</v>
      </c>
      <c r="G396" s="1258"/>
      <c r="H396" s="1258"/>
      <c r="I396" s="1258"/>
      <c r="J396" s="45"/>
    </row>
    <row r="397" spans="1:12" x14ac:dyDescent="0.25">
      <c r="A397" s="167"/>
      <c r="B397" s="167"/>
      <c r="C397" s="167"/>
      <c r="D397" s="1236"/>
      <c r="E397" s="1236"/>
      <c r="F397" s="1237"/>
      <c r="G397" s="1237"/>
      <c r="H397" s="1237"/>
      <c r="I397" s="1237"/>
      <c r="J397" s="44"/>
    </row>
    <row r="398" spans="1:12" x14ac:dyDescent="0.25">
      <c r="A398" s="167"/>
      <c r="B398" s="167"/>
      <c r="C398" s="167"/>
      <c r="D398" s="167"/>
      <c r="E398" s="167"/>
      <c r="F398" s="167"/>
      <c r="G398" s="44"/>
      <c r="H398" s="44"/>
      <c r="I398" s="44"/>
      <c r="J398" s="44"/>
    </row>
    <row r="399" spans="1:12" x14ac:dyDescent="0.25">
      <c r="A399" s="1437" t="s">
        <v>418</v>
      </c>
      <c r="B399" s="1437"/>
      <c r="C399" s="167"/>
      <c r="D399" s="167"/>
      <c r="E399" s="167"/>
      <c r="F399" s="167"/>
      <c r="G399" s="44"/>
      <c r="H399" s="44"/>
      <c r="I399" s="44"/>
      <c r="J399" s="44"/>
    </row>
    <row r="400" spans="1:12" x14ac:dyDescent="0.25">
      <c r="A400" s="167"/>
      <c r="B400" s="167"/>
      <c r="C400" s="167"/>
      <c r="D400" s="167"/>
      <c r="E400" s="167"/>
      <c r="F400" s="167"/>
      <c r="G400" s="44"/>
      <c r="H400" s="44"/>
      <c r="I400" s="44"/>
      <c r="J400" s="44"/>
    </row>
    <row r="401" spans="1:10" x14ac:dyDescent="0.25">
      <c r="A401" s="1434"/>
      <c r="B401" s="1434"/>
      <c r="C401" s="167"/>
      <c r="D401" s="167"/>
      <c r="E401" s="167"/>
      <c r="F401" s="167"/>
      <c r="G401" s="44"/>
      <c r="H401" s="44"/>
      <c r="I401" s="44"/>
      <c r="J401" s="44"/>
    </row>
  </sheetData>
  <mergeCells count="819">
    <mergeCell ref="A366:J366"/>
    <mergeCell ref="B367:D367"/>
    <mergeCell ref="E367:F367"/>
    <mergeCell ref="G367:H367"/>
    <mergeCell ref="I367:J367"/>
    <mergeCell ref="B368:D368"/>
    <mergeCell ref="E368:F368"/>
    <mergeCell ref="G368:H368"/>
    <mergeCell ref="B364:D364"/>
    <mergeCell ref="G364:H364"/>
    <mergeCell ref="I364:J364"/>
    <mergeCell ref="I368:J368"/>
    <mergeCell ref="B361:D361"/>
    <mergeCell ref="G361:H361"/>
    <mergeCell ref="I361:J361"/>
    <mergeCell ref="B362:D362"/>
    <mergeCell ref="G362:H362"/>
    <mergeCell ref="I362:J362"/>
    <mergeCell ref="B363:D363"/>
    <mergeCell ref="G363:H363"/>
    <mergeCell ref="I363:J363"/>
    <mergeCell ref="A358:J358"/>
    <mergeCell ref="B359:D359"/>
    <mergeCell ref="E359:F359"/>
    <mergeCell ref="G359:H359"/>
    <mergeCell ref="I359:J359"/>
    <mergeCell ref="B360:D360"/>
    <mergeCell ref="E360:F360"/>
    <mergeCell ref="G360:H360"/>
    <mergeCell ref="I360:J360"/>
    <mergeCell ref="B173:D173"/>
    <mergeCell ref="E173:F173"/>
    <mergeCell ref="A167:J167"/>
    <mergeCell ref="G140:H140"/>
    <mergeCell ref="I140:J140"/>
    <mergeCell ref="G138:H138"/>
    <mergeCell ref="I138:J138"/>
    <mergeCell ref="G135:H135"/>
    <mergeCell ref="I135:J135"/>
    <mergeCell ref="G136:H136"/>
    <mergeCell ref="I136:J136"/>
    <mergeCell ref="G137:H137"/>
    <mergeCell ref="I137:J137"/>
    <mergeCell ref="I144:J144"/>
    <mergeCell ref="G141:H141"/>
    <mergeCell ref="I141:J141"/>
    <mergeCell ref="G142:H142"/>
    <mergeCell ref="I142:J142"/>
    <mergeCell ref="G143:H143"/>
    <mergeCell ref="I143:J143"/>
    <mergeCell ref="B141:F141"/>
    <mergeCell ref="B142:F142"/>
    <mergeCell ref="B143:F143"/>
    <mergeCell ref="B144:F144"/>
    <mergeCell ref="A174:J174"/>
    <mergeCell ref="A177:J177"/>
    <mergeCell ref="B178:D178"/>
    <mergeCell ref="E178:F178"/>
    <mergeCell ref="G178:H178"/>
    <mergeCell ref="I178:J178"/>
    <mergeCell ref="B179:D179"/>
    <mergeCell ref="E179:F179"/>
    <mergeCell ref="G179:H179"/>
    <mergeCell ref="I179:J179"/>
    <mergeCell ref="B172:D172"/>
    <mergeCell ref="E172:F172"/>
    <mergeCell ref="B164:D164"/>
    <mergeCell ref="G164:H164"/>
    <mergeCell ref="I164:J164"/>
    <mergeCell ref="B165:D165"/>
    <mergeCell ref="G165:H165"/>
    <mergeCell ref="I165:J165"/>
    <mergeCell ref="B163:D163"/>
    <mergeCell ref="G163:H163"/>
    <mergeCell ref="I163:J163"/>
    <mergeCell ref="B171:D171"/>
    <mergeCell ref="E171:F171"/>
    <mergeCell ref="B166:D166"/>
    <mergeCell ref="E166:F166"/>
    <mergeCell ref="G166:H166"/>
    <mergeCell ref="I166:J166"/>
    <mergeCell ref="B170:D170"/>
    <mergeCell ref="E170:F170"/>
    <mergeCell ref="E163:F163"/>
    <mergeCell ref="E164:F164"/>
    <mergeCell ref="E165:F165"/>
    <mergeCell ref="B154:D154"/>
    <mergeCell ref="G154:H154"/>
    <mergeCell ref="I154:J154"/>
    <mergeCell ref="B155:D155"/>
    <mergeCell ref="G155:H155"/>
    <mergeCell ref="I155:J155"/>
    <mergeCell ref="A156:J156"/>
    <mergeCell ref="E161:F161"/>
    <mergeCell ref="G161:H161"/>
    <mergeCell ref="I161:J161"/>
    <mergeCell ref="A161:A162"/>
    <mergeCell ref="G162:H162"/>
    <mergeCell ref="I162:J162"/>
    <mergeCell ref="B160:D160"/>
    <mergeCell ref="E160:F160"/>
    <mergeCell ref="G160:H160"/>
    <mergeCell ref="I160:J160"/>
    <mergeCell ref="B159:D159"/>
    <mergeCell ref="E159:F159"/>
    <mergeCell ref="G159:H159"/>
    <mergeCell ref="I159:J159"/>
    <mergeCell ref="B161:C162"/>
    <mergeCell ref="E162:F162"/>
    <mergeCell ref="A1:J1"/>
    <mergeCell ref="A2:J2"/>
    <mergeCell ref="A3:J3"/>
    <mergeCell ref="A5:J5"/>
    <mergeCell ref="A14:J14"/>
    <mergeCell ref="A22:J22"/>
    <mergeCell ref="A23:J23"/>
    <mergeCell ref="B101:D101"/>
    <mergeCell ref="H9:H11"/>
    <mergeCell ref="D9:G9"/>
    <mergeCell ref="C9:C11"/>
    <mergeCell ref="B9:B11"/>
    <mergeCell ref="I9:I11"/>
    <mergeCell ref="J9:J11"/>
    <mergeCell ref="D10:D11"/>
    <mergeCell ref="A8:J8"/>
    <mergeCell ref="E10:G10"/>
    <mergeCell ref="A13:J13"/>
    <mergeCell ref="A9:A11"/>
    <mergeCell ref="B93:D93"/>
    <mergeCell ref="I93:J93"/>
    <mergeCell ref="A89:J89"/>
    <mergeCell ref="A36:J36"/>
    <mergeCell ref="A51:J51"/>
    <mergeCell ref="A56:J56"/>
    <mergeCell ref="A66:B66"/>
    <mergeCell ref="A67:I67"/>
    <mergeCell ref="A68:I68"/>
    <mergeCell ref="A71:A73"/>
    <mergeCell ref="B71:B73"/>
    <mergeCell ref="C71:C73"/>
    <mergeCell ref="D71:G71"/>
    <mergeCell ref="H71:H73"/>
    <mergeCell ref="I71:I73"/>
    <mergeCell ref="J71:J73"/>
    <mergeCell ref="D72:D73"/>
    <mergeCell ref="E72:G72"/>
    <mergeCell ref="A75:J75"/>
    <mergeCell ref="A82:I82"/>
    <mergeCell ref="A83:I83"/>
    <mergeCell ref="A85:J85"/>
    <mergeCell ref="A86:B86"/>
    <mergeCell ref="A87:I87"/>
    <mergeCell ref="B90:D90"/>
    <mergeCell ref="E90:F90"/>
    <mergeCell ref="G90:H90"/>
    <mergeCell ref="I90:J90"/>
    <mergeCell ref="B91:D91"/>
    <mergeCell ref="E91:F91"/>
    <mergeCell ref="G91:H91"/>
    <mergeCell ref="I91:J91"/>
    <mergeCell ref="B92:D92"/>
    <mergeCell ref="E92:F92"/>
    <mergeCell ref="G92:H92"/>
    <mergeCell ref="I92:J92"/>
    <mergeCell ref="E93:F93"/>
    <mergeCell ref="G93:H93"/>
    <mergeCell ref="E94:F94"/>
    <mergeCell ref="G94:H94"/>
    <mergeCell ref="A95:J95"/>
    <mergeCell ref="E96:F96"/>
    <mergeCell ref="E97:F97"/>
    <mergeCell ref="A98:J98"/>
    <mergeCell ref="E99:F99"/>
    <mergeCell ref="A100:J100"/>
    <mergeCell ref="E101:F101"/>
    <mergeCell ref="B99:D99"/>
    <mergeCell ref="I99:J99"/>
    <mergeCell ref="B97:D97"/>
    <mergeCell ref="I97:J97"/>
    <mergeCell ref="B94:D94"/>
    <mergeCell ref="B96:D96"/>
    <mergeCell ref="I96:J96"/>
    <mergeCell ref="I101:J101"/>
    <mergeCell ref="B102:D102"/>
    <mergeCell ref="E102:F102"/>
    <mergeCell ref="I102:J102"/>
    <mergeCell ref="A103:J103"/>
    <mergeCell ref="E104:F104"/>
    <mergeCell ref="I104:J104"/>
    <mergeCell ref="I105:J105"/>
    <mergeCell ref="A106:J106"/>
    <mergeCell ref="E107:F107"/>
    <mergeCell ref="I107:J107"/>
    <mergeCell ref="B105:D105"/>
    <mergeCell ref="B104:D104"/>
    <mergeCell ref="E105:F105"/>
    <mergeCell ref="B107:D107"/>
    <mergeCell ref="E108:F108"/>
    <mergeCell ref="I108:J108"/>
    <mergeCell ref="B109:D109"/>
    <mergeCell ref="E109:F109"/>
    <mergeCell ref="I109:J109"/>
    <mergeCell ref="I110:J110"/>
    <mergeCell ref="A111:J111"/>
    <mergeCell ref="B112:F112"/>
    <mergeCell ref="G112:H112"/>
    <mergeCell ref="I112:J112"/>
    <mergeCell ref="B108:D108"/>
    <mergeCell ref="B110:D110"/>
    <mergeCell ref="E110:F110"/>
    <mergeCell ref="B113:F113"/>
    <mergeCell ref="G113:H113"/>
    <mergeCell ref="I113:J113"/>
    <mergeCell ref="B114:F114"/>
    <mergeCell ref="G114:H114"/>
    <mergeCell ref="I114:J114"/>
    <mergeCell ref="B115:F115"/>
    <mergeCell ref="G115:H115"/>
    <mergeCell ref="I115:J115"/>
    <mergeCell ref="B116:F116"/>
    <mergeCell ref="G116:H116"/>
    <mergeCell ref="I116:J116"/>
    <mergeCell ref="B117:F117"/>
    <mergeCell ref="G117:H117"/>
    <mergeCell ref="I117:J117"/>
    <mergeCell ref="B118:F118"/>
    <mergeCell ref="G118:H118"/>
    <mergeCell ref="I118:J118"/>
    <mergeCell ref="B119:F119"/>
    <mergeCell ref="G119:H119"/>
    <mergeCell ref="I119:J119"/>
    <mergeCell ref="B120:F120"/>
    <mergeCell ref="G120:H120"/>
    <mergeCell ref="I120:J120"/>
    <mergeCell ref="B121:F121"/>
    <mergeCell ref="G121:H121"/>
    <mergeCell ref="I121:J121"/>
    <mergeCell ref="B122:F122"/>
    <mergeCell ref="G122:H122"/>
    <mergeCell ref="I122:J122"/>
    <mergeCell ref="B123:F123"/>
    <mergeCell ref="G123:H123"/>
    <mergeCell ref="I123:J123"/>
    <mergeCell ref="B124:F124"/>
    <mergeCell ref="B125:F125"/>
    <mergeCell ref="B126:F126"/>
    <mergeCell ref="G124:H124"/>
    <mergeCell ref="I124:J124"/>
    <mergeCell ref="G125:H125"/>
    <mergeCell ref="I125:J125"/>
    <mergeCell ref="G126:H126"/>
    <mergeCell ref="I126:J126"/>
    <mergeCell ref="B127:F127"/>
    <mergeCell ref="B128:F128"/>
    <mergeCell ref="B129:F129"/>
    <mergeCell ref="B130:F130"/>
    <mergeCell ref="B131:F131"/>
    <mergeCell ref="B132:F132"/>
    <mergeCell ref="G132:H132"/>
    <mergeCell ref="I132:J132"/>
    <mergeCell ref="B133:F133"/>
    <mergeCell ref="G133:H133"/>
    <mergeCell ref="I133:J133"/>
    <mergeCell ref="I129:J129"/>
    <mergeCell ref="G131:H131"/>
    <mergeCell ref="I131:J131"/>
    <mergeCell ref="G129:H129"/>
    <mergeCell ref="G130:H130"/>
    <mergeCell ref="I130:J130"/>
    <mergeCell ref="G127:H127"/>
    <mergeCell ref="I127:J127"/>
    <mergeCell ref="G128:H128"/>
    <mergeCell ref="I128:J128"/>
    <mergeCell ref="B134:F134"/>
    <mergeCell ref="B135:F135"/>
    <mergeCell ref="B136:F136"/>
    <mergeCell ref="B137:F137"/>
    <mergeCell ref="B138:F138"/>
    <mergeCell ref="B139:F139"/>
    <mergeCell ref="G139:H139"/>
    <mergeCell ref="I139:J139"/>
    <mergeCell ref="B140:F140"/>
    <mergeCell ref="G134:H134"/>
    <mergeCell ref="I134:J134"/>
    <mergeCell ref="K145:L145"/>
    <mergeCell ref="A146:J146"/>
    <mergeCell ref="A147:J147"/>
    <mergeCell ref="B151:D151"/>
    <mergeCell ref="E151:F151"/>
    <mergeCell ref="G151:H151"/>
    <mergeCell ref="I151:J151"/>
    <mergeCell ref="E154:F154"/>
    <mergeCell ref="E155:F155"/>
    <mergeCell ref="B145:F145"/>
    <mergeCell ref="G145:H145"/>
    <mergeCell ref="I145:J145"/>
    <mergeCell ref="B150:D150"/>
    <mergeCell ref="E150:F150"/>
    <mergeCell ref="G150:H150"/>
    <mergeCell ref="I150:J150"/>
    <mergeCell ref="B152:D152"/>
    <mergeCell ref="E152:F152"/>
    <mergeCell ref="G152:H152"/>
    <mergeCell ref="I152:J152"/>
    <mergeCell ref="B153:D153"/>
    <mergeCell ref="E153:F153"/>
    <mergeCell ref="G153:H153"/>
    <mergeCell ref="I153:J153"/>
    <mergeCell ref="K167:L167"/>
    <mergeCell ref="G170:H170"/>
    <mergeCell ref="I170:J170"/>
    <mergeCell ref="G171:H171"/>
    <mergeCell ref="I171:J171"/>
    <mergeCell ref="G172:H172"/>
    <mergeCell ref="I172:J172"/>
    <mergeCell ref="G173:H173"/>
    <mergeCell ref="I173:J173"/>
    <mergeCell ref="E180:F180"/>
    <mergeCell ref="G180:H180"/>
    <mergeCell ref="I180:J180"/>
    <mergeCell ref="B181:D181"/>
    <mergeCell ref="E181:F181"/>
    <mergeCell ref="G181:H181"/>
    <mergeCell ref="I181:J181"/>
    <mergeCell ref="B182:D182"/>
    <mergeCell ref="E182:F182"/>
    <mergeCell ref="G182:H182"/>
    <mergeCell ref="I182:J182"/>
    <mergeCell ref="B180:D180"/>
    <mergeCell ref="A183:J183"/>
    <mergeCell ref="A186:J186"/>
    <mergeCell ref="B187:D187"/>
    <mergeCell ref="G187:H187"/>
    <mergeCell ref="I187:J187"/>
    <mergeCell ref="B188:D188"/>
    <mergeCell ref="G188:H188"/>
    <mergeCell ref="I188:J188"/>
    <mergeCell ref="B189:D189"/>
    <mergeCell ref="G189:H189"/>
    <mergeCell ref="I189:J189"/>
    <mergeCell ref="B190:D190"/>
    <mergeCell ref="G190:H190"/>
    <mergeCell ref="I190:J190"/>
    <mergeCell ref="B191:D191"/>
    <mergeCell ref="G191:H191"/>
    <mergeCell ref="I191:J191"/>
    <mergeCell ref="B192:D192"/>
    <mergeCell ref="G192:H192"/>
    <mergeCell ref="I192:J192"/>
    <mergeCell ref="B193:D193"/>
    <mergeCell ref="G193:H193"/>
    <mergeCell ref="I193:J193"/>
    <mergeCell ref="B194:D194"/>
    <mergeCell ref="G194:H194"/>
    <mergeCell ref="I194:J194"/>
    <mergeCell ref="B195:D195"/>
    <mergeCell ref="G195:H195"/>
    <mergeCell ref="I195:J195"/>
    <mergeCell ref="B196:D196"/>
    <mergeCell ref="G196:H196"/>
    <mergeCell ref="I196:J196"/>
    <mergeCell ref="A198:J198"/>
    <mergeCell ref="B199:D199"/>
    <mergeCell ref="E199:F199"/>
    <mergeCell ref="G199:H199"/>
    <mergeCell ref="I199:J199"/>
    <mergeCell ref="B200:D200"/>
    <mergeCell ref="E200:F200"/>
    <mergeCell ref="G200:H200"/>
    <mergeCell ref="I200:J200"/>
    <mergeCell ref="B201:D201"/>
    <mergeCell ref="E201:F201"/>
    <mergeCell ref="G201:H201"/>
    <mergeCell ref="I201:J201"/>
    <mergeCell ref="B202:D202"/>
    <mergeCell ref="E202:F202"/>
    <mergeCell ref="G202:H202"/>
    <mergeCell ref="I202:J202"/>
    <mergeCell ref="A203:J203"/>
    <mergeCell ref="B204:D204"/>
    <mergeCell ref="F204:G204"/>
    <mergeCell ref="I204:J204"/>
    <mergeCell ref="B205:D205"/>
    <mergeCell ref="F205:G205"/>
    <mergeCell ref="I205:J205"/>
    <mergeCell ref="B206:D206"/>
    <mergeCell ref="F206:G206"/>
    <mergeCell ref="I206:J206"/>
    <mergeCell ref="B207:D207"/>
    <mergeCell ref="F207:G207"/>
    <mergeCell ref="I207:J207"/>
    <mergeCell ref="B208:D208"/>
    <mergeCell ref="F208:G208"/>
    <mergeCell ref="I208:J208"/>
    <mergeCell ref="B209:D209"/>
    <mergeCell ref="F209:G209"/>
    <mergeCell ref="I209:J209"/>
    <mergeCell ref="B210:D210"/>
    <mergeCell ref="F210:G210"/>
    <mergeCell ref="I210:J210"/>
    <mergeCell ref="B211:D211"/>
    <mergeCell ref="F211:G211"/>
    <mergeCell ref="I211:J211"/>
    <mergeCell ref="B212:D212"/>
    <mergeCell ref="F212:G212"/>
    <mergeCell ref="I212:J212"/>
    <mergeCell ref="B213:D213"/>
    <mergeCell ref="F213:G213"/>
    <mergeCell ref="I213:J213"/>
    <mergeCell ref="B214:D214"/>
    <mergeCell ref="F214:G214"/>
    <mergeCell ref="I214:J214"/>
    <mergeCell ref="B215:D215"/>
    <mergeCell ref="F215:G215"/>
    <mergeCell ref="I215:J215"/>
    <mergeCell ref="B216:D216"/>
    <mergeCell ref="F216:G216"/>
    <mergeCell ref="I216:J216"/>
    <mergeCell ref="B217:D217"/>
    <mergeCell ref="F217:G217"/>
    <mergeCell ref="I217:J217"/>
    <mergeCell ref="B218:D218"/>
    <mergeCell ref="F218:G218"/>
    <mergeCell ref="I218:J218"/>
    <mergeCell ref="B219:D219"/>
    <mergeCell ref="F219:G219"/>
    <mergeCell ref="I219:J219"/>
    <mergeCell ref="B220:D220"/>
    <mergeCell ref="F220:G220"/>
    <mergeCell ref="I220:J220"/>
    <mergeCell ref="B221:D221"/>
    <mergeCell ref="F221:G221"/>
    <mergeCell ref="I221:J221"/>
    <mergeCell ref="B222:D222"/>
    <mergeCell ref="F222:G222"/>
    <mergeCell ref="I222:J222"/>
    <mergeCell ref="B223:D223"/>
    <mergeCell ref="F223:G223"/>
    <mergeCell ref="I223:J223"/>
    <mergeCell ref="B224:D224"/>
    <mergeCell ref="F224:G224"/>
    <mergeCell ref="I224:J224"/>
    <mergeCell ref="B225:D225"/>
    <mergeCell ref="F225:G225"/>
    <mergeCell ref="I225:J225"/>
    <mergeCell ref="B226:D226"/>
    <mergeCell ref="F226:G226"/>
    <mergeCell ref="I226:J226"/>
    <mergeCell ref="B227:D227"/>
    <mergeCell ref="F227:G227"/>
    <mergeCell ref="I227:J227"/>
    <mergeCell ref="A228:J228"/>
    <mergeCell ref="B229:D229"/>
    <mergeCell ref="E229:F229"/>
    <mergeCell ref="G229:H229"/>
    <mergeCell ref="I229:J229"/>
    <mergeCell ref="B230:D230"/>
    <mergeCell ref="E230:F230"/>
    <mergeCell ref="G230:H230"/>
    <mergeCell ref="I230:J230"/>
    <mergeCell ref="F234:F235"/>
    <mergeCell ref="G234:J234"/>
    <mergeCell ref="B236:D236"/>
    <mergeCell ref="G236:J236"/>
    <mergeCell ref="B231:D231"/>
    <mergeCell ref="E231:F231"/>
    <mergeCell ref="G231:H231"/>
    <mergeCell ref="I231:J231"/>
    <mergeCell ref="B232:D232"/>
    <mergeCell ref="E232:F232"/>
    <mergeCell ref="G232:H232"/>
    <mergeCell ref="I232:J232"/>
    <mergeCell ref="A233:J233"/>
    <mergeCell ref="B237:D237"/>
    <mergeCell ref="B238:D238"/>
    <mergeCell ref="B239:D239"/>
    <mergeCell ref="B240:D240"/>
    <mergeCell ref="A241:A242"/>
    <mergeCell ref="B241:D242"/>
    <mergeCell ref="A234:A235"/>
    <mergeCell ref="B234:D235"/>
    <mergeCell ref="E234:E235"/>
    <mergeCell ref="B243:D243"/>
    <mergeCell ref="B244:D244"/>
    <mergeCell ref="B245:D245"/>
    <mergeCell ref="B246:D246"/>
    <mergeCell ref="B247:D247"/>
    <mergeCell ref="B248:D248"/>
    <mergeCell ref="B249:D249"/>
    <mergeCell ref="B250:D250"/>
    <mergeCell ref="B251:D251"/>
    <mergeCell ref="B252:D252"/>
    <mergeCell ref="B253:D253"/>
    <mergeCell ref="B254:D254"/>
    <mergeCell ref="G254:J254"/>
    <mergeCell ref="A255:J255"/>
    <mergeCell ref="A256:A257"/>
    <mergeCell ref="B256:D257"/>
    <mergeCell ref="E256:F257"/>
    <mergeCell ref="G256:J256"/>
    <mergeCell ref="B258:D258"/>
    <mergeCell ref="E258:F258"/>
    <mergeCell ref="G258:J258"/>
    <mergeCell ref="B259:D259"/>
    <mergeCell ref="E259:F259"/>
    <mergeCell ref="B261:D261"/>
    <mergeCell ref="E261:F261"/>
    <mergeCell ref="B262:D262"/>
    <mergeCell ref="E262:F262"/>
    <mergeCell ref="B260:D260"/>
    <mergeCell ref="B263:D263"/>
    <mergeCell ref="E263:F263"/>
    <mergeCell ref="B264:D264"/>
    <mergeCell ref="E264:F264"/>
    <mergeCell ref="B265:D265"/>
    <mergeCell ref="E265:F265"/>
    <mergeCell ref="B266:D266"/>
    <mergeCell ref="E266:F266"/>
    <mergeCell ref="B267:D267"/>
    <mergeCell ref="E267:F267"/>
    <mergeCell ref="B268:D268"/>
    <mergeCell ref="E268:F268"/>
    <mergeCell ref="B269:D269"/>
    <mergeCell ref="E269:F269"/>
    <mergeCell ref="B270:D270"/>
    <mergeCell ref="E270:F270"/>
    <mergeCell ref="B271:D271"/>
    <mergeCell ref="E271:F271"/>
    <mergeCell ref="B272:D272"/>
    <mergeCell ref="E272:F272"/>
    <mergeCell ref="B273:D273"/>
    <mergeCell ref="E273:F273"/>
    <mergeCell ref="B275:D275"/>
    <mergeCell ref="E275:F275"/>
    <mergeCell ref="B276:D276"/>
    <mergeCell ref="E276:F276"/>
    <mergeCell ref="B277:D277"/>
    <mergeCell ref="E277:F277"/>
    <mergeCell ref="B278:D278"/>
    <mergeCell ref="E278:F278"/>
    <mergeCell ref="B279:D279"/>
    <mergeCell ref="E279:F279"/>
    <mergeCell ref="B280:D280"/>
    <mergeCell ref="E280:F280"/>
    <mergeCell ref="B281:D281"/>
    <mergeCell ref="B282:D282"/>
    <mergeCell ref="E282:F282"/>
    <mergeCell ref="B283:D283"/>
    <mergeCell ref="E283:F283"/>
    <mergeCell ref="B284:D284"/>
    <mergeCell ref="E284:F284"/>
    <mergeCell ref="B285:D285"/>
    <mergeCell ref="E285:F285"/>
    <mergeCell ref="B286:D286"/>
    <mergeCell ref="E286:F286"/>
    <mergeCell ref="B287:D287"/>
    <mergeCell ref="E287:F287"/>
    <mergeCell ref="B288:D288"/>
    <mergeCell ref="E288:F288"/>
    <mergeCell ref="B289:D289"/>
    <mergeCell ref="E289:F289"/>
    <mergeCell ref="G289:J289"/>
    <mergeCell ref="A290:J290"/>
    <mergeCell ref="B291:D291"/>
    <mergeCell ref="E291:F291"/>
    <mergeCell ref="G291:H291"/>
    <mergeCell ref="I291:J291"/>
    <mergeCell ref="B292:D292"/>
    <mergeCell ref="E292:F292"/>
    <mergeCell ref="G292:H292"/>
    <mergeCell ref="I292:J292"/>
    <mergeCell ref="B293:D293"/>
    <mergeCell ref="E293:F293"/>
    <mergeCell ref="G293:H293"/>
    <mergeCell ref="I293:J293"/>
    <mergeCell ref="B294:D294"/>
    <mergeCell ref="E294:F294"/>
    <mergeCell ref="G294:H294"/>
    <mergeCell ref="I294:J294"/>
    <mergeCell ref="A295:J295"/>
    <mergeCell ref="B296:D296"/>
    <mergeCell ref="E296:F296"/>
    <mergeCell ref="G296:H296"/>
    <mergeCell ref="I296:J296"/>
    <mergeCell ref="B297:D297"/>
    <mergeCell ref="E297:F297"/>
    <mergeCell ref="G297:H297"/>
    <mergeCell ref="I297:J297"/>
    <mergeCell ref="B298:D298"/>
    <mergeCell ref="G298:H298"/>
    <mergeCell ref="I298:J298"/>
    <mergeCell ref="B299:D299"/>
    <mergeCell ref="G299:H299"/>
    <mergeCell ref="I299:J299"/>
    <mergeCell ref="B300:D300"/>
    <mergeCell ref="G300:H300"/>
    <mergeCell ref="I300:J300"/>
    <mergeCell ref="B301:D301"/>
    <mergeCell ref="G301:H301"/>
    <mergeCell ref="I301:J301"/>
    <mergeCell ref="B302:D302"/>
    <mergeCell ref="G302:H302"/>
    <mergeCell ref="I302:J302"/>
    <mergeCell ref="B303:D303"/>
    <mergeCell ref="G303:H303"/>
    <mergeCell ref="I303:J303"/>
    <mergeCell ref="B304:D304"/>
    <mergeCell ref="G304:H304"/>
    <mergeCell ref="I304:J304"/>
    <mergeCell ref="B305:D305"/>
    <mergeCell ref="E305:F305"/>
    <mergeCell ref="G305:H305"/>
    <mergeCell ref="I305:J305"/>
    <mergeCell ref="B306:D306"/>
    <mergeCell ref="G306:H306"/>
    <mergeCell ref="I306:J306"/>
    <mergeCell ref="B307:D307"/>
    <mergeCell ref="G307:H307"/>
    <mergeCell ref="I307:J307"/>
    <mergeCell ref="B308:D308"/>
    <mergeCell ref="G308:H308"/>
    <mergeCell ref="I308:J308"/>
    <mergeCell ref="B309:D309"/>
    <mergeCell ref="G309:H309"/>
    <mergeCell ref="I309:J309"/>
    <mergeCell ref="B310:D310"/>
    <mergeCell ref="E310:F310"/>
    <mergeCell ref="G310:H310"/>
    <mergeCell ref="I310:J310"/>
    <mergeCell ref="A311:J311"/>
    <mergeCell ref="A312:J312"/>
    <mergeCell ref="B313:D313"/>
    <mergeCell ref="E313:F313"/>
    <mergeCell ref="G313:H313"/>
    <mergeCell ref="I313:J313"/>
    <mergeCell ref="B314:D314"/>
    <mergeCell ref="E314:F314"/>
    <mergeCell ref="G314:H314"/>
    <mergeCell ref="I314:J314"/>
    <mergeCell ref="B315:D315"/>
    <mergeCell ref="G315:H315"/>
    <mergeCell ref="I315:J315"/>
    <mergeCell ref="B316:D316"/>
    <mergeCell ref="G316:H316"/>
    <mergeCell ref="I316:J316"/>
    <mergeCell ref="B317:D317"/>
    <mergeCell ref="G317:H317"/>
    <mergeCell ref="I317:J317"/>
    <mergeCell ref="B318:D318"/>
    <mergeCell ref="E318:F318"/>
    <mergeCell ref="G318:H318"/>
    <mergeCell ref="I318:J318"/>
    <mergeCell ref="A319:J319"/>
    <mergeCell ref="B320:D320"/>
    <mergeCell ref="E320:F320"/>
    <mergeCell ref="G320:H320"/>
    <mergeCell ref="I320:J320"/>
    <mergeCell ref="B321:D321"/>
    <mergeCell ref="E321:F321"/>
    <mergeCell ref="G321:H321"/>
    <mergeCell ref="I321:J321"/>
    <mergeCell ref="B322:D322"/>
    <mergeCell ref="G322:H322"/>
    <mergeCell ref="I322:J322"/>
    <mergeCell ref="B323:D323"/>
    <mergeCell ref="G323:H323"/>
    <mergeCell ref="I323:J323"/>
    <mergeCell ref="B324:D324"/>
    <mergeCell ref="G324:H324"/>
    <mergeCell ref="I324:J324"/>
    <mergeCell ref="B325:D325"/>
    <mergeCell ref="E325:F325"/>
    <mergeCell ref="G325:H325"/>
    <mergeCell ref="I325:J325"/>
    <mergeCell ref="A326:J326"/>
    <mergeCell ref="B327:D327"/>
    <mergeCell ref="E327:F327"/>
    <mergeCell ref="G327:H327"/>
    <mergeCell ref="I327:J327"/>
    <mergeCell ref="B328:D328"/>
    <mergeCell ref="E328:F328"/>
    <mergeCell ref="G328:H328"/>
    <mergeCell ref="I328:J328"/>
    <mergeCell ref="B329:D329"/>
    <mergeCell ref="G329:H329"/>
    <mergeCell ref="I329:J329"/>
    <mergeCell ref="B330:D330"/>
    <mergeCell ref="G330:H330"/>
    <mergeCell ref="I330:J330"/>
    <mergeCell ref="B331:D331"/>
    <mergeCell ref="G331:H331"/>
    <mergeCell ref="I331:J331"/>
    <mergeCell ref="B332:D332"/>
    <mergeCell ref="E332:F332"/>
    <mergeCell ref="G332:H332"/>
    <mergeCell ref="I332:J332"/>
    <mergeCell ref="A333:J333"/>
    <mergeCell ref="B334:D334"/>
    <mergeCell ref="E334:F334"/>
    <mergeCell ref="G334:H334"/>
    <mergeCell ref="I334:J334"/>
    <mergeCell ref="B335:D335"/>
    <mergeCell ref="E335:F335"/>
    <mergeCell ref="G335:H335"/>
    <mergeCell ref="I335:J335"/>
    <mergeCell ref="B336:D336"/>
    <mergeCell ref="G336:H336"/>
    <mergeCell ref="I336:J336"/>
    <mergeCell ref="B337:D337"/>
    <mergeCell ref="G337:H337"/>
    <mergeCell ref="I337:J337"/>
    <mergeCell ref="B338:D338"/>
    <mergeCell ref="G338:H338"/>
    <mergeCell ref="I338:J338"/>
    <mergeCell ref="B339:D339"/>
    <mergeCell ref="E339:F339"/>
    <mergeCell ref="G339:H339"/>
    <mergeCell ref="I339:J339"/>
    <mergeCell ref="A340:J340"/>
    <mergeCell ref="B341:D341"/>
    <mergeCell ref="E341:F341"/>
    <mergeCell ref="G341:H341"/>
    <mergeCell ref="I341:J341"/>
    <mergeCell ref="B342:D342"/>
    <mergeCell ref="E342:F342"/>
    <mergeCell ref="G342:H342"/>
    <mergeCell ref="I342:J342"/>
    <mergeCell ref="B343:D343"/>
    <mergeCell ref="G343:H343"/>
    <mergeCell ref="I343:J343"/>
    <mergeCell ref="B344:D344"/>
    <mergeCell ref="G344:H344"/>
    <mergeCell ref="I344:J344"/>
    <mergeCell ref="B345:D345"/>
    <mergeCell ref="G345:H345"/>
    <mergeCell ref="I345:J345"/>
    <mergeCell ref="A346:J346"/>
    <mergeCell ref="B347:D347"/>
    <mergeCell ref="E347:F347"/>
    <mergeCell ref="G347:H347"/>
    <mergeCell ref="I347:J347"/>
    <mergeCell ref="B348:D348"/>
    <mergeCell ref="E348:F348"/>
    <mergeCell ref="G348:H348"/>
    <mergeCell ref="I348:J348"/>
    <mergeCell ref="B349:D349"/>
    <mergeCell ref="G349:H349"/>
    <mergeCell ref="I349:J349"/>
    <mergeCell ref="B350:D350"/>
    <mergeCell ref="G350:H350"/>
    <mergeCell ref="I350:J350"/>
    <mergeCell ref="B351:D351"/>
    <mergeCell ref="G351:H351"/>
    <mergeCell ref="I351:J351"/>
    <mergeCell ref="B353:D353"/>
    <mergeCell ref="G353:H353"/>
    <mergeCell ref="I353:J353"/>
    <mergeCell ref="B354:D354"/>
    <mergeCell ref="G354:H354"/>
    <mergeCell ref="I354:J354"/>
    <mergeCell ref="A352:J352"/>
    <mergeCell ref="E353:F353"/>
    <mergeCell ref="E354:F354"/>
    <mergeCell ref="B355:D355"/>
    <mergeCell ref="G355:H355"/>
    <mergeCell ref="I355:J355"/>
    <mergeCell ref="B356:D356"/>
    <mergeCell ref="G356:H356"/>
    <mergeCell ref="I356:J356"/>
    <mergeCell ref="B357:D357"/>
    <mergeCell ref="G357:H357"/>
    <mergeCell ref="I357:J357"/>
    <mergeCell ref="B369:D369"/>
    <mergeCell ref="G369:H369"/>
    <mergeCell ref="I369:J369"/>
    <mergeCell ref="B370:D370"/>
    <mergeCell ref="G370:H370"/>
    <mergeCell ref="I370:J370"/>
    <mergeCell ref="B371:D371"/>
    <mergeCell ref="G371:H371"/>
    <mergeCell ref="B372:D372"/>
    <mergeCell ref="G372:H372"/>
    <mergeCell ref="I372:J372"/>
    <mergeCell ref="A373:J373"/>
    <mergeCell ref="A374:A375"/>
    <mergeCell ref="B374:D375"/>
    <mergeCell ref="E374:F375"/>
    <mergeCell ref="G374:J374"/>
    <mergeCell ref="B376:D376"/>
    <mergeCell ref="E376:F376"/>
    <mergeCell ref="G376:J376"/>
    <mergeCell ref="B377:D377"/>
    <mergeCell ref="E377:F377"/>
    <mergeCell ref="B378:D378"/>
    <mergeCell ref="E378:F378"/>
    <mergeCell ref="B379:D379"/>
    <mergeCell ref="E379:F379"/>
    <mergeCell ref="B380:D380"/>
    <mergeCell ref="E380:F380"/>
    <mergeCell ref="G380:J380"/>
    <mergeCell ref="I382:J382"/>
    <mergeCell ref="I384:J384"/>
    <mergeCell ref="D397:E397"/>
    <mergeCell ref="F397:I397"/>
    <mergeCell ref="A399:B399"/>
    <mergeCell ref="A401:B401"/>
    <mergeCell ref="I385:J385"/>
    <mergeCell ref="I386:J386"/>
    <mergeCell ref="I387:J387"/>
    <mergeCell ref="I388:J388"/>
    <mergeCell ref="I389:J389"/>
    <mergeCell ref="I390:J390"/>
    <mergeCell ref="I391:J391"/>
    <mergeCell ref="A393:C393"/>
    <mergeCell ref="D394:E394"/>
    <mergeCell ref="F394:I394"/>
    <mergeCell ref="A395:C395"/>
    <mergeCell ref="D396:E396"/>
    <mergeCell ref="F396:I396"/>
  </mergeCells>
  <printOptions horizontalCentered="1"/>
  <pageMargins left="0.59055118110236227" right="0.19685039370078741" top="0.39370078740157483" bottom="0.39370078740157483" header="0.31496062992125984" footer="0.31496062992125984"/>
  <pageSetup paperSize="9" scale="68" fitToHeight="2" orientation="portrait" r:id="rId1"/>
  <rowBreaks count="1" manualBreakCount="1">
    <brk id="91"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1"/>
  <sheetViews>
    <sheetView topLeftCell="A336" workbookViewId="0">
      <selection activeCell="A310" sqref="A310:J341"/>
    </sheetView>
  </sheetViews>
  <sheetFormatPr defaultColWidth="9.140625" defaultRowHeight="15.75" x14ac:dyDescent="0.25"/>
  <cols>
    <col min="1" max="1" width="6.7109375" style="164" customWidth="1"/>
    <col min="2" max="2" width="25" style="164" customWidth="1"/>
    <col min="3" max="3" width="9.140625" style="164"/>
    <col min="4" max="4" width="12.140625" style="164" customWidth="1"/>
    <col min="5" max="5" width="24.7109375" style="164" customWidth="1"/>
    <col min="6" max="6" width="10.7109375" style="164" customWidth="1"/>
    <col min="7" max="7" width="12.28515625" style="164" customWidth="1"/>
    <col min="8" max="8" width="10.7109375" style="164" customWidth="1"/>
    <col min="9" max="9" width="16.28515625" style="164" customWidth="1"/>
    <col min="10" max="10" width="23.7109375" style="456" customWidth="1"/>
    <col min="11" max="11" width="81.85546875" style="292" customWidth="1"/>
    <col min="12" max="12" width="23.85546875" style="164" customWidth="1"/>
    <col min="13" max="13" width="13.28515625" style="164" customWidth="1"/>
    <col min="14" max="14" width="22.85546875" style="164" customWidth="1"/>
    <col min="15" max="16" width="9.140625" style="164"/>
    <col min="17" max="17" width="9.5703125" style="164" bestFit="1" customWidth="1"/>
    <col min="18" max="16384" width="9.140625" style="164"/>
  </cols>
  <sheetData>
    <row r="1" spans="1:12" ht="26.25" customHeight="1" x14ac:dyDescent="0.25">
      <c r="A1" s="1182" t="s">
        <v>68</v>
      </c>
      <c r="B1" s="1182"/>
      <c r="C1" s="1182"/>
      <c r="D1" s="1182"/>
      <c r="E1" s="1182"/>
      <c r="F1" s="1182"/>
      <c r="G1" s="1182"/>
      <c r="H1" s="1182"/>
      <c r="I1" s="1182"/>
      <c r="J1" s="1182"/>
    </row>
    <row r="2" spans="1:12" ht="17.25" customHeight="1" x14ac:dyDescent="0.25">
      <c r="A2" s="1182" t="s">
        <v>419</v>
      </c>
      <c r="B2" s="1182"/>
      <c r="C2" s="1182"/>
      <c r="D2" s="1182"/>
      <c r="E2" s="1182"/>
      <c r="F2" s="1182"/>
      <c r="G2" s="1182"/>
      <c r="H2" s="1182"/>
      <c r="I2" s="1182"/>
      <c r="J2" s="1182"/>
    </row>
    <row r="3" spans="1:12" ht="47.25" customHeight="1" x14ac:dyDescent="0.25">
      <c r="A3" s="1182" t="s">
        <v>365</v>
      </c>
      <c r="B3" s="1182"/>
      <c r="C3" s="1182"/>
      <c r="D3" s="1182"/>
      <c r="E3" s="1182"/>
      <c r="F3" s="1182"/>
      <c r="G3" s="1182"/>
      <c r="H3" s="1182"/>
      <c r="I3" s="1182"/>
      <c r="J3" s="1182"/>
    </row>
    <row r="4" spans="1:12" x14ac:dyDescent="0.25">
      <c r="A4" s="324"/>
      <c r="B4" s="325"/>
      <c r="C4" s="325"/>
      <c r="D4" s="326" t="s">
        <v>263</v>
      </c>
      <c r="E4" s="457" t="s">
        <v>1179</v>
      </c>
      <c r="F4" s="327" t="s">
        <v>584</v>
      </c>
      <c r="G4" s="325"/>
      <c r="H4" s="325"/>
      <c r="I4" s="325"/>
      <c r="J4" s="441"/>
    </row>
    <row r="5" spans="1:12" x14ac:dyDescent="0.25">
      <c r="A5" s="1082" t="s">
        <v>0</v>
      </c>
      <c r="B5" s="1082"/>
      <c r="C5" s="1082"/>
      <c r="D5" s="1082"/>
      <c r="E5" s="1082"/>
      <c r="F5" s="1082"/>
      <c r="G5" s="1082"/>
      <c r="H5" s="1082"/>
      <c r="I5" s="1082"/>
      <c r="J5" s="1082"/>
    </row>
    <row r="6" spans="1:12" ht="19.5" customHeight="1" x14ac:dyDescent="0.25">
      <c r="A6" s="324" t="s">
        <v>80</v>
      </c>
      <c r="B6" s="325"/>
      <c r="C6" s="328">
        <v>111</v>
      </c>
      <c r="D6" s="328">
        <v>112</v>
      </c>
      <c r="E6" s="328">
        <v>119</v>
      </c>
      <c r="F6" s="329"/>
      <c r="G6" s="329"/>
      <c r="H6" s="329"/>
      <c r="I6" s="329"/>
      <c r="J6" s="442"/>
    </row>
    <row r="7" spans="1:12" ht="22.5" customHeight="1" x14ac:dyDescent="0.25">
      <c r="A7" s="324" t="s">
        <v>81</v>
      </c>
      <c r="B7" s="325"/>
      <c r="C7" s="325"/>
      <c r="D7" s="325"/>
      <c r="E7" s="330" t="s">
        <v>1167</v>
      </c>
      <c r="F7" s="331"/>
      <c r="G7" s="330"/>
      <c r="H7" s="331"/>
      <c r="I7" s="330"/>
      <c r="J7" s="443"/>
    </row>
    <row r="8" spans="1:12" ht="24.75" customHeight="1" x14ac:dyDescent="0.25">
      <c r="A8" s="1183" t="s">
        <v>350</v>
      </c>
      <c r="B8" s="1183"/>
      <c r="C8" s="1183"/>
      <c r="D8" s="1183"/>
      <c r="E8" s="1183"/>
      <c r="F8" s="1183"/>
      <c r="G8" s="1183"/>
      <c r="H8" s="1183"/>
      <c r="I8" s="1183"/>
      <c r="J8" s="1183"/>
    </row>
    <row r="9" spans="1:12" x14ac:dyDescent="0.25">
      <c r="A9" s="1184" t="s">
        <v>1</v>
      </c>
      <c r="B9" s="1179" t="s">
        <v>2</v>
      </c>
      <c r="C9" s="1179" t="s">
        <v>3</v>
      </c>
      <c r="D9" s="1184" t="s">
        <v>4</v>
      </c>
      <c r="E9" s="1184"/>
      <c r="F9" s="1184"/>
      <c r="G9" s="1184"/>
      <c r="H9" s="1184" t="s">
        <v>5</v>
      </c>
      <c r="I9" s="1131" t="s">
        <v>6</v>
      </c>
      <c r="J9" s="1185" t="s">
        <v>305</v>
      </c>
    </row>
    <row r="10" spans="1:12" ht="33" customHeight="1" x14ac:dyDescent="0.25">
      <c r="A10" s="1184"/>
      <c r="B10" s="1179"/>
      <c r="C10" s="1179"/>
      <c r="D10" s="1179" t="s">
        <v>8</v>
      </c>
      <c r="E10" s="1131" t="s">
        <v>9</v>
      </c>
      <c r="F10" s="1131"/>
      <c r="G10" s="1131"/>
      <c r="H10" s="1184"/>
      <c r="I10" s="1131"/>
      <c r="J10" s="1185"/>
      <c r="K10" s="292">
        <v>1.0389999999999999</v>
      </c>
    </row>
    <row r="11" spans="1:12" ht="75" x14ac:dyDescent="0.25">
      <c r="A11" s="1184"/>
      <c r="B11" s="1179"/>
      <c r="C11" s="1179"/>
      <c r="D11" s="1179"/>
      <c r="E11" s="697" t="s">
        <v>10</v>
      </c>
      <c r="F11" s="697" t="s">
        <v>11</v>
      </c>
      <c r="G11" s="697" t="s">
        <v>12</v>
      </c>
      <c r="H11" s="1184"/>
      <c r="I11" s="1131"/>
      <c r="J11" s="1185"/>
    </row>
    <row r="12" spans="1:12" ht="14.25" customHeight="1" x14ac:dyDescent="0.25">
      <c r="A12" s="550">
        <v>1</v>
      </c>
      <c r="B12" s="332">
        <v>2</v>
      </c>
      <c r="C12" s="332">
        <v>3</v>
      </c>
      <c r="D12" s="332">
        <v>4</v>
      </c>
      <c r="E12" s="550">
        <v>5</v>
      </c>
      <c r="F12" s="550">
        <v>6</v>
      </c>
      <c r="G12" s="550">
        <v>7</v>
      </c>
      <c r="H12" s="550">
        <v>8</v>
      </c>
      <c r="I12" s="550">
        <v>9</v>
      </c>
      <c r="J12" s="584">
        <v>10</v>
      </c>
    </row>
    <row r="13" spans="1:12" s="276" customFormat="1" ht="15.75" customHeight="1" x14ac:dyDescent="0.25">
      <c r="A13" s="1186" t="s">
        <v>351</v>
      </c>
      <c r="B13" s="1131"/>
      <c r="C13" s="1131"/>
      <c r="D13" s="1131"/>
      <c r="E13" s="1131"/>
      <c r="F13" s="1131"/>
      <c r="G13" s="1131"/>
      <c r="H13" s="1131"/>
      <c r="I13" s="1131"/>
      <c r="J13" s="1131"/>
      <c r="K13" s="292"/>
    </row>
    <row r="14" spans="1:12" s="276" customFormat="1" ht="18" customHeight="1" x14ac:dyDescent="0.25">
      <c r="A14" s="1192" t="s">
        <v>420</v>
      </c>
      <c r="B14" s="1188"/>
      <c r="C14" s="1188"/>
      <c r="D14" s="1188"/>
      <c r="E14" s="1188"/>
      <c r="F14" s="1188"/>
      <c r="G14" s="1188"/>
      <c r="H14" s="1188"/>
      <c r="I14" s="1188"/>
      <c r="J14" s="1188"/>
      <c r="K14" s="292"/>
    </row>
    <row r="15" spans="1:12" ht="20.25" customHeight="1" x14ac:dyDescent="0.25">
      <c r="A15" s="757">
        <v>1</v>
      </c>
      <c r="B15" s="334" t="s">
        <v>257</v>
      </c>
      <c r="C15" s="750">
        <v>1</v>
      </c>
      <c r="D15" s="335">
        <f>E15+F15+G15</f>
        <v>72975.073090909093</v>
      </c>
      <c r="E15" s="335">
        <f>7498*1.5*(1.3+1.085)+50</f>
        <v>26874.094999999998</v>
      </c>
      <c r="F15" s="552">
        <v>0</v>
      </c>
      <c r="G15" s="335">
        <f>(E15+F15)*20%+(26353+63244.55)/2.2</f>
        <v>46100.978090909091</v>
      </c>
      <c r="H15" s="591">
        <v>0.5</v>
      </c>
      <c r="I15" s="757">
        <v>1.7</v>
      </c>
      <c r="J15" s="554">
        <f>(((E15*(H15+I15))+F15+G15))*13</f>
        <v>1367911.8321818183</v>
      </c>
      <c r="K15" s="295" t="s">
        <v>729</v>
      </c>
      <c r="L15" s="164">
        <f>C15*D15*(H15+I15)</f>
        <v>160545.16080000001</v>
      </c>
    </row>
    <row r="16" spans="1:12" ht="45" customHeight="1" x14ac:dyDescent="0.25">
      <c r="A16" s="757">
        <v>2</v>
      </c>
      <c r="B16" s="334" t="s">
        <v>421</v>
      </c>
      <c r="C16" s="750">
        <v>2</v>
      </c>
      <c r="D16" s="335">
        <f>E16+F16+G16</f>
        <v>126188.40480000002</v>
      </c>
      <c r="E16" s="335">
        <f>7498*4*1.5*(0.15+1.3+0.883)+(50*4)</f>
        <v>105157.00400000002</v>
      </c>
      <c r="F16" s="552">
        <v>0</v>
      </c>
      <c r="G16" s="335">
        <f t="shared" ref="G16:G20" si="0">(E16+F16)*20%</f>
        <v>21031.400800000003</v>
      </c>
      <c r="H16" s="591">
        <v>0.5</v>
      </c>
      <c r="I16" s="757">
        <v>1.7</v>
      </c>
      <c r="J16" s="554">
        <f t="shared" ref="J16:J20" si="1">(((E16*(H16+I16))+F16+G16))*13</f>
        <v>3280898.5248000007</v>
      </c>
    </row>
    <row r="17" spans="1:12" ht="45" customHeight="1" x14ac:dyDescent="0.25">
      <c r="A17" s="757">
        <v>3</v>
      </c>
      <c r="B17" s="334" t="s">
        <v>422</v>
      </c>
      <c r="C17" s="750">
        <v>1</v>
      </c>
      <c r="D17" s="335">
        <f>E17+F17+G17</f>
        <v>29522.641199999998</v>
      </c>
      <c r="E17" s="335">
        <f>7498*1.5*(1.3+0.883)+50</f>
        <v>24602.200999999997</v>
      </c>
      <c r="F17" s="552">
        <v>0</v>
      </c>
      <c r="G17" s="335">
        <f>(E17+F17)*20%</f>
        <v>4920.4402</v>
      </c>
      <c r="H17" s="591">
        <v>0.5</v>
      </c>
      <c r="I17" s="757">
        <v>1.7</v>
      </c>
      <c r="J17" s="554">
        <f t="shared" si="1"/>
        <v>767588.67119999998</v>
      </c>
    </row>
    <row r="18" spans="1:12" ht="45" customHeight="1" x14ac:dyDescent="0.25">
      <c r="A18" s="757">
        <v>4</v>
      </c>
      <c r="B18" s="334" t="s">
        <v>423</v>
      </c>
      <c r="C18" s="750">
        <v>0.5</v>
      </c>
      <c r="D18" s="335">
        <f t="shared" ref="D18:D65" si="2">E18+F18+G18</f>
        <v>29522.641199999998</v>
      </c>
      <c r="E18" s="335">
        <f>7498*1.5*(1.3+0.883)+50</f>
        <v>24602.200999999997</v>
      </c>
      <c r="F18" s="552">
        <v>0</v>
      </c>
      <c r="G18" s="335">
        <f t="shared" si="0"/>
        <v>4920.4402</v>
      </c>
      <c r="H18" s="591">
        <v>0.5</v>
      </c>
      <c r="I18" s="757">
        <v>1.7</v>
      </c>
      <c r="J18" s="554">
        <f t="shared" si="1"/>
        <v>767588.67119999998</v>
      </c>
    </row>
    <row r="19" spans="1:12" ht="49.5" customHeight="1" x14ac:dyDescent="0.25">
      <c r="A19" s="757">
        <v>5</v>
      </c>
      <c r="B19" s="334" t="s">
        <v>424</v>
      </c>
      <c r="C19" s="750">
        <v>1</v>
      </c>
      <c r="D19" s="335">
        <f t="shared" si="2"/>
        <v>29522.641199999998</v>
      </c>
      <c r="E19" s="335">
        <f>7498*1.5*(1.3+0.883)+50</f>
        <v>24602.200999999997</v>
      </c>
      <c r="F19" s="552">
        <v>0</v>
      </c>
      <c r="G19" s="335">
        <f t="shared" si="0"/>
        <v>4920.4402</v>
      </c>
      <c r="H19" s="591">
        <v>0.5</v>
      </c>
      <c r="I19" s="757">
        <v>1.7</v>
      </c>
      <c r="J19" s="554">
        <f t="shared" si="1"/>
        <v>767588.67119999998</v>
      </c>
    </row>
    <row r="20" spans="1:12" x14ac:dyDescent="0.25">
      <c r="A20" s="757">
        <v>6</v>
      </c>
      <c r="B20" s="334" t="s">
        <v>258</v>
      </c>
      <c r="C20" s="750">
        <v>1</v>
      </c>
      <c r="D20" s="335">
        <f t="shared" si="2"/>
        <v>29522.641199999998</v>
      </c>
      <c r="E20" s="335">
        <f>7498*1.5*(1.3+0.883)+50</f>
        <v>24602.200999999997</v>
      </c>
      <c r="F20" s="552">
        <v>0</v>
      </c>
      <c r="G20" s="335">
        <f t="shared" si="0"/>
        <v>4920.4402</v>
      </c>
      <c r="H20" s="591">
        <v>0.5</v>
      </c>
      <c r="I20" s="757">
        <v>1.7</v>
      </c>
      <c r="J20" s="554">
        <f t="shared" si="1"/>
        <v>767588.67119999998</v>
      </c>
    </row>
    <row r="21" spans="1:12" ht="28.5" x14ac:dyDescent="0.25">
      <c r="A21" s="757"/>
      <c r="B21" s="752" t="s">
        <v>425</v>
      </c>
      <c r="C21" s="336">
        <f>SUM(C15:C20)</f>
        <v>6.5</v>
      </c>
      <c r="D21" s="337">
        <f>SUM(D15:D20)</f>
        <v>317254.04269090918</v>
      </c>
      <c r="E21" s="555" t="s">
        <v>14</v>
      </c>
      <c r="F21" s="555">
        <v>0</v>
      </c>
      <c r="G21" s="555" t="s">
        <v>14</v>
      </c>
      <c r="H21" s="555" t="s">
        <v>14</v>
      </c>
      <c r="I21" s="555" t="s">
        <v>14</v>
      </c>
      <c r="J21" s="556">
        <f>SUM(J15:J20)</f>
        <v>7719165.0417818185</v>
      </c>
      <c r="K21" s="296"/>
    </row>
    <row r="22" spans="1:12" ht="15.75" customHeight="1" x14ac:dyDescent="0.25">
      <c r="A22" s="1187" t="s">
        <v>426</v>
      </c>
      <c r="B22" s="1193"/>
      <c r="C22" s="1193"/>
      <c r="D22" s="1193"/>
      <c r="E22" s="1193"/>
      <c r="F22" s="1193"/>
      <c r="G22" s="1193"/>
      <c r="H22" s="1193"/>
      <c r="I22" s="1193"/>
      <c r="J22" s="1193"/>
    </row>
    <row r="23" spans="1:12" ht="18.75" customHeight="1" x14ac:dyDescent="0.25">
      <c r="A23" s="1147" t="s">
        <v>427</v>
      </c>
      <c r="B23" s="1148"/>
      <c r="C23" s="1148"/>
      <c r="D23" s="1148"/>
      <c r="E23" s="1148"/>
      <c r="F23" s="1148"/>
      <c r="G23" s="1148"/>
      <c r="H23" s="1148"/>
      <c r="I23" s="1148"/>
      <c r="J23" s="1149"/>
    </row>
    <row r="24" spans="1:12" x14ac:dyDescent="0.25">
      <c r="A24" s="757">
        <v>1</v>
      </c>
      <c r="B24" s="334" t="s">
        <v>428</v>
      </c>
      <c r="C24" s="750">
        <v>2.5</v>
      </c>
      <c r="D24" s="335">
        <f>E24+F24+G24</f>
        <v>14906.04</v>
      </c>
      <c r="E24" s="335">
        <f>7498*1.5*1.1+50</f>
        <v>12421.7</v>
      </c>
      <c r="F24" s="552">
        <v>0</v>
      </c>
      <c r="G24" s="335">
        <f t="shared" ref="G24:G35" si="3">(E24+F24)*20%</f>
        <v>2484.34</v>
      </c>
      <c r="H24" s="591">
        <v>0.5</v>
      </c>
      <c r="I24" s="757">
        <v>1.7</v>
      </c>
      <c r="J24" s="554">
        <f>((D24*C24)*(H24+I24))*12</f>
        <v>983798.64000000013</v>
      </c>
      <c r="L24" s="552">
        <f>3200+5461</f>
        <v>8661</v>
      </c>
    </row>
    <row r="25" spans="1:12" ht="75" x14ac:dyDescent="0.25">
      <c r="A25" s="757">
        <v>2</v>
      </c>
      <c r="B25" s="334" t="s">
        <v>429</v>
      </c>
      <c r="C25" s="750">
        <v>1</v>
      </c>
      <c r="D25" s="335">
        <f t="shared" si="2"/>
        <v>14906.04</v>
      </c>
      <c r="E25" s="335">
        <f>7498*1.5*1.1+50</f>
        <v>12421.7</v>
      </c>
      <c r="F25" s="552">
        <v>0</v>
      </c>
      <c r="G25" s="335">
        <f t="shared" si="3"/>
        <v>2484.34</v>
      </c>
      <c r="H25" s="591">
        <v>0.5</v>
      </c>
      <c r="I25" s="757">
        <v>1.7</v>
      </c>
      <c r="J25" s="554">
        <f>((D25*C25)*(H25+I25))*12</f>
        <v>393519.45600000012</v>
      </c>
      <c r="L25" s="552">
        <f>4300+3079+2795</f>
        <v>10174</v>
      </c>
    </row>
    <row r="26" spans="1:12" x14ac:dyDescent="0.25">
      <c r="A26" s="757">
        <v>3</v>
      </c>
      <c r="B26" s="334" t="s">
        <v>316</v>
      </c>
      <c r="C26" s="750">
        <v>2.5</v>
      </c>
      <c r="D26" s="335">
        <f t="shared" si="2"/>
        <v>14906.04</v>
      </c>
      <c r="E26" s="335">
        <f>7498*1.5*1.1+50</f>
        <v>12421.7</v>
      </c>
      <c r="F26" s="552">
        <v>0</v>
      </c>
      <c r="G26" s="335">
        <f t="shared" si="3"/>
        <v>2484.34</v>
      </c>
      <c r="H26" s="591">
        <v>0.5</v>
      </c>
      <c r="I26" s="757">
        <v>1.7</v>
      </c>
      <c r="J26" s="554">
        <f t="shared" ref="J26:J35" si="4">((D26*C26)*(H26+I26))*12</f>
        <v>983798.64000000013</v>
      </c>
      <c r="L26" s="552">
        <f>3200+5460</f>
        <v>8660</v>
      </c>
    </row>
    <row r="27" spans="1:12" x14ac:dyDescent="0.25">
      <c r="A27" s="757">
        <v>4</v>
      </c>
      <c r="B27" s="334" t="s">
        <v>614</v>
      </c>
      <c r="C27" s="750">
        <v>2</v>
      </c>
      <c r="D27" s="335">
        <f t="shared" si="2"/>
        <v>14906.04</v>
      </c>
      <c r="E27" s="335">
        <f>7498*1.5*1.1+50</f>
        <v>12421.7</v>
      </c>
      <c r="F27" s="552">
        <v>0</v>
      </c>
      <c r="G27" s="335">
        <f t="shared" si="3"/>
        <v>2484.34</v>
      </c>
      <c r="H27" s="591">
        <v>0.5</v>
      </c>
      <c r="I27" s="757">
        <v>1.7</v>
      </c>
      <c r="J27" s="554">
        <f t="shared" si="4"/>
        <v>787038.91200000024</v>
      </c>
      <c r="K27" s="296">
        <f>J36-J34</f>
        <v>19877662.823040001</v>
      </c>
      <c r="L27" s="552">
        <v>4487</v>
      </c>
    </row>
    <row r="28" spans="1:12" x14ac:dyDescent="0.25">
      <c r="A28" s="757">
        <v>5</v>
      </c>
      <c r="B28" s="334" t="s">
        <v>430</v>
      </c>
      <c r="C28" s="750">
        <v>2</v>
      </c>
      <c r="D28" s="335">
        <f t="shared" si="2"/>
        <v>14906.04</v>
      </c>
      <c r="E28" s="335">
        <f>7498*1.5*1.1+50</f>
        <v>12421.7</v>
      </c>
      <c r="F28" s="552">
        <v>0</v>
      </c>
      <c r="G28" s="335">
        <f t="shared" si="3"/>
        <v>2484.34</v>
      </c>
      <c r="H28" s="591">
        <v>0.5</v>
      </c>
      <c r="I28" s="757">
        <v>1.7</v>
      </c>
      <c r="J28" s="554">
        <f t="shared" si="4"/>
        <v>787038.91200000024</v>
      </c>
      <c r="L28" s="552">
        <v>3730</v>
      </c>
    </row>
    <row r="29" spans="1:12" x14ac:dyDescent="0.25">
      <c r="A29" s="757">
        <v>6</v>
      </c>
      <c r="B29" s="334" t="s">
        <v>317</v>
      </c>
      <c r="C29" s="750">
        <v>2</v>
      </c>
      <c r="D29" s="335">
        <f t="shared" si="2"/>
        <v>16930.5</v>
      </c>
      <c r="E29" s="335">
        <f>7498*1.5*1.25+50</f>
        <v>14108.75</v>
      </c>
      <c r="F29" s="552">
        <v>0</v>
      </c>
      <c r="G29" s="335">
        <f t="shared" si="3"/>
        <v>2821.75</v>
      </c>
      <c r="H29" s="591">
        <v>0.5</v>
      </c>
      <c r="I29" s="757">
        <v>1.7</v>
      </c>
      <c r="J29" s="554">
        <f t="shared" si="4"/>
        <v>893930.40000000014</v>
      </c>
      <c r="L29" s="552">
        <f>1860+3917</f>
        <v>5777</v>
      </c>
    </row>
    <row r="30" spans="1:12" x14ac:dyDescent="0.25">
      <c r="A30" s="757">
        <v>7</v>
      </c>
      <c r="B30" s="334" t="s">
        <v>315</v>
      </c>
      <c r="C30" s="750">
        <v>3</v>
      </c>
      <c r="D30" s="335">
        <f t="shared" si="2"/>
        <v>16930.5</v>
      </c>
      <c r="E30" s="335">
        <f>7498*1.5*1.25+50</f>
        <v>14108.75</v>
      </c>
      <c r="F30" s="552">
        <v>0</v>
      </c>
      <c r="G30" s="335">
        <f t="shared" si="3"/>
        <v>2821.75</v>
      </c>
      <c r="H30" s="591">
        <v>0.5</v>
      </c>
      <c r="I30" s="757">
        <v>1.7</v>
      </c>
      <c r="J30" s="554">
        <f t="shared" si="4"/>
        <v>1340895.6000000001</v>
      </c>
      <c r="L30" s="552">
        <f>4300+2923+7169-2000</f>
        <v>12392</v>
      </c>
    </row>
    <row r="31" spans="1:12" x14ac:dyDescent="0.25">
      <c r="A31" s="757">
        <v>8</v>
      </c>
      <c r="B31" s="334" t="s">
        <v>314</v>
      </c>
      <c r="C31" s="750">
        <v>5</v>
      </c>
      <c r="D31" s="335">
        <f t="shared" si="2"/>
        <v>60703.199999999997</v>
      </c>
      <c r="E31" s="335">
        <f>(9289+9520+11244+11244+9289)</f>
        <v>50586</v>
      </c>
      <c r="F31" s="552">
        <v>0</v>
      </c>
      <c r="G31" s="335">
        <f t="shared" si="3"/>
        <v>10117.200000000001</v>
      </c>
      <c r="H31" s="591">
        <v>0.5</v>
      </c>
      <c r="I31" s="757">
        <v>1.7</v>
      </c>
      <c r="J31" s="554">
        <f t="shared" si="4"/>
        <v>8012822.4000000004</v>
      </c>
      <c r="L31" s="552">
        <v>2009</v>
      </c>
    </row>
    <row r="32" spans="1:12" ht="29.25" customHeight="1" x14ac:dyDescent="0.25">
      <c r="A32" s="757">
        <v>9</v>
      </c>
      <c r="B32" s="334" t="s">
        <v>431</v>
      </c>
      <c r="C32" s="750">
        <f>3+7.94</f>
        <v>10.940000000000001</v>
      </c>
      <c r="D32" s="335">
        <f t="shared" si="2"/>
        <v>16255.68</v>
      </c>
      <c r="E32" s="335">
        <f>7498*1.5*1.2+50</f>
        <v>13546.4</v>
      </c>
      <c r="F32" s="552">
        <v>0</v>
      </c>
      <c r="G32" s="335">
        <f>(E32+F32)*20%</f>
        <v>2709.28</v>
      </c>
      <c r="H32" s="591">
        <v>0.5</v>
      </c>
      <c r="I32" s="757">
        <v>1.7</v>
      </c>
      <c r="J32" s="554">
        <f t="shared" si="4"/>
        <v>4694900.4748800006</v>
      </c>
      <c r="L32" s="552">
        <v>2009</v>
      </c>
    </row>
    <row r="33" spans="1:17" x14ac:dyDescent="0.25">
      <c r="A33" s="757">
        <v>10</v>
      </c>
      <c r="B33" s="334" t="s">
        <v>317</v>
      </c>
      <c r="C33" s="750">
        <v>0</v>
      </c>
      <c r="D33" s="335">
        <f t="shared" si="2"/>
        <v>14906.04</v>
      </c>
      <c r="E33" s="335">
        <f>7498*1.5*1.1+50</f>
        <v>12421.7</v>
      </c>
      <c r="F33" s="552">
        <v>0</v>
      </c>
      <c r="G33" s="335">
        <f t="shared" ref="G33:G34" si="5">(E33+F33)*20%</f>
        <v>2484.34</v>
      </c>
      <c r="H33" s="591">
        <v>0.5</v>
      </c>
      <c r="I33" s="757">
        <v>1.7</v>
      </c>
      <c r="J33" s="554">
        <f t="shared" si="4"/>
        <v>0</v>
      </c>
      <c r="L33" s="552">
        <f t="shared" ref="L33" si="6">(J33+K33)*20%</f>
        <v>0</v>
      </c>
    </row>
    <row r="34" spans="1:17" x14ac:dyDescent="0.25">
      <c r="A34" s="757">
        <v>11</v>
      </c>
      <c r="B34" s="334" t="s">
        <v>432</v>
      </c>
      <c r="C34" s="750">
        <v>78.459999999999994</v>
      </c>
      <c r="D34" s="335">
        <f t="shared" si="2"/>
        <v>21600</v>
      </c>
      <c r="E34" s="335">
        <f>16500+1500</f>
        <v>18000</v>
      </c>
      <c r="F34" s="552">
        <v>0</v>
      </c>
      <c r="G34" s="335">
        <f t="shared" si="5"/>
        <v>3600</v>
      </c>
      <c r="H34" s="591">
        <v>0.5</v>
      </c>
      <c r="I34" s="757">
        <v>1.7</v>
      </c>
      <c r="J34" s="554">
        <f t="shared" si="4"/>
        <v>44741030.399999999</v>
      </c>
      <c r="K34" s="295">
        <f>84769*50*12</f>
        <v>50861400</v>
      </c>
      <c r="L34" s="552">
        <f>6461-2400</f>
        <v>4061</v>
      </c>
    </row>
    <row r="35" spans="1:17" x14ac:dyDescent="0.25">
      <c r="A35" s="757">
        <v>12</v>
      </c>
      <c r="B35" s="334" t="s">
        <v>674</v>
      </c>
      <c r="C35" s="750">
        <v>2.33</v>
      </c>
      <c r="D35" s="335">
        <f t="shared" si="2"/>
        <v>16255.68</v>
      </c>
      <c r="E35" s="335">
        <f>7498*1.5*1.2+50</f>
        <v>13546.4</v>
      </c>
      <c r="F35" s="552">
        <v>0</v>
      </c>
      <c r="G35" s="335">
        <f t="shared" si="3"/>
        <v>2709.28</v>
      </c>
      <c r="H35" s="591">
        <v>0.5</v>
      </c>
      <c r="I35" s="757">
        <v>1.7</v>
      </c>
      <c r="J35" s="554">
        <f t="shared" si="4"/>
        <v>999919.38816000009</v>
      </c>
      <c r="L35" s="552">
        <v>4265</v>
      </c>
    </row>
    <row r="36" spans="1:17" s="278" customFormat="1" x14ac:dyDescent="0.25">
      <c r="A36" s="557"/>
      <c r="B36" s="339" t="s">
        <v>434</v>
      </c>
      <c r="C36" s="338">
        <f>SUM(C24:C35)</f>
        <v>111.72999999999999</v>
      </c>
      <c r="D36" s="338">
        <f t="shared" ref="D36:J36" si="7">SUM(D24:D35)</f>
        <v>238111.80000000002</v>
      </c>
      <c r="E36" s="557">
        <f t="shared" si="7"/>
        <v>198426.5</v>
      </c>
      <c r="F36" s="557">
        <f t="shared" si="7"/>
        <v>0</v>
      </c>
      <c r="G36" s="557">
        <f t="shared" si="7"/>
        <v>39685.300000000003</v>
      </c>
      <c r="H36" s="557">
        <v>0</v>
      </c>
      <c r="I36" s="557">
        <v>0</v>
      </c>
      <c r="J36" s="558">
        <f t="shared" si="7"/>
        <v>64618693.22304</v>
      </c>
      <c r="K36" s="298">
        <v>73253</v>
      </c>
      <c r="L36" s="278">
        <f>K36*12*68</f>
        <v>59774448</v>
      </c>
      <c r="N36" s="278">
        <v>72</v>
      </c>
      <c r="O36" s="278">
        <v>12</v>
      </c>
      <c r="P36" s="278">
        <v>1.1000000000000001</v>
      </c>
      <c r="Q36" s="278">
        <f>K36*O36*N36*P36</f>
        <v>69619651.200000003</v>
      </c>
    </row>
    <row r="37" spans="1:17" ht="15.75" customHeight="1" x14ac:dyDescent="0.25">
      <c r="A37" s="1147" t="s">
        <v>435</v>
      </c>
      <c r="B37" s="1148"/>
      <c r="C37" s="1148"/>
      <c r="D37" s="1148"/>
      <c r="E37" s="1148"/>
      <c r="F37" s="1148"/>
      <c r="G37" s="1148"/>
      <c r="H37" s="1148"/>
      <c r="I37" s="1148"/>
      <c r="J37" s="1149"/>
      <c r="K37" s="593">
        <f>66*81753*12</f>
        <v>64748376</v>
      </c>
    </row>
    <row r="38" spans="1:17" x14ac:dyDescent="0.25">
      <c r="A38" s="757">
        <v>1</v>
      </c>
      <c r="B38" s="334" t="s">
        <v>441</v>
      </c>
      <c r="C38" s="750">
        <v>2</v>
      </c>
      <c r="D38" s="335">
        <f t="shared" ref="D38:D45" si="8">E38+F38+G38</f>
        <v>17809.569599999999</v>
      </c>
      <c r="E38" s="335">
        <f>7498*1.3*1.42+1000</f>
        <v>14841.307999999999</v>
      </c>
      <c r="F38" s="335">
        <v>0</v>
      </c>
      <c r="G38" s="335">
        <f t="shared" ref="G38:G49" si="9">(E38+F38)*20%</f>
        <v>2968.2615999999998</v>
      </c>
      <c r="H38" s="591">
        <v>0.5</v>
      </c>
      <c r="I38" s="757">
        <v>1.7</v>
      </c>
      <c r="J38" s="554">
        <f>((D38*C38)*(H38+I38))*12</f>
        <v>940345.27488000016</v>
      </c>
      <c r="K38" s="297"/>
    </row>
    <row r="39" spans="1:17" x14ac:dyDescent="0.25">
      <c r="A39" s="757">
        <v>2</v>
      </c>
      <c r="B39" s="334" t="s">
        <v>440</v>
      </c>
      <c r="C39" s="750">
        <v>1.5</v>
      </c>
      <c r="D39" s="335">
        <f t="shared" si="8"/>
        <v>21639.707999999999</v>
      </c>
      <c r="E39" s="335">
        <f>7498*1.5*1.47+1500</f>
        <v>18033.09</v>
      </c>
      <c r="F39" s="335">
        <v>0</v>
      </c>
      <c r="G39" s="335">
        <f t="shared" si="9"/>
        <v>3606.6180000000004</v>
      </c>
      <c r="H39" s="591">
        <v>0.5</v>
      </c>
      <c r="I39" s="757">
        <v>1.7</v>
      </c>
      <c r="J39" s="554">
        <f t="shared" ref="J39:J49" si="10">((D39*C39)*(H39+I39))*12</f>
        <v>856932.43680000002</v>
      </c>
      <c r="K39" s="297"/>
    </row>
    <row r="40" spans="1:17" x14ac:dyDescent="0.25">
      <c r="A40" s="757">
        <v>3</v>
      </c>
      <c r="B40" s="334" t="s">
        <v>439</v>
      </c>
      <c r="C40" s="750">
        <v>1.75</v>
      </c>
      <c r="D40" s="335">
        <f t="shared" si="8"/>
        <v>20050.067999999999</v>
      </c>
      <c r="E40" s="335">
        <f>7498*1.5*1.37+1300</f>
        <v>16708.39</v>
      </c>
      <c r="F40" s="335">
        <v>0</v>
      </c>
      <c r="G40" s="335">
        <f t="shared" si="9"/>
        <v>3341.6779999999999</v>
      </c>
      <c r="H40" s="591">
        <v>0.5</v>
      </c>
      <c r="I40" s="757">
        <v>1.7</v>
      </c>
      <c r="J40" s="554">
        <f t="shared" si="10"/>
        <v>926313.14160000009</v>
      </c>
      <c r="K40" s="297"/>
    </row>
    <row r="41" spans="1:17" x14ac:dyDescent="0.25">
      <c r="A41" s="757">
        <v>4</v>
      </c>
      <c r="B41" s="334" t="s">
        <v>319</v>
      </c>
      <c r="C41" s="750">
        <v>1.25</v>
      </c>
      <c r="D41" s="335">
        <f t="shared" si="8"/>
        <v>17224.725600000002</v>
      </c>
      <c r="E41" s="335">
        <f>7498*1.3*1.37+1000</f>
        <v>14353.938</v>
      </c>
      <c r="F41" s="335">
        <v>0</v>
      </c>
      <c r="G41" s="335">
        <f t="shared" si="9"/>
        <v>2870.7876000000001</v>
      </c>
      <c r="H41" s="591">
        <v>0.5</v>
      </c>
      <c r="I41" s="757">
        <v>1.7</v>
      </c>
      <c r="J41" s="554">
        <f t="shared" si="10"/>
        <v>568415.94480000006</v>
      </c>
      <c r="K41" s="297"/>
    </row>
    <row r="42" spans="1:17" x14ac:dyDescent="0.25">
      <c r="A42" s="757">
        <v>5</v>
      </c>
      <c r="B42" s="334" t="s">
        <v>320</v>
      </c>
      <c r="C42" s="750">
        <v>1</v>
      </c>
      <c r="D42" s="335">
        <f t="shared" si="8"/>
        <v>19690.067999999999</v>
      </c>
      <c r="E42" s="335">
        <f>7498*1.5*1.37+1000</f>
        <v>16408.39</v>
      </c>
      <c r="F42" s="335">
        <v>0</v>
      </c>
      <c r="G42" s="335">
        <f t="shared" si="9"/>
        <v>3281.6779999999999</v>
      </c>
      <c r="H42" s="591">
        <v>0.5</v>
      </c>
      <c r="I42" s="757">
        <v>1.7</v>
      </c>
      <c r="J42" s="554">
        <f t="shared" si="10"/>
        <v>519817.79520000005</v>
      </c>
      <c r="K42" s="297"/>
    </row>
    <row r="43" spans="1:17" x14ac:dyDescent="0.25">
      <c r="A43" s="757">
        <v>6</v>
      </c>
      <c r="B43" s="334" t="s">
        <v>438</v>
      </c>
      <c r="C43" s="750">
        <v>1</v>
      </c>
      <c r="D43" s="335">
        <f t="shared" si="8"/>
        <v>17224.725600000002</v>
      </c>
      <c r="E43" s="335">
        <f>7498*1.3*1.37+1000</f>
        <v>14353.938</v>
      </c>
      <c r="F43" s="335">
        <v>0</v>
      </c>
      <c r="G43" s="335">
        <f t="shared" si="9"/>
        <v>2870.7876000000001</v>
      </c>
      <c r="H43" s="591">
        <v>0.5</v>
      </c>
      <c r="I43" s="757">
        <v>1.7</v>
      </c>
      <c r="J43" s="554">
        <f t="shared" si="10"/>
        <v>454732.75584000011</v>
      </c>
      <c r="K43" s="297"/>
    </row>
    <row r="44" spans="1:17" ht="30" x14ac:dyDescent="0.25">
      <c r="A44" s="757">
        <v>7</v>
      </c>
      <c r="B44" s="334" t="s">
        <v>437</v>
      </c>
      <c r="C44" s="750">
        <v>1</v>
      </c>
      <c r="D44" s="335">
        <f t="shared" si="8"/>
        <v>19690.067999999999</v>
      </c>
      <c r="E44" s="335">
        <f>7498*1.5*1.37+1000</f>
        <v>16408.39</v>
      </c>
      <c r="F44" s="335">
        <v>0</v>
      </c>
      <c r="G44" s="335">
        <f t="shared" si="9"/>
        <v>3281.6779999999999</v>
      </c>
      <c r="H44" s="591">
        <v>0.5</v>
      </c>
      <c r="I44" s="757">
        <v>1.7</v>
      </c>
      <c r="J44" s="554">
        <f t="shared" si="10"/>
        <v>519817.79520000005</v>
      </c>
      <c r="K44" s="297"/>
    </row>
    <row r="45" spans="1:17" ht="30" x14ac:dyDescent="0.25">
      <c r="A45" s="757">
        <v>8</v>
      </c>
      <c r="B45" s="334" t="s">
        <v>436</v>
      </c>
      <c r="C45" s="750">
        <v>1</v>
      </c>
      <c r="D45" s="335">
        <f t="shared" si="8"/>
        <v>19690.067999999999</v>
      </c>
      <c r="E45" s="335">
        <f>7498*1.5*1.37+1000</f>
        <v>16408.39</v>
      </c>
      <c r="F45" s="335">
        <v>0</v>
      </c>
      <c r="G45" s="335">
        <f t="shared" si="9"/>
        <v>3281.6779999999999</v>
      </c>
      <c r="H45" s="591">
        <v>0.5</v>
      </c>
      <c r="I45" s="757">
        <v>1.7</v>
      </c>
      <c r="J45" s="554">
        <f t="shared" si="10"/>
        <v>519817.79520000005</v>
      </c>
      <c r="K45" s="297"/>
    </row>
    <row r="46" spans="1:17" ht="30" x14ac:dyDescent="0.25">
      <c r="A46" s="757">
        <v>9</v>
      </c>
      <c r="B46" s="334" t="s">
        <v>318</v>
      </c>
      <c r="C46" s="750">
        <v>1</v>
      </c>
      <c r="D46" s="335">
        <f t="shared" si="2"/>
        <v>19690.067999999999</v>
      </c>
      <c r="E46" s="335">
        <f>7498*1.5*1.37+1000</f>
        <v>16408.39</v>
      </c>
      <c r="F46" s="335">
        <v>0</v>
      </c>
      <c r="G46" s="335">
        <f t="shared" si="9"/>
        <v>3281.6779999999999</v>
      </c>
      <c r="H46" s="591">
        <v>0.5</v>
      </c>
      <c r="I46" s="757">
        <v>1.7</v>
      </c>
      <c r="J46" s="554">
        <f t="shared" si="10"/>
        <v>519817.79520000005</v>
      </c>
      <c r="K46" s="295"/>
    </row>
    <row r="47" spans="1:17" x14ac:dyDescent="0.25">
      <c r="A47" s="757">
        <v>10</v>
      </c>
      <c r="B47" s="334" t="s">
        <v>442</v>
      </c>
      <c r="C47" s="750">
        <v>1</v>
      </c>
      <c r="D47" s="335">
        <f t="shared" si="2"/>
        <v>19690.067999999999</v>
      </c>
      <c r="E47" s="335">
        <f>7498*1.5*1.37+1000</f>
        <v>16408.39</v>
      </c>
      <c r="F47" s="335">
        <v>0</v>
      </c>
      <c r="G47" s="335">
        <f t="shared" si="9"/>
        <v>3281.6779999999999</v>
      </c>
      <c r="H47" s="591">
        <v>0.5</v>
      </c>
      <c r="I47" s="757">
        <v>1.7</v>
      </c>
      <c r="J47" s="554">
        <f t="shared" si="10"/>
        <v>519817.79520000005</v>
      </c>
    </row>
    <row r="48" spans="1:17" x14ac:dyDescent="0.25">
      <c r="A48" s="757">
        <v>11</v>
      </c>
      <c r="B48" s="334" t="s">
        <v>443</v>
      </c>
      <c r="C48" s="750">
        <v>1</v>
      </c>
      <c r="D48" s="335">
        <f t="shared" si="2"/>
        <v>17224.725600000002</v>
      </c>
      <c r="E48" s="335">
        <f>7498*1.3*1.37+1000</f>
        <v>14353.938</v>
      </c>
      <c r="F48" s="335">
        <v>0</v>
      </c>
      <c r="G48" s="335">
        <f t="shared" si="9"/>
        <v>2870.7876000000001</v>
      </c>
      <c r="H48" s="591">
        <v>0.5</v>
      </c>
      <c r="I48" s="757">
        <v>1.7</v>
      </c>
      <c r="J48" s="554">
        <f t="shared" si="10"/>
        <v>454732.75584000011</v>
      </c>
    </row>
    <row r="49" spans="1:11" x14ac:dyDescent="0.25">
      <c r="A49" s="757">
        <v>12</v>
      </c>
      <c r="B49" s="334" t="s">
        <v>444</v>
      </c>
      <c r="C49" s="750">
        <v>2</v>
      </c>
      <c r="D49" s="335">
        <f t="shared" si="2"/>
        <v>19690.067999999999</v>
      </c>
      <c r="E49" s="335">
        <f>7498*1.5*1.37+1000</f>
        <v>16408.39</v>
      </c>
      <c r="F49" s="335">
        <v>0</v>
      </c>
      <c r="G49" s="335">
        <f t="shared" si="9"/>
        <v>3281.6779999999999</v>
      </c>
      <c r="H49" s="591">
        <v>0.5</v>
      </c>
      <c r="I49" s="757">
        <v>1.7</v>
      </c>
      <c r="J49" s="554">
        <f t="shared" si="10"/>
        <v>1039635.5904000001</v>
      </c>
    </row>
    <row r="50" spans="1:11" s="278" customFormat="1" x14ac:dyDescent="0.25">
      <c r="A50" s="557"/>
      <c r="B50" s="339" t="s">
        <v>445</v>
      </c>
      <c r="C50" s="338">
        <f>SUM(C38:C49)</f>
        <v>15.5</v>
      </c>
      <c r="D50" s="338">
        <f t="shared" ref="D50:J50" si="11">SUM(D38:D49)</f>
        <v>229313.93040000001</v>
      </c>
      <c r="E50" s="557">
        <f t="shared" si="11"/>
        <v>191094.94199999998</v>
      </c>
      <c r="F50" s="557">
        <f t="shared" si="11"/>
        <v>0</v>
      </c>
      <c r="G50" s="557">
        <f t="shared" si="11"/>
        <v>38218.988400000002</v>
      </c>
      <c r="H50" s="557">
        <v>0</v>
      </c>
      <c r="I50" s="557">
        <v>0</v>
      </c>
      <c r="J50" s="558">
        <f t="shared" si="11"/>
        <v>7840196.8761599986</v>
      </c>
      <c r="K50" s="299">
        <f>66*12*71500</f>
        <v>56628000</v>
      </c>
    </row>
    <row r="51" spans="1:11" ht="28.5" x14ac:dyDescent="0.25">
      <c r="A51" s="757"/>
      <c r="B51" s="752" t="s">
        <v>446</v>
      </c>
      <c r="C51" s="336">
        <f>C36+C50</f>
        <v>127.22999999999999</v>
      </c>
      <c r="D51" s="336">
        <f>D36+D50</f>
        <v>467425.7304</v>
      </c>
      <c r="E51" s="555" t="s">
        <v>14</v>
      </c>
      <c r="F51" s="555" t="s">
        <v>14</v>
      </c>
      <c r="G51" s="555" t="s">
        <v>14</v>
      </c>
      <c r="H51" s="555" t="s">
        <v>14</v>
      </c>
      <c r="I51" s="555" t="s">
        <v>14</v>
      </c>
      <c r="J51" s="556">
        <f>J36+J50</f>
        <v>72458890.099199995</v>
      </c>
    </row>
    <row r="52" spans="1:11" ht="15.75" customHeight="1" x14ac:dyDescent="0.25">
      <c r="A52" s="1187" t="s">
        <v>450</v>
      </c>
      <c r="B52" s="1193"/>
      <c r="C52" s="1193"/>
      <c r="D52" s="1193"/>
      <c r="E52" s="1193"/>
      <c r="F52" s="1193"/>
      <c r="G52" s="1193"/>
      <c r="H52" s="1193"/>
      <c r="I52" s="1193"/>
      <c r="J52" s="1193"/>
    </row>
    <row r="53" spans="1:11" x14ac:dyDescent="0.25">
      <c r="A53" s="757">
        <v>1</v>
      </c>
      <c r="B53" s="334" t="s">
        <v>321</v>
      </c>
      <c r="C53" s="750">
        <v>1</v>
      </c>
      <c r="D53" s="335">
        <f t="shared" si="2"/>
        <v>15439.881599999999</v>
      </c>
      <c r="E53" s="335">
        <f>7498*1.3*1.32</f>
        <v>12866.567999999999</v>
      </c>
      <c r="F53" s="335">
        <v>0</v>
      </c>
      <c r="G53" s="335">
        <f>E53*20%</f>
        <v>2573.3136</v>
      </c>
      <c r="H53" s="591">
        <v>0.5</v>
      </c>
      <c r="I53" s="757">
        <v>1.7</v>
      </c>
      <c r="J53" s="554">
        <f>((D53*C53)*(H53+I53))*12</f>
        <v>407612.87424000003</v>
      </c>
      <c r="K53" s="295"/>
    </row>
    <row r="54" spans="1:11" x14ac:dyDescent="0.25">
      <c r="A54" s="757">
        <v>2</v>
      </c>
      <c r="B54" s="334" t="s">
        <v>448</v>
      </c>
      <c r="C54" s="750">
        <v>1</v>
      </c>
      <c r="D54" s="335">
        <f t="shared" si="2"/>
        <v>15439.881599999999</v>
      </c>
      <c r="E54" s="335">
        <f>7498*1.3*1.32</f>
        <v>12866.567999999999</v>
      </c>
      <c r="F54" s="335">
        <v>0</v>
      </c>
      <c r="G54" s="335">
        <f>E54*20%</f>
        <v>2573.3136</v>
      </c>
      <c r="H54" s="591">
        <v>0.5</v>
      </c>
      <c r="I54" s="757">
        <v>1.7</v>
      </c>
      <c r="J54" s="554">
        <f t="shared" ref="J54:J56" si="12">((D54*C54)*(H54+I54))*12</f>
        <v>407612.87424000003</v>
      </c>
      <c r="K54" s="295"/>
    </row>
    <row r="55" spans="1:11" x14ac:dyDescent="0.25">
      <c r="A55" s="757">
        <v>3</v>
      </c>
      <c r="B55" s="334" t="s">
        <v>1170</v>
      </c>
      <c r="C55" s="750">
        <v>1</v>
      </c>
      <c r="D55" s="335">
        <f t="shared" si="2"/>
        <v>15439.881599999999</v>
      </c>
      <c r="E55" s="335">
        <f>7498*1.3*1.32</f>
        <v>12866.567999999999</v>
      </c>
      <c r="F55" s="335">
        <v>0</v>
      </c>
      <c r="G55" s="335">
        <f>E55*20%</f>
        <v>2573.3136</v>
      </c>
      <c r="H55" s="591">
        <v>0.5</v>
      </c>
      <c r="I55" s="757">
        <v>1.7</v>
      </c>
      <c r="J55" s="554">
        <f t="shared" si="12"/>
        <v>407612.87424000003</v>
      </c>
      <c r="K55" s="295"/>
    </row>
    <row r="56" spans="1:11" ht="30" x14ac:dyDescent="0.25">
      <c r="A56" s="757">
        <v>4</v>
      </c>
      <c r="B56" s="334" t="s">
        <v>449</v>
      </c>
      <c r="C56" s="750">
        <v>0.17</v>
      </c>
      <c r="D56" s="335">
        <f t="shared" si="2"/>
        <v>15439.881599999999</v>
      </c>
      <c r="E56" s="335">
        <f>7498*1.3*1.32</f>
        <v>12866.567999999999</v>
      </c>
      <c r="F56" s="335">
        <v>0</v>
      </c>
      <c r="G56" s="335">
        <f>E56*20%</f>
        <v>2573.3136</v>
      </c>
      <c r="H56" s="591">
        <v>0.5</v>
      </c>
      <c r="I56" s="757">
        <v>1.7</v>
      </c>
      <c r="J56" s="554">
        <f t="shared" si="12"/>
        <v>69294.188620800007</v>
      </c>
    </row>
    <row r="57" spans="1:11" ht="28.5" x14ac:dyDescent="0.25">
      <c r="A57" s="757"/>
      <c r="B57" s="752" t="s">
        <v>447</v>
      </c>
      <c r="C57" s="336">
        <f>SUM(C53:C56)</f>
        <v>3.17</v>
      </c>
      <c r="D57" s="340">
        <f>SUM(D53:D56)</f>
        <v>61759.526399999995</v>
      </c>
      <c r="E57" s="555" t="s">
        <v>14</v>
      </c>
      <c r="F57" s="555" t="s">
        <v>14</v>
      </c>
      <c r="G57" s="555" t="s">
        <v>14</v>
      </c>
      <c r="H57" s="555" t="s">
        <v>14</v>
      </c>
      <c r="I57" s="555" t="s">
        <v>14</v>
      </c>
      <c r="J57" s="559">
        <f>SUM(J53:J56)</f>
        <v>1292132.8113408</v>
      </c>
    </row>
    <row r="58" spans="1:11" ht="15.75" customHeight="1" x14ac:dyDescent="0.25">
      <c r="A58" s="1187" t="s">
        <v>451</v>
      </c>
      <c r="B58" s="1188"/>
      <c r="C58" s="1188"/>
      <c r="D58" s="1188"/>
      <c r="E58" s="1188"/>
      <c r="F58" s="1188"/>
      <c r="G58" s="1188"/>
      <c r="H58" s="1188"/>
      <c r="I58" s="1188"/>
      <c r="J58" s="1188"/>
    </row>
    <row r="59" spans="1:11" ht="30" x14ac:dyDescent="0.25">
      <c r="A59" s="757">
        <v>1</v>
      </c>
      <c r="B59" s="334" t="s">
        <v>309</v>
      </c>
      <c r="C59" s="750">
        <v>14</v>
      </c>
      <c r="D59" s="335">
        <f t="shared" si="2"/>
        <v>13514.491199999999</v>
      </c>
      <c r="E59" s="335">
        <f>7498*1.462+300</f>
        <v>11262.075999999999</v>
      </c>
      <c r="F59" s="335">
        <v>0</v>
      </c>
      <c r="G59" s="335">
        <f>(E59+F59)*20%</f>
        <v>2252.4151999999999</v>
      </c>
      <c r="H59" s="591">
        <v>0.5</v>
      </c>
      <c r="I59" s="757">
        <v>1.7</v>
      </c>
      <c r="J59" s="554">
        <f>((D59*C59)*(H59+I59))*12</f>
        <v>4994955.947519999</v>
      </c>
      <c r="K59" s="295"/>
    </row>
    <row r="60" spans="1:11" x14ac:dyDescent="0.25">
      <c r="A60" s="757">
        <v>2</v>
      </c>
      <c r="B60" s="334" t="s">
        <v>452</v>
      </c>
      <c r="C60" s="750">
        <v>1</v>
      </c>
      <c r="D60" s="335">
        <f t="shared" si="2"/>
        <v>13343.440800000002</v>
      </c>
      <c r="E60" s="335">
        <f>7498*1.483</f>
        <v>11119.534000000001</v>
      </c>
      <c r="F60" s="335">
        <v>0</v>
      </c>
      <c r="G60" s="335">
        <f t="shared" ref="G60:G64" si="13">(E60+F60)*20%</f>
        <v>2223.9068000000002</v>
      </c>
      <c r="H60" s="591">
        <v>0.5</v>
      </c>
      <c r="I60" s="757">
        <v>1.7</v>
      </c>
      <c r="J60" s="554">
        <f t="shared" ref="J60:J65" si="14">((D60*C60)*(H60+I60))*12</f>
        <v>352266.83712000004</v>
      </c>
      <c r="K60" s="295"/>
    </row>
    <row r="61" spans="1:11" ht="45" x14ac:dyDescent="0.25">
      <c r="A61" s="757">
        <v>3</v>
      </c>
      <c r="B61" s="334" t="s">
        <v>307</v>
      </c>
      <c r="C61" s="750">
        <v>1.5</v>
      </c>
      <c r="D61" s="335">
        <f t="shared" si="2"/>
        <v>13262.4624</v>
      </c>
      <c r="E61" s="335">
        <f>7498*1.474</f>
        <v>11052.052</v>
      </c>
      <c r="F61" s="335">
        <v>0</v>
      </c>
      <c r="G61" s="335">
        <f t="shared" si="13"/>
        <v>2210.4104000000002</v>
      </c>
      <c r="H61" s="591">
        <v>0.5</v>
      </c>
      <c r="I61" s="757">
        <v>1.7</v>
      </c>
      <c r="J61" s="554">
        <f t="shared" si="14"/>
        <v>525193.51104000001</v>
      </c>
    </row>
    <row r="62" spans="1:11" x14ac:dyDescent="0.25">
      <c r="A62" s="757">
        <v>4</v>
      </c>
      <c r="B62" s="334" t="s">
        <v>310</v>
      </c>
      <c r="C62" s="750">
        <v>0</v>
      </c>
      <c r="D62" s="335">
        <v>0</v>
      </c>
      <c r="E62" s="335">
        <f>7498*1.462</f>
        <v>10962.075999999999</v>
      </c>
      <c r="F62" s="335">
        <v>0</v>
      </c>
      <c r="G62" s="335">
        <f t="shared" si="13"/>
        <v>2192.4151999999999</v>
      </c>
      <c r="H62" s="591">
        <v>0.5</v>
      </c>
      <c r="I62" s="757">
        <v>1.7</v>
      </c>
      <c r="J62" s="554">
        <f t="shared" si="14"/>
        <v>0</v>
      </c>
    </row>
    <row r="63" spans="1:11" x14ac:dyDescent="0.25">
      <c r="A63" s="757">
        <v>5</v>
      </c>
      <c r="B63" s="334" t="s">
        <v>453</v>
      </c>
      <c r="C63" s="750">
        <v>0</v>
      </c>
      <c r="D63" s="335">
        <v>0</v>
      </c>
      <c r="E63" s="335">
        <f>7498*1.462</f>
        <v>10962.075999999999</v>
      </c>
      <c r="F63" s="335">
        <v>0</v>
      </c>
      <c r="G63" s="335">
        <f t="shared" si="13"/>
        <v>2192.4151999999999</v>
      </c>
      <c r="H63" s="591">
        <v>0.5</v>
      </c>
      <c r="I63" s="757">
        <v>1.7</v>
      </c>
      <c r="J63" s="554">
        <f t="shared" si="14"/>
        <v>0</v>
      </c>
    </row>
    <row r="64" spans="1:11" x14ac:dyDescent="0.25">
      <c r="A64" s="757">
        <v>6</v>
      </c>
      <c r="B64" s="334" t="s">
        <v>308</v>
      </c>
      <c r="C64" s="750">
        <v>1</v>
      </c>
      <c r="D64" s="335">
        <f t="shared" si="2"/>
        <v>13208.4768</v>
      </c>
      <c r="E64" s="335">
        <f>7498*1.468</f>
        <v>11007.064</v>
      </c>
      <c r="F64" s="335">
        <v>0</v>
      </c>
      <c r="G64" s="335">
        <f t="shared" si="13"/>
        <v>2201.4128000000001</v>
      </c>
      <c r="H64" s="591">
        <v>0.5</v>
      </c>
      <c r="I64" s="757">
        <v>1.7</v>
      </c>
      <c r="J64" s="554">
        <f t="shared" si="14"/>
        <v>348703.78752000001</v>
      </c>
    </row>
    <row r="65" spans="1:14" x14ac:dyDescent="0.25">
      <c r="A65" s="757">
        <v>7</v>
      </c>
      <c r="B65" s="334" t="s">
        <v>311</v>
      </c>
      <c r="C65" s="750">
        <v>2</v>
      </c>
      <c r="D65" s="335">
        <f t="shared" si="2"/>
        <v>13154.491199999999</v>
      </c>
      <c r="E65" s="335">
        <f>7498*1.462</f>
        <v>10962.075999999999</v>
      </c>
      <c r="F65" s="335">
        <v>0</v>
      </c>
      <c r="G65" s="335">
        <f>(E65+F65)*20%</f>
        <v>2192.4151999999999</v>
      </c>
      <c r="H65" s="591">
        <v>0.5</v>
      </c>
      <c r="I65" s="757">
        <v>1.7</v>
      </c>
      <c r="J65" s="554">
        <f t="shared" si="14"/>
        <v>694557.13535999996</v>
      </c>
    </row>
    <row r="66" spans="1:14" ht="28.5" x14ac:dyDescent="0.25">
      <c r="A66" s="757"/>
      <c r="B66" s="752" t="s">
        <v>454</v>
      </c>
      <c r="C66" s="336">
        <f>SUM(C59:C65)</f>
        <v>19.5</v>
      </c>
      <c r="D66" s="340">
        <f>SUM(D59:D65)</f>
        <v>66483.362400000013</v>
      </c>
      <c r="E66" s="555"/>
      <c r="F66" s="555" t="s">
        <v>14</v>
      </c>
      <c r="G66" s="555" t="s">
        <v>14</v>
      </c>
      <c r="H66" s="555" t="s">
        <v>14</v>
      </c>
      <c r="I66" s="555" t="s">
        <v>14</v>
      </c>
      <c r="J66" s="559">
        <f>SUM(J59:J65)</f>
        <v>6915677.218559999</v>
      </c>
      <c r="K66" s="296"/>
    </row>
    <row r="67" spans="1:14" x14ac:dyDescent="0.25">
      <c r="A67" s="757"/>
      <c r="B67" s="752"/>
      <c r="C67" s="336"/>
      <c r="D67" s="340"/>
      <c r="E67" s="555"/>
      <c r="F67" s="555"/>
      <c r="G67" s="555"/>
      <c r="H67" s="555"/>
      <c r="I67" s="555"/>
      <c r="J67" s="559"/>
      <c r="K67" s="296"/>
    </row>
    <row r="68" spans="1:14" s="276" customFormat="1" x14ac:dyDescent="0.25">
      <c r="A68" s="1145"/>
      <c r="B68" s="1146"/>
      <c r="C68" s="1146"/>
      <c r="D68" s="1146"/>
      <c r="E68" s="1146"/>
      <c r="F68" s="1146"/>
      <c r="G68" s="1146"/>
      <c r="H68" s="1146"/>
      <c r="I68" s="1146"/>
      <c r="J68" s="559">
        <v>0</v>
      </c>
      <c r="K68" s="292"/>
    </row>
    <row r="69" spans="1:14" ht="15.75" customHeight="1" x14ac:dyDescent="0.25">
      <c r="A69" s="1150" t="s">
        <v>324</v>
      </c>
      <c r="B69" s="1150"/>
      <c r="C69" s="336">
        <f>C21+C51+C57+C66</f>
        <v>156.39999999999998</v>
      </c>
      <c r="D69" s="340">
        <f>D21+D51+D57+D66</f>
        <v>912922.66189090919</v>
      </c>
      <c r="E69" s="555" t="s">
        <v>14</v>
      </c>
      <c r="F69" s="555" t="s">
        <v>14</v>
      </c>
      <c r="G69" s="555" t="s">
        <v>14</v>
      </c>
      <c r="H69" s="555" t="s">
        <v>14</v>
      </c>
      <c r="I69" s="555" t="s">
        <v>14</v>
      </c>
      <c r="J69" s="556">
        <f>J21+J51+J57+J66+J68</f>
        <v>88385865.170882598</v>
      </c>
      <c r="K69" s="292" t="s">
        <v>730</v>
      </c>
      <c r="L69" s="277"/>
    </row>
    <row r="70" spans="1:14" ht="21" customHeight="1" x14ac:dyDescent="0.25">
      <c r="A70" s="1147" t="s">
        <v>1209</v>
      </c>
      <c r="B70" s="1194"/>
      <c r="C70" s="1194"/>
      <c r="D70" s="1194"/>
      <c r="E70" s="1194"/>
      <c r="F70" s="1194"/>
      <c r="G70" s="1194"/>
      <c r="H70" s="1194"/>
      <c r="I70" s="1195"/>
      <c r="J70" s="554">
        <f>J69*10%+1969548.3120291</f>
        <v>10808134.829117361</v>
      </c>
      <c r="K70" s="420"/>
      <c r="L70" s="277"/>
    </row>
    <row r="71" spans="1:14" ht="21" customHeight="1" x14ac:dyDescent="0.25">
      <c r="A71" s="1308" t="s">
        <v>313</v>
      </c>
      <c r="B71" s="1309"/>
      <c r="C71" s="1309"/>
      <c r="D71" s="1309"/>
      <c r="E71" s="1309"/>
      <c r="F71" s="1309"/>
      <c r="G71" s="1309"/>
      <c r="H71" s="1309"/>
      <c r="I71" s="1309"/>
      <c r="J71" s="554">
        <v>2000000</v>
      </c>
      <c r="K71" s="420" t="s">
        <v>1173</v>
      </c>
      <c r="L71" s="277"/>
    </row>
    <row r="72" spans="1:14" ht="17.25" customHeight="1" x14ac:dyDescent="0.25">
      <c r="A72" s="1147" t="s">
        <v>1210</v>
      </c>
      <c r="B72" s="1148"/>
      <c r="C72" s="1148"/>
      <c r="D72" s="1148"/>
      <c r="E72" s="1148"/>
      <c r="F72" s="1148"/>
      <c r="G72" s="1148"/>
      <c r="H72" s="1148"/>
      <c r="I72" s="1149"/>
      <c r="J72" s="554">
        <v>0</v>
      </c>
      <c r="K72" s="420"/>
      <c r="L72" s="277"/>
    </row>
    <row r="73" spans="1:14" ht="21.75" customHeight="1" x14ac:dyDescent="0.25">
      <c r="A73" s="1147" t="s">
        <v>324</v>
      </c>
      <c r="B73" s="1148"/>
      <c r="C73" s="1148"/>
      <c r="D73" s="1148"/>
      <c r="E73" s="1148"/>
      <c r="F73" s="1148"/>
      <c r="G73" s="1148"/>
      <c r="H73" s="1148"/>
      <c r="I73" s="1149"/>
      <c r="J73" s="559">
        <f>J69+J70+J68+J72+J71</f>
        <v>101193999.99999996</v>
      </c>
      <c r="L73" s="283">
        <v>84800000</v>
      </c>
      <c r="N73" s="341">
        <f>J73-L73</f>
        <v>16393999.999999955</v>
      </c>
    </row>
    <row r="74" spans="1:14" ht="65.25" hidden="1" customHeight="1" x14ac:dyDescent="0.25">
      <c r="A74" s="699"/>
      <c r="B74" s="749" t="s">
        <v>540</v>
      </c>
      <c r="C74" s="749"/>
      <c r="D74" s="749"/>
      <c r="E74" s="699"/>
      <c r="F74" s="699"/>
      <c r="G74" s="699"/>
      <c r="H74" s="699"/>
      <c r="I74" s="699"/>
      <c r="J74" s="554">
        <v>0</v>
      </c>
      <c r="L74" s="283"/>
    </row>
    <row r="75" spans="1:14" ht="20.25" hidden="1" customHeight="1" x14ac:dyDescent="0.25">
      <c r="A75" s="1147" t="s">
        <v>562</v>
      </c>
      <c r="B75" s="1148"/>
      <c r="C75" s="1148"/>
      <c r="D75" s="1148"/>
      <c r="E75" s="1148"/>
      <c r="F75" s="1148"/>
      <c r="G75" s="1148"/>
      <c r="H75" s="1148"/>
      <c r="I75" s="1149"/>
      <c r="J75" s="554">
        <v>0</v>
      </c>
      <c r="L75" s="283"/>
    </row>
    <row r="76" spans="1:14" ht="39.75" hidden="1" customHeight="1" x14ac:dyDescent="0.25">
      <c r="A76" s="1147" t="s">
        <v>534</v>
      </c>
      <c r="B76" s="1148"/>
      <c r="C76" s="1148"/>
      <c r="D76" s="1148"/>
      <c r="E76" s="1148"/>
      <c r="F76" s="1148"/>
      <c r="G76" s="1148"/>
      <c r="H76" s="1148"/>
      <c r="I76" s="1149"/>
      <c r="J76" s="554">
        <v>0</v>
      </c>
      <c r="L76" s="283"/>
    </row>
    <row r="77" spans="1:14" hidden="1" x14ac:dyDescent="0.25">
      <c r="A77" s="561"/>
      <c r="B77" s="342"/>
      <c r="C77" s="751"/>
      <c r="D77" s="343"/>
      <c r="E77" s="698"/>
      <c r="F77" s="698"/>
      <c r="G77" s="698"/>
      <c r="H77" s="698"/>
      <c r="I77" s="698"/>
      <c r="J77" s="563"/>
      <c r="L77" s="283"/>
    </row>
    <row r="78" spans="1:14" hidden="1" x14ac:dyDescent="0.25">
      <c r="A78" s="1131" t="s">
        <v>1</v>
      </c>
      <c r="B78" s="1179" t="s">
        <v>2</v>
      </c>
      <c r="C78" s="1179" t="s">
        <v>3</v>
      </c>
      <c r="D78" s="1184" t="s">
        <v>4</v>
      </c>
      <c r="E78" s="1184"/>
      <c r="F78" s="1184"/>
      <c r="G78" s="1184"/>
      <c r="H78" s="1131" t="s">
        <v>5</v>
      </c>
      <c r="I78" s="1131" t="s">
        <v>6</v>
      </c>
      <c r="J78" s="1185" t="s">
        <v>305</v>
      </c>
      <c r="L78" s="283"/>
    </row>
    <row r="79" spans="1:14" hidden="1" x14ac:dyDescent="0.25">
      <c r="A79" s="1131"/>
      <c r="B79" s="1179"/>
      <c r="C79" s="1179"/>
      <c r="D79" s="1179" t="s">
        <v>8</v>
      </c>
      <c r="E79" s="1184" t="s">
        <v>9</v>
      </c>
      <c r="F79" s="1184"/>
      <c r="G79" s="1184"/>
      <c r="H79" s="1131"/>
      <c r="I79" s="1131"/>
      <c r="J79" s="1185"/>
      <c r="L79" s="283"/>
    </row>
    <row r="80" spans="1:14" ht="75" hidden="1" x14ac:dyDescent="0.25">
      <c r="A80" s="1131"/>
      <c r="B80" s="1179"/>
      <c r="C80" s="1179"/>
      <c r="D80" s="1179"/>
      <c r="E80" s="697" t="s">
        <v>10</v>
      </c>
      <c r="F80" s="697" t="s">
        <v>11</v>
      </c>
      <c r="G80" s="697" t="s">
        <v>12</v>
      </c>
      <c r="H80" s="1131"/>
      <c r="I80" s="1131"/>
      <c r="J80" s="1185"/>
      <c r="L80" s="283"/>
    </row>
    <row r="81" spans="1:14" hidden="1" x14ac:dyDescent="0.25">
      <c r="A81" s="695">
        <v>1</v>
      </c>
      <c r="B81" s="750">
        <v>2</v>
      </c>
      <c r="C81" s="750">
        <v>3</v>
      </c>
      <c r="D81" s="750">
        <v>4</v>
      </c>
      <c r="E81" s="695">
        <v>5</v>
      </c>
      <c r="F81" s="695">
        <v>6</v>
      </c>
      <c r="G81" s="695">
        <v>7</v>
      </c>
      <c r="H81" s="695">
        <v>8</v>
      </c>
      <c r="I81" s="695">
        <v>9</v>
      </c>
      <c r="J81" s="554">
        <v>10</v>
      </c>
      <c r="L81" s="283"/>
    </row>
    <row r="82" spans="1:14" hidden="1" x14ac:dyDescent="0.25">
      <c r="A82" s="1187" t="s">
        <v>306</v>
      </c>
      <c r="B82" s="1188"/>
      <c r="C82" s="1188"/>
      <c r="D82" s="1188"/>
      <c r="E82" s="1188"/>
      <c r="F82" s="1188"/>
      <c r="G82" s="1188"/>
      <c r="H82" s="1188"/>
      <c r="I82" s="1188"/>
      <c r="J82" s="1188"/>
      <c r="L82" s="283"/>
    </row>
    <row r="83" spans="1:14" ht="45" hidden="1" x14ac:dyDescent="0.25">
      <c r="A83" s="695">
        <v>1</v>
      </c>
      <c r="B83" s="334" t="s">
        <v>307</v>
      </c>
      <c r="C83" s="750"/>
      <c r="D83" s="344">
        <f>E83+F83+G83</f>
        <v>0</v>
      </c>
      <c r="E83" s="554"/>
      <c r="F83" s="554"/>
      <c r="G83" s="554">
        <f>(E83+F83)*20%</f>
        <v>0</v>
      </c>
      <c r="H83" s="553">
        <v>50</v>
      </c>
      <c r="I83" s="695">
        <v>1.7</v>
      </c>
      <c r="J83" s="554">
        <f>(C83*D83*(H83/100+I83))*12.5</f>
        <v>0</v>
      </c>
      <c r="L83" s="283"/>
    </row>
    <row r="84" spans="1:14" ht="15.75" hidden="1" customHeight="1" x14ac:dyDescent="0.25">
      <c r="A84" s="695">
        <v>2</v>
      </c>
      <c r="B84" s="334" t="s">
        <v>308</v>
      </c>
      <c r="C84" s="750"/>
      <c r="D84" s="344">
        <f t="shared" ref="D84:D85" si="15">E84+F84+G84</f>
        <v>0</v>
      </c>
      <c r="E84" s="554"/>
      <c r="F84" s="554"/>
      <c r="G84" s="554">
        <f>(E84+F84)*20%</f>
        <v>0</v>
      </c>
      <c r="H84" s="553">
        <v>50</v>
      </c>
      <c r="I84" s="695">
        <v>1.7</v>
      </c>
      <c r="J84" s="554">
        <f>(C84*D84*(H84/100+I84))*12.5</f>
        <v>0</v>
      </c>
      <c r="L84" s="283"/>
    </row>
    <row r="85" spans="1:14" ht="30" hidden="1" x14ac:dyDescent="0.25">
      <c r="A85" s="695">
        <v>3</v>
      </c>
      <c r="B85" s="334" t="s">
        <v>309</v>
      </c>
      <c r="C85" s="750"/>
      <c r="D85" s="344">
        <f t="shared" si="15"/>
        <v>0</v>
      </c>
      <c r="E85" s="554"/>
      <c r="F85" s="554"/>
      <c r="G85" s="554">
        <f>(E85+F85)*20%</f>
        <v>0</v>
      </c>
      <c r="H85" s="553">
        <v>50</v>
      </c>
      <c r="I85" s="695">
        <v>1.7</v>
      </c>
      <c r="J85" s="554">
        <f>(C85*D85*(H85/100+I85))*12.5</f>
        <v>0</v>
      </c>
      <c r="L85" s="283"/>
    </row>
    <row r="86" spans="1:14" hidden="1" x14ac:dyDescent="0.25">
      <c r="A86" s="695">
        <v>4</v>
      </c>
      <c r="B86" s="334" t="s">
        <v>310</v>
      </c>
      <c r="C86" s="750"/>
      <c r="D86" s="344">
        <f>E86+F86+G86</f>
        <v>0</v>
      </c>
      <c r="E86" s="554"/>
      <c r="F86" s="554"/>
      <c r="G86" s="554">
        <f>(E86+F86)*20%</f>
        <v>0</v>
      </c>
      <c r="H86" s="553">
        <v>50</v>
      </c>
      <c r="I86" s="695">
        <v>1.7</v>
      </c>
      <c r="J86" s="554">
        <f>(C86*D86*(H86/100+I86))*12.5</f>
        <v>0</v>
      </c>
      <c r="L86" s="283"/>
    </row>
    <row r="87" spans="1:14" ht="21.75" hidden="1" customHeight="1" x14ac:dyDescent="0.25">
      <c r="A87" s="695">
        <v>5</v>
      </c>
      <c r="B87" s="334" t="s">
        <v>311</v>
      </c>
      <c r="C87" s="750"/>
      <c r="D87" s="344">
        <f t="shared" ref="D87" si="16">E87+F87+G87</f>
        <v>0</v>
      </c>
      <c r="E87" s="554"/>
      <c r="F87" s="554"/>
      <c r="G87" s="554">
        <f t="shared" ref="G87" si="17">(E87+F87)*20%</f>
        <v>0</v>
      </c>
      <c r="H87" s="553">
        <v>50</v>
      </c>
      <c r="I87" s="695">
        <v>1.7</v>
      </c>
      <c r="J87" s="554">
        <f>(C87*D87*(H87/100+I87))*12.5</f>
        <v>0</v>
      </c>
      <c r="K87" s="297"/>
      <c r="L87" s="283"/>
    </row>
    <row r="88" spans="1:14" ht="16.5" hidden="1" customHeight="1" x14ac:dyDescent="0.25">
      <c r="A88" s="695"/>
      <c r="B88" s="749" t="s">
        <v>312</v>
      </c>
      <c r="C88" s="345">
        <f>SUM(C83:C87)</f>
        <v>0</v>
      </c>
      <c r="D88" s="346">
        <f>SUM(D83:D87)</f>
        <v>0</v>
      </c>
      <c r="E88" s="564" t="s">
        <v>14</v>
      </c>
      <c r="F88" s="564" t="s">
        <v>14</v>
      </c>
      <c r="G88" s="564" t="s">
        <v>14</v>
      </c>
      <c r="H88" s="564" t="s">
        <v>14</v>
      </c>
      <c r="I88" s="564" t="s">
        <v>14</v>
      </c>
      <c r="J88" s="554">
        <f>SUM(J83:J87)</f>
        <v>0</v>
      </c>
      <c r="L88" s="283"/>
    </row>
    <row r="89" spans="1:14" ht="15.75" hidden="1" customHeight="1" x14ac:dyDescent="0.25">
      <c r="A89" s="1189" t="s">
        <v>336</v>
      </c>
      <c r="B89" s="1190"/>
      <c r="C89" s="1190"/>
      <c r="D89" s="1190"/>
      <c r="E89" s="1190"/>
      <c r="F89" s="1190"/>
      <c r="G89" s="1190"/>
      <c r="H89" s="1190"/>
      <c r="I89" s="1191"/>
      <c r="J89" s="554"/>
      <c r="L89" s="283"/>
    </row>
    <row r="90" spans="1:14" s="276" customFormat="1" hidden="1" x14ac:dyDescent="0.25">
      <c r="A90" s="1189" t="s">
        <v>669</v>
      </c>
      <c r="B90" s="1190"/>
      <c r="C90" s="1190"/>
      <c r="D90" s="1190"/>
      <c r="E90" s="1190"/>
      <c r="F90" s="1190"/>
      <c r="G90" s="1190"/>
      <c r="H90" s="1190"/>
      <c r="I90" s="1191"/>
      <c r="J90" s="554">
        <v>0</v>
      </c>
      <c r="K90" s="292"/>
      <c r="L90" s="283"/>
    </row>
    <row r="91" spans="1:14" s="276" customFormat="1" x14ac:dyDescent="0.25">
      <c r="A91" s="1211" t="s">
        <v>372</v>
      </c>
      <c r="B91" s="1212"/>
      <c r="C91" s="1212"/>
      <c r="D91" s="1212"/>
      <c r="E91" s="1212"/>
      <c r="F91" s="1212"/>
      <c r="G91" s="1212"/>
      <c r="H91" s="1212"/>
      <c r="I91" s="1213"/>
      <c r="J91" s="559">
        <v>216000</v>
      </c>
      <c r="K91" s="292"/>
      <c r="L91" s="283"/>
      <c r="N91" s="276">
        <v>98000</v>
      </c>
    </row>
    <row r="92" spans="1:14" s="276" customFormat="1" x14ac:dyDescent="0.25">
      <c r="A92" s="1173" t="s">
        <v>456</v>
      </c>
      <c r="B92" s="1174"/>
      <c r="C92" s="1174"/>
      <c r="D92" s="1174"/>
      <c r="E92" s="1174"/>
      <c r="F92" s="1174"/>
      <c r="G92" s="1174"/>
      <c r="H92" s="1174"/>
      <c r="I92" s="1174"/>
      <c r="J92" s="1175"/>
      <c r="K92" s="292"/>
      <c r="L92" s="283"/>
    </row>
    <row r="93" spans="1:14" ht="31.5" customHeight="1" x14ac:dyDescent="0.25">
      <c r="A93" s="1151" t="s">
        <v>737</v>
      </c>
      <c r="B93" s="1152"/>
      <c r="C93" s="750">
        <v>2</v>
      </c>
      <c r="D93" s="344">
        <f>D88</f>
        <v>0</v>
      </c>
      <c r="E93" s="695" t="s">
        <v>14</v>
      </c>
      <c r="F93" s="695" t="s">
        <v>14</v>
      </c>
      <c r="G93" s="695" t="s">
        <v>14</v>
      </c>
      <c r="H93" s="695" t="s">
        <v>14</v>
      </c>
      <c r="I93" s="695" t="s">
        <v>14</v>
      </c>
      <c r="J93" s="554">
        <f>216000+22000</f>
        <v>238000</v>
      </c>
      <c r="K93" s="297"/>
      <c r="L93" s="283"/>
    </row>
    <row r="94" spans="1:14" ht="21" customHeight="1" x14ac:dyDescent="0.25">
      <c r="A94" s="1177" t="s">
        <v>455</v>
      </c>
      <c r="B94" s="1178"/>
      <c r="C94" s="1178"/>
      <c r="D94" s="1178"/>
      <c r="E94" s="1178"/>
      <c r="F94" s="1178"/>
      <c r="G94" s="1178"/>
      <c r="H94" s="1178"/>
      <c r="I94" s="1178"/>
      <c r="J94" s="565">
        <f>J93+J73+J76+J74+J75</f>
        <v>101431999.99999996</v>
      </c>
      <c r="K94" s="297">
        <f>9000000*12+10%</f>
        <v>108000000.09999999</v>
      </c>
      <c r="L94" s="283">
        <f>J73+J74+J75+J76+J93</f>
        <v>101431999.99999996</v>
      </c>
    </row>
    <row r="95" spans="1:14" ht="21" customHeight="1" x14ac:dyDescent="0.25">
      <c r="A95" s="566"/>
      <c r="B95" s="212"/>
      <c r="C95" s="691"/>
      <c r="D95" s="214"/>
      <c r="E95" s="701"/>
      <c r="F95" s="701"/>
      <c r="G95" s="701"/>
      <c r="H95" s="701"/>
      <c r="I95" s="701"/>
      <c r="J95" s="567"/>
      <c r="K95" s="297"/>
      <c r="L95" s="277"/>
    </row>
    <row r="96" spans="1:14" ht="20.25" customHeight="1" x14ac:dyDescent="0.25">
      <c r="A96" s="1154" t="s">
        <v>536</v>
      </c>
      <c r="B96" s="1155"/>
      <c r="C96" s="1155"/>
      <c r="D96" s="1155"/>
      <c r="E96" s="1155"/>
      <c r="F96" s="1155"/>
      <c r="G96" s="1155"/>
      <c r="H96" s="1155"/>
      <c r="I96" s="1155"/>
      <c r="J96" s="1156"/>
    </row>
    <row r="97" spans="1:14" ht="30" customHeight="1" x14ac:dyDescent="0.25">
      <c r="A97" s="688" t="s">
        <v>1</v>
      </c>
      <c r="B97" s="1176" t="s">
        <v>44</v>
      </c>
      <c r="C97" s="1176"/>
      <c r="D97" s="1176"/>
      <c r="E97" s="1153" t="s">
        <v>45</v>
      </c>
      <c r="F97" s="1153"/>
      <c r="G97" s="1153" t="s">
        <v>46</v>
      </c>
      <c r="H97" s="1153"/>
      <c r="I97" s="1153" t="s">
        <v>102</v>
      </c>
      <c r="J97" s="1153"/>
    </row>
    <row r="98" spans="1:14" ht="16.5" customHeight="1" x14ac:dyDescent="0.25">
      <c r="A98" s="702">
        <v>1</v>
      </c>
      <c r="B98" s="1015">
        <v>2</v>
      </c>
      <c r="C98" s="1015"/>
      <c r="D98" s="1015"/>
      <c r="E98" s="1205">
        <v>3</v>
      </c>
      <c r="F98" s="1205"/>
      <c r="G98" s="1205">
        <v>4</v>
      </c>
      <c r="H98" s="1205"/>
      <c r="I98" s="1205">
        <v>5</v>
      </c>
      <c r="J98" s="1205"/>
    </row>
    <row r="99" spans="1:14" ht="30.75" hidden="1" customHeight="1" x14ac:dyDescent="0.25">
      <c r="A99" s="570">
        <v>1</v>
      </c>
      <c r="B99" s="1066" t="s">
        <v>1083</v>
      </c>
      <c r="C99" s="1067"/>
      <c r="D99" s="1068"/>
      <c r="E99" s="1157">
        <v>0</v>
      </c>
      <c r="F99" s="1157"/>
      <c r="G99" s="1158">
        <v>0</v>
      </c>
      <c r="H99" s="1158"/>
      <c r="I99" s="1159">
        <v>0</v>
      </c>
      <c r="J99" s="1159"/>
    </row>
    <row r="100" spans="1:14" ht="47.25" customHeight="1" x14ac:dyDescent="0.25">
      <c r="A100" s="570">
        <v>2</v>
      </c>
      <c r="B100" s="1066" t="s">
        <v>537</v>
      </c>
      <c r="C100" s="1067"/>
      <c r="D100" s="1068"/>
      <c r="E100" s="1157">
        <v>4200</v>
      </c>
      <c r="F100" s="1157"/>
      <c r="G100" s="1158">
        <v>72</v>
      </c>
      <c r="H100" s="1158"/>
      <c r="I100" s="1159">
        <v>900000</v>
      </c>
      <c r="J100" s="1159"/>
    </row>
    <row r="101" spans="1:14" ht="22.5" customHeight="1" x14ac:dyDescent="0.25">
      <c r="A101" s="700"/>
      <c r="B101" s="1164" t="s">
        <v>324</v>
      </c>
      <c r="C101" s="1165"/>
      <c r="D101" s="1166"/>
      <c r="E101" s="1167" t="s">
        <v>14</v>
      </c>
      <c r="F101" s="1168"/>
      <c r="G101" s="1167" t="s">
        <v>14</v>
      </c>
      <c r="H101" s="1201"/>
      <c r="I101" s="1160">
        <f>I100+I99</f>
        <v>900000</v>
      </c>
      <c r="J101" s="1161"/>
    </row>
    <row r="102" spans="1:14" s="276" customFormat="1" ht="40.5" customHeight="1" x14ac:dyDescent="0.25">
      <c r="A102" s="1206" t="s">
        <v>353</v>
      </c>
      <c r="B102" s="1206"/>
      <c r="C102" s="1206"/>
      <c r="D102" s="1206"/>
      <c r="E102" s="1206"/>
      <c r="F102" s="1206"/>
      <c r="G102" s="1206"/>
      <c r="H102" s="1206"/>
      <c r="I102" s="1206"/>
      <c r="J102" s="1206"/>
      <c r="K102" s="292"/>
    </row>
    <row r="103" spans="1:14" ht="38.25" x14ac:dyDescent="0.25">
      <c r="A103" s="681" t="s">
        <v>1</v>
      </c>
      <c r="B103" s="1015" t="s">
        <v>15</v>
      </c>
      <c r="C103" s="1015"/>
      <c r="D103" s="1015"/>
      <c r="E103" s="1015" t="s">
        <v>16</v>
      </c>
      <c r="F103" s="1015"/>
      <c r="G103" s="681" t="s">
        <v>17</v>
      </c>
      <c r="H103" s="681" t="s">
        <v>18</v>
      </c>
      <c r="I103" s="1015" t="s">
        <v>104</v>
      </c>
      <c r="J103" s="1015"/>
      <c r="K103" s="1063" t="s">
        <v>1117</v>
      </c>
    </row>
    <row r="104" spans="1:14" ht="15" customHeight="1" x14ac:dyDescent="0.25">
      <c r="A104" s="681">
        <v>1</v>
      </c>
      <c r="B104" s="1015">
        <v>2</v>
      </c>
      <c r="C104" s="1015"/>
      <c r="D104" s="1015"/>
      <c r="E104" s="1015">
        <v>3</v>
      </c>
      <c r="F104" s="1015"/>
      <c r="G104" s="681">
        <v>4</v>
      </c>
      <c r="H104" s="681">
        <v>5</v>
      </c>
      <c r="I104" s="1015">
        <v>6</v>
      </c>
      <c r="J104" s="1015"/>
      <c r="K104" s="1064"/>
    </row>
    <row r="105" spans="1:14" ht="16.5" hidden="1" customHeight="1" x14ac:dyDescent="0.25">
      <c r="A105" s="1031" t="s">
        <v>354</v>
      </c>
      <c r="B105" s="1162"/>
      <c r="C105" s="1162"/>
      <c r="D105" s="1162"/>
      <c r="E105" s="1162"/>
      <c r="F105" s="1162"/>
      <c r="G105" s="1162"/>
      <c r="H105" s="1162"/>
      <c r="I105" s="1162"/>
      <c r="J105" s="1163"/>
      <c r="K105" s="1064"/>
    </row>
    <row r="106" spans="1:14" ht="48.75" hidden="1" customHeight="1" x14ac:dyDescent="0.25">
      <c r="A106" s="676" t="s">
        <v>70</v>
      </c>
      <c r="B106" s="1017" t="s">
        <v>355</v>
      </c>
      <c r="C106" s="1018"/>
      <c r="D106" s="1019"/>
      <c r="E106" s="1171">
        <v>0</v>
      </c>
      <c r="F106" s="1172"/>
      <c r="G106" s="676">
        <v>0</v>
      </c>
      <c r="H106" s="676">
        <v>0</v>
      </c>
      <c r="I106" s="1020">
        <f>E106*G106*H106</f>
        <v>0</v>
      </c>
      <c r="J106" s="1020"/>
      <c r="K106" s="1064"/>
    </row>
    <row r="107" spans="1:14" ht="15" customHeight="1" x14ac:dyDescent="0.25">
      <c r="A107" s="1031" t="s">
        <v>356</v>
      </c>
      <c r="B107" s="1162"/>
      <c r="C107" s="1162"/>
      <c r="D107" s="1162"/>
      <c r="E107" s="1162"/>
      <c r="F107" s="1162"/>
      <c r="G107" s="1162"/>
      <c r="H107" s="1162"/>
      <c r="I107" s="1162"/>
      <c r="J107" s="1163"/>
      <c r="K107" s="1065"/>
      <c r="L107" s="164" t="s">
        <v>1156</v>
      </c>
    </row>
    <row r="108" spans="1:14" ht="53.25" customHeight="1" x14ac:dyDescent="0.25">
      <c r="A108" s="669" t="s">
        <v>70</v>
      </c>
      <c r="B108" s="1207" t="s">
        <v>458</v>
      </c>
      <c r="C108" s="1208"/>
      <c r="D108" s="1209"/>
      <c r="E108" s="1202">
        <v>22866.58</v>
      </c>
      <c r="F108" s="1202"/>
      <c r="G108" s="401">
        <v>25</v>
      </c>
      <c r="H108" s="401">
        <v>1</v>
      </c>
      <c r="I108" s="1180">
        <f>E108*G108-664.5+21000</f>
        <v>592000</v>
      </c>
      <c r="J108" s="1181"/>
      <c r="K108" s="1028" t="s">
        <v>1118</v>
      </c>
      <c r="L108" s="164">
        <v>62</v>
      </c>
      <c r="N108" s="164">
        <f>E108*G108</f>
        <v>571664.5</v>
      </c>
    </row>
    <row r="109" spans="1:14" ht="48.75" customHeight="1" x14ac:dyDescent="0.25">
      <c r="A109" s="676" t="s">
        <v>75</v>
      </c>
      <c r="B109" s="1207" t="s">
        <v>459</v>
      </c>
      <c r="C109" s="1208"/>
      <c r="D109" s="1209"/>
      <c r="E109" s="1199">
        <v>17821.11</v>
      </c>
      <c r="F109" s="1199"/>
      <c r="G109" s="347">
        <v>25</v>
      </c>
      <c r="H109" s="684">
        <v>1</v>
      </c>
      <c r="I109" s="1200">
        <f>E109*G109-527.75</f>
        <v>445000</v>
      </c>
      <c r="J109" s="1200"/>
      <c r="K109" s="1030"/>
      <c r="L109" s="164">
        <v>41</v>
      </c>
      <c r="N109" s="164">
        <f>E109*G109</f>
        <v>445527.75</v>
      </c>
    </row>
    <row r="110" spans="1:14" x14ac:dyDescent="0.25">
      <c r="A110" s="1031" t="s">
        <v>357</v>
      </c>
      <c r="B110" s="1162"/>
      <c r="C110" s="1162"/>
      <c r="D110" s="1162"/>
      <c r="E110" s="1162"/>
      <c r="F110" s="1162"/>
      <c r="G110" s="1162"/>
      <c r="H110" s="1162"/>
      <c r="I110" s="1162"/>
      <c r="J110" s="1163"/>
    </row>
    <row r="111" spans="1:14" ht="35.25" customHeight="1" x14ac:dyDescent="0.25">
      <c r="A111" s="676" t="s">
        <v>77</v>
      </c>
      <c r="B111" s="1017" t="s">
        <v>358</v>
      </c>
      <c r="C111" s="1018"/>
      <c r="D111" s="1019"/>
      <c r="E111" s="1196">
        <v>8000</v>
      </c>
      <c r="F111" s="1196"/>
      <c r="G111" s="676">
        <v>5</v>
      </c>
      <c r="H111" s="676">
        <v>1</v>
      </c>
      <c r="I111" s="1197">
        <f>E111*G111</f>
        <v>40000</v>
      </c>
      <c r="J111" s="1197"/>
      <c r="K111" s="304" t="s">
        <v>687</v>
      </c>
    </row>
    <row r="112" spans="1:14" ht="35.25" hidden="1" customHeight="1" x14ac:dyDescent="0.25">
      <c r="A112" s="1031" t="s">
        <v>357</v>
      </c>
      <c r="B112" s="1162"/>
      <c r="C112" s="1162"/>
      <c r="D112" s="1162"/>
      <c r="E112" s="1162"/>
      <c r="F112" s="1162"/>
      <c r="G112" s="1162"/>
      <c r="H112" s="1162"/>
      <c r="I112" s="1162"/>
      <c r="J112" s="1163"/>
    </row>
    <row r="113" spans="1:13" ht="35.25" hidden="1" customHeight="1" x14ac:dyDescent="0.25">
      <c r="A113" s="676">
        <v>4</v>
      </c>
      <c r="B113" s="1026" t="s">
        <v>608</v>
      </c>
      <c r="C113" s="1052"/>
      <c r="D113" s="1027"/>
      <c r="E113" s="1171"/>
      <c r="F113" s="1172"/>
      <c r="G113" s="676"/>
      <c r="H113" s="676"/>
      <c r="I113" s="1203">
        <v>0</v>
      </c>
      <c r="J113" s="1204"/>
    </row>
    <row r="114" spans="1:13" ht="69" hidden="1" customHeight="1" x14ac:dyDescent="0.25">
      <c r="A114" s="676"/>
      <c r="B114" s="1041" t="s">
        <v>479</v>
      </c>
      <c r="C114" s="1042"/>
      <c r="D114" s="1043"/>
      <c r="E114" s="1034" t="s">
        <v>74</v>
      </c>
      <c r="F114" s="1035"/>
      <c r="G114" s="696" t="s">
        <v>74</v>
      </c>
      <c r="H114" s="696" t="s">
        <v>74</v>
      </c>
      <c r="I114" s="1169"/>
      <c r="J114" s="1170"/>
    </row>
    <row r="115" spans="1:13" ht="35.25" hidden="1" customHeight="1" x14ac:dyDescent="0.25">
      <c r="A115" s="676">
        <v>5</v>
      </c>
      <c r="B115" s="1017" t="s">
        <v>529</v>
      </c>
      <c r="C115" s="1018"/>
      <c r="D115" s="1019"/>
      <c r="E115" s="1171"/>
      <c r="F115" s="1172"/>
      <c r="G115" s="676"/>
      <c r="H115" s="676"/>
      <c r="I115" s="1097">
        <v>0</v>
      </c>
      <c r="J115" s="1098"/>
    </row>
    <row r="116" spans="1:13" ht="35.25" hidden="1" customHeight="1" x14ac:dyDescent="0.25">
      <c r="A116" s="676">
        <v>4</v>
      </c>
      <c r="B116" s="1026" t="s">
        <v>604</v>
      </c>
      <c r="C116" s="1052"/>
      <c r="D116" s="1027"/>
      <c r="E116" s="1171"/>
      <c r="F116" s="1172"/>
      <c r="G116" s="676"/>
      <c r="H116" s="676"/>
      <c r="I116" s="1097">
        <v>0</v>
      </c>
      <c r="J116" s="1098"/>
    </row>
    <row r="117" spans="1:13" x14ac:dyDescent="0.25">
      <c r="A117" s="679"/>
      <c r="B117" s="1014" t="s">
        <v>13</v>
      </c>
      <c r="C117" s="1014"/>
      <c r="D117" s="1014"/>
      <c r="E117" s="1053" t="s">
        <v>14</v>
      </c>
      <c r="F117" s="1053"/>
      <c r="G117" s="679" t="s">
        <v>14</v>
      </c>
      <c r="H117" s="679" t="s">
        <v>14</v>
      </c>
      <c r="I117" s="1016">
        <f>I106+I109+I111+I108+I115+I116+I113</f>
        <v>1077000</v>
      </c>
      <c r="J117" s="1016"/>
    </row>
    <row r="118" spans="1:13" ht="19.5" hidden="1" customHeight="1" x14ac:dyDescent="0.25">
      <c r="A118" s="1123" t="s">
        <v>359</v>
      </c>
      <c r="B118" s="1123"/>
      <c r="C118" s="1123"/>
      <c r="D118" s="1123"/>
      <c r="E118" s="1123"/>
      <c r="F118" s="1123"/>
      <c r="G118" s="1123"/>
      <c r="H118" s="1123"/>
      <c r="I118" s="1123"/>
      <c r="J118" s="1123"/>
    </row>
    <row r="119" spans="1:13" ht="51" hidden="1" x14ac:dyDescent="0.25">
      <c r="A119" s="681" t="s">
        <v>1</v>
      </c>
      <c r="B119" s="1015" t="s">
        <v>15</v>
      </c>
      <c r="C119" s="1015"/>
      <c r="D119" s="1015"/>
      <c r="E119" s="1024" t="s">
        <v>20</v>
      </c>
      <c r="F119" s="1025"/>
      <c r="G119" s="681" t="s">
        <v>21</v>
      </c>
      <c r="H119" s="681" t="s">
        <v>22</v>
      </c>
      <c r="I119" s="1015" t="s">
        <v>19</v>
      </c>
      <c r="J119" s="1015"/>
    </row>
    <row r="120" spans="1:13" hidden="1" x14ac:dyDescent="0.25">
      <c r="A120" s="681">
        <v>1</v>
      </c>
      <c r="B120" s="1015">
        <v>2</v>
      </c>
      <c r="C120" s="1015"/>
      <c r="D120" s="1015"/>
      <c r="E120" s="1024">
        <v>3</v>
      </c>
      <c r="F120" s="1025"/>
      <c r="G120" s="681">
        <v>4</v>
      </c>
      <c r="H120" s="681">
        <v>5</v>
      </c>
      <c r="I120" s="1015">
        <v>6</v>
      </c>
      <c r="J120" s="1015"/>
    </row>
    <row r="121" spans="1:13" ht="47.25" hidden="1" customHeight="1" x14ac:dyDescent="0.25">
      <c r="A121" s="750" t="s">
        <v>70</v>
      </c>
      <c r="B121" s="1214" t="s">
        <v>79</v>
      </c>
      <c r="C121" s="1215"/>
      <c r="D121" s="1216"/>
      <c r="E121" s="1038"/>
      <c r="F121" s="1039"/>
      <c r="G121" s="336">
        <v>12</v>
      </c>
      <c r="H121" s="336">
        <v>85</v>
      </c>
      <c r="I121" s="1218">
        <v>0</v>
      </c>
      <c r="J121" s="1218"/>
    </row>
    <row r="122" spans="1:13" ht="17.25" hidden="1" customHeight="1" x14ac:dyDescent="0.25">
      <c r="A122" s="750"/>
      <c r="B122" s="1219" t="s">
        <v>13</v>
      </c>
      <c r="C122" s="1219"/>
      <c r="D122" s="1219"/>
      <c r="E122" s="1026" t="s">
        <v>14</v>
      </c>
      <c r="F122" s="1027"/>
      <c r="G122" s="676" t="s">
        <v>14</v>
      </c>
      <c r="H122" s="676" t="s">
        <v>14</v>
      </c>
      <c r="I122" s="1016">
        <f>SUM(I121)</f>
        <v>0</v>
      </c>
      <c r="J122" s="1053"/>
    </row>
    <row r="123" spans="1:13" s="276" customFormat="1" ht="42" customHeight="1" x14ac:dyDescent="0.25">
      <c r="A123" s="1217" t="s">
        <v>288</v>
      </c>
      <c r="B123" s="1217"/>
      <c r="C123" s="1217"/>
      <c r="D123" s="1217"/>
      <c r="E123" s="1217"/>
      <c r="F123" s="1217"/>
      <c r="G123" s="1217"/>
      <c r="H123" s="1217"/>
      <c r="I123" s="1217"/>
      <c r="J123" s="1217"/>
      <c r="K123" s="292"/>
    </row>
    <row r="124" spans="1:13" ht="25.5" customHeight="1" x14ac:dyDescent="0.25">
      <c r="A124" s="694" t="s">
        <v>1</v>
      </c>
      <c r="B124" s="1176" t="s">
        <v>23</v>
      </c>
      <c r="C124" s="1176"/>
      <c r="D124" s="1176"/>
      <c r="E124" s="1176"/>
      <c r="F124" s="1176"/>
      <c r="G124" s="1176" t="s">
        <v>24</v>
      </c>
      <c r="H124" s="1176"/>
      <c r="I124" s="1176" t="s">
        <v>25</v>
      </c>
      <c r="J124" s="1176"/>
    </row>
    <row r="125" spans="1:13" ht="12" customHeight="1" x14ac:dyDescent="0.25">
      <c r="A125" s="681">
        <v>1</v>
      </c>
      <c r="B125" s="1015">
        <v>2</v>
      </c>
      <c r="C125" s="1015"/>
      <c r="D125" s="1015"/>
      <c r="E125" s="1015"/>
      <c r="F125" s="1015"/>
      <c r="G125" s="1015">
        <v>3</v>
      </c>
      <c r="H125" s="1015"/>
      <c r="I125" s="1015">
        <v>4</v>
      </c>
      <c r="J125" s="1015"/>
    </row>
    <row r="126" spans="1:13" ht="17.25" customHeight="1" x14ac:dyDescent="0.25">
      <c r="A126" s="676" t="s">
        <v>70</v>
      </c>
      <c r="B126" s="1050" t="s">
        <v>26</v>
      </c>
      <c r="C126" s="1050"/>
      <c r="D126" s="1050"/>
      <c r="E126" s="1050"/>
      <c r="F126" s="1050"/>
      <c r="G126" s="1013" t="s">
        <v>14</v>
      </c>
      <c r="H126" s="1013"/>
      <c r="I126" s="1198">
        <f>SUM(I128:J130)</f>
        <v>22262679.999999989</v>
      </c>
      <c r="J126" s="1198"/>
    </row>
    <row r="127" spans="1:13" ht="16.5" customHeight="1" x14ac:dyDescent="0.25">
      <c r="A127" s="349"/>
      <c r="B127" s="1026" t="s">
        <v>9</v>
      </c>
      <c r="C127" s="1052"/>
      <c r="D127" s="1052"/>
      <c r="E127" s="1052"/>
      <c r="F127" s="1027"/>
      <c r="G127" s="1051"/>
      <c r="H127" s="1051"/>
      <c r="I127" s="1198"/>
      <c r="J127" s="1198"/>
    </row>
    <row r="128" spans="1:13" ht="17.25" customHeight="1" x14ac:dyDescent="0.25">
      <c r="A128" s="676" t="s">
        <v>27</v>
      </c>
      <c r="B128" s="1220" t="s">
        <v>28</v>
      </c>
      <c r="C128" s="1220"/>
      <c r="D128" s="1220"/>
      <c r="E128" s="1220"/>
      <c r="F128" s="1220"/>
      <c r="G128" s="1210">
        <f>J73</f>
        <v>101193999.99999996</v>
      </c>
      <c r="H128" s="1210"/>
      <c r="I128" s="1198">
        <f>G128*22%</f>
        <v>22262679.999999989</v>
      </c>
      <c r="J128" s="1198"/>
      <c r="L128" s="1210"/>
      <c r="M128" s="1210"/>
    </row>
    <row r="129" spans="1:13" ht="15" customHeight="1" x14ac:dyDescent="0.25">
      <c r="A129" s="676" t="s">
        <v>29</v>
      </c>
      <c r="B129" s="1040" t="s">
        <v>30</v>
      </c>
      <c r="C129" s="1040"/>
      <c r="D129" s="1040"/>
      <c r="E129" s="1040"/>
      <c r="F129" s="1040"/>
      <c r="G129" s="1051">
        <v>0</v>
      </c>
      <c r="H129" s="1051"/>
      <c r="I129" s="1198">
        <f>G129*10%</f>
        <v>0</v>
      </c>
      <c r="J129" s="1198"/>
      <c r="L129" s="1051"/>
      <c r="M129" s="1051"/>
    </row>
    <row r="130" spans="1:13" ht="29.45" customHeight="1" x14ac:dyDescent="0.25">
      <c r="A130" s="676" t="s">
        <v>31</v>
      </c>
      <c r="B130" s="1050" t="s">
        <v>32</v>
      </c>
      <c r="C130" s="1050"/>
      <c r="D130" s="1050"/>
      <c r="E130" s="1050"/>
      <c r="F130" s="1050"/>
      <c r="G130" s="1051"/>
      <c r="H130" s="1051"/>
      <c r="I130" s="1198"/>
      <c r="J130" s="1198"/>
    </row>
    <row r="131" spans="1:13" ht="29.25" customHeight="1" x14ac:dyDescent="0.25">
      <c r="A131" s="676" t="s">
        <v>75</v>
      </c>
      <c r="B131" s="1050" t="s">
        <v>33</v>
      </c>
      <c r="C131" s="1050"/>
      <c r="D131" s="1050"/>
      <c r="E131" s="1050"/>
      <c r="F131" s="1050"/>
      <c r="G131" s="1013" t="s">
        <v>14</v>
      </c>
      <c r="H131" s="1013"/>
      <c r="I131" s="1198">
        <f>SUM(I133:J137)</f>
        <v>3137013.9999999986</v>
      </c>
      <c r="J131" s="1198"/>
    </row>
    <row r="132" spans="1:13" ht="15.75" customHeight="1" x14ac:dyDescent="0.25">
      <c r="A132" s="349"/>
      <c r="B132" s="1026" t="s">
        <v>9</v>
      </c>
      <c r="C132" s="1052"/>
      <c r="D132" s="1052"/>
      <c r="E132" s="1052"/>
      <c r="F132" s="1027"/>
      <c r="G132" s="1051"/>
      <c r="H132" s="1051"/>
      <c r="I132" s="1198"/>
      <c r="J132" s="1198"/>
    </row>
    <row r="133" spans="1:13" ht="27.75" customHeight="1" x14ac:dyDescent="0.25">
      <c r="A133" s="676" t="s">
        <v>34</v>
      </c>
      <c r="B133" s="1050" t="s">
        <v>35</v>
      </c>
      <c r="C133" s="1050"/>
      <c r="D133" s="1050"/>
      <c r="E133" s="1050"/>
      <c r="F133" s="1050"/>
      <c r="G133" s="1210">
        <f>G128+G129</f>
        <v>101193999.99999996</v>
      </c>
      <c r="H133" s="1210"/>
      <c r="I133" s="1198">
        <f>G133*2.9%</f>
        <v>2934625.9999999986</v>
      </c>
      <c r="J133" s="1198"/>
    </row>
    <row r="134" spans="1:13" ht="15" customHeight="1" x14ac:dyDescent="0.25">
      <c r="A134" s="676" t="s">
        <v>36</v>
      </c>
      <c r="B134" s="1050" t="s">
        <v>37</v>
      </c>
      <c r="C134" s="1050"/>
      <c r="D134" s="1050"/>
      <c r="E134" s="1050"/>
      <c r="F134" s="1050"/>
      <c r="G134" s="1051"/>
      <c r="H134" s="1051"/>
      <c r="I134" s="1198"/>
      <c r="J134" s="1198"/>
    </row>
    <row r="135" spans="1:13" ht="35.25" customHeight="1" x14ac:dyDescent="0.25">
      <c r="A135" s="676" t="s">
        <v>38</v>
      </c>
      <c r="B135" s="1050" t="s">
        <v>39</v>
      </c>
      <c r="C135" s="1050"/>
      <c r="D135" s="1050"/>
      <c r="E135" s="1050"/>
      <c r="F135" s="1050"/>
      <c r="G135" s="1210">
        <f>G128+G129</f>
        <v>101193999.99999996</v>
      </c>
      <c r="H135" s="1210"/>
      <c r="I135" s="1198">
        <f>G135*0.2%</f>
        <v>202387.99999999991</v>
      </c>
      <c r="J135" s="1198"/>
    </row>
    <row r="136" spans="1:13" s="276" customFormat="1" ht="15" customHeight="1" x14ac:dyDescent="0.25">
      <c r="A136" s="676" t="s">
        <v>40</v>
      </c>
      <c r="B136" s="1050" t="s">
        <v>41</v>
      </c>
      <c r="C136" s="1050"/>
      <c r="D136" s="1050"/>
      <c r="E136" s="1050"/>
      <c r="F136" s="1050"/>
      <c r="G136" s="1051"/>
      <c r="H136" s="1051"/>
      <c r="I136" s="1198"/>
      <c r="J136" s="1198"/>
      <c r="K136" s="292"/>
    </row>
    <row r="137" spans="1:13" ht="15" customHeight="1" x14ac:dyDescent="0.25">
      <c r="A137" s="676" t="s">
        <v>42</v>
      </c>
      <c r="B137" s="1050" t="s">
        <v>41</v>
      </c>
      <c r="C137" s="1050"/>
      <c r="D137" s="1050"/>
      <c r="E137" s="1050"/>
      <c r="F137" s="1050"/>
      <c r="G137" s="1051"/>
      <c r="H137" s="1051"/>
      <c r="I137" s="1198"/>
      <c r="J137" s="1198"/>
    </row>
    <row r="138" spans="1:13" ht="30" customHeight="1" x14ac:dyDescent="0.25">
      <c r="A138" s="676" t="s">
        <v>77</v>
      </c>
      <c r="B138" s="1050" t="s">
        <v>43</v>
      </c>
      <c r="C138" s="1050"/>
      <c r="D138" s="1050"/>
      <c r="E138" s="1050"/>
      <c r="F138" s="1050"/>
      <c r="G138" s="1210">
        <f>G128+G129</f>
        <v>101193999.99999996</v>
      </c>
      <c r="H138" s="1210"/>
      <c r="I138" s="1198">
        <f>G138*5.1%-174778-13810</f>
        <v>4972305.9999999972</v>
      </c>
      <c r="J138" s="1198"/>
    </row>
    <row r="139" spans="1:13" ht="19.5" customHeight="1" x14ac:dyDescent="0.25">
      <c r="A139" s="676"/>
      <c r="B139" s="1014" t="s">
        <v>324</v>
      </c>
      <c r="C139" s="1014"/>
      <c r="D139" s="1014"/>
      <c r="E139" s="1014"/>
      <c r="F139" s="1014"/>
      <c r="G139" s="1053" t="s">
        <v>14</v>
      </c>
      <c r="H139" s="1053"/>
      <c r="I139" s="1124">
        <f>I126+I131+I138</f>
        <v>30371999.999999985</v>
      </c>
      <c r="J139" s="1124"/>
    </row>
    <row r="140" spans="1:13" ht="36" customHeight="1" x14ac:dyDescent="0.25">
      <c r="A140" s="694" t="s">
        <v>1</v>
      </c>
      <c r="B140" s="1120" t="s">
        <v>23</v>
      </c>
      <c r="C140" s="1223"/>
      <c r="D140" s="1223"/>
      <c r="E140" s="1223"/>
      <c r="F140" s="1121"/>
      <c r="G140" s="1120" t="s">
        <v>24</v>
      </c>
      <c r="H140" s="1121"/>
      <c r="I140" s="1120" t="s">
        <v>25</v>
      </c>
      <c r="J140" s="1121"/>
    </row>
    <row r="141" spans="1:13" ht="11.25" customHeight="1" x14ac:dyDescent="0.25">
      <c r="A141" s="681">
        <v>1</v>
      </c>
      <c r="B141" s="1024">
        <v>2</v>
      </c>
      <c r="C141" s="1077"/>
      <c r="D141" s="1077"/>
      <c r="E141" s="1077"/>
      <c r="F141" s="1025"/>
      <c r="G141" s="1024">
        <v>3</v>
      </c>
      <c r="H141" s="1025"/>
      <c r="I141" s="1024">
        <v>4</v>
      </c>
      <c r="J141" s="1025"/>
    </row>
    <row r="142" spans="1:13" ht="20.25" customHeight="1" x14ac:dyDescent="0.25">
      <c r="A142" s="676" t="s">
        <v>70</v>
      </c>
      <c r="B142" s="1104" t="s">
        <v>26</v>
      </c>
      <c r="C142" s="1105"/>
      <c r="D142" s="1105"/>
      <c r="E142" s="1105"/>
      <c r="F142" s="1106"/>
      <c r="G142" s="1026" t="s">
        <v>14</v>
      </c>
      <c r="H142" s="1027"/>
      <c r="I142" s="1116">
        <f>SUM(I144:J146)</f>
        <v>42484</v>
      </c>
      <c r="J142" s="1117"/>
    </row>
    <row r="143" spans="1:13" ht="18" customHeight="1" x14ac:dyDescent="0.25">
      <c r="A143" s="349"/>
      <c r="B143" s="1026" t="s">
        <v>9</v>
      </c>
      <c r="C143" s="1052"/>
      <c r="D143" s="1052"/>
      <c r="E143" s="1052"/>
      <c r="F143" s="1027"/>
      <c r="G143" s="1113"/>
      <c r="H143" s="1114"/>
      <c r="I143" s="1116"/>
      <c r="J143" s="1117"/>
    </row>
    <row r="144" spans="1:13" s="276" customFormat="1" ht="20.25" customHeight="1" x14ac:dyDescent="0.25">
      <c r="A144" s="676" t="s">
        <v>27</v>
      </c>
      <c r="B144" s="1224" t="s">
        <v>28</v>
      </c>
      <c r="C144" s="1225"/>
      <c r="D144" s="1225"/>
      <c r="E144" s="1225"/>
      <c r="F144" s="1226"/>
      <c r="G144" s="1102">
        <f>J93</f>
        <v>238000</v>
      </c>
      <c r="H144" s="1103"/>
      <c r="I144" s="1116">
        <f>G144*22%-11232+1356</f>
        <v>42484</v>
      </c>
      <c r="J144" s="1117"/>
      <c r="K144" s="292"/>
    </row>
    <row r="145" spans="1:13" x14ac:dyDescent="0.25">
      <c r="A145" s="676" t="s">
        <v>29</v>
      </c>
      <c r="B145" s="1017" t="s">
        <v>30</v>
      </c>
      <c r="C145" s="1018"/>
      <c r="D145" s="1018"/>
      <c r="E145" s="1018"/>
      <c r="F145" s="1019"/>
      <c r="G145" s="1113"/>
      <c r="H145" s="1114"/>
      <c r="I145" s="1116"/>
      <c r="J145" s="1117"/>
    </row>
    <row r="146" spans="1:13" ht="15" customHeight="1" x14ac:dyDescent="0.25">
      <c r="A146" s="676" t="s">
        <v>31</v>
      </c>
      <c r="B146" s="1104" t="s">
        <v>32</v>
      </c>
      <c r="C146" s="1105"/>
      <c r="D146" s="1105"/>
      <c r="E146" s="1105"/>
      <c r="F146" s="1106"/>
      <c r="G146" s="1113"/>
      <c r="H146" s="1114"/>
      <c r="I146" s="1116"/>
      <c r="J146" s="1117"/>
    </row>
    <row r="147" spans="1:13" ht="15" customHeight="1" x14ac:dyDescent="0.25">
      <c r="A147" s="676" t="s">
        <v>75</v>
      </c>
      <c r="B147" s="1104" t="s">
        <v>33</v>
      </c>
      <c r="C147" s="1105"/>
      <c r="D147" s="1105"/>
      <c r="E147" s="1105"/>
      <c r="F147" s="1106"/>
      <c r="G147" s="1026" t="s">
        <v>14</v>
      </c>
      <c r="H147" s="1027"/>
      <c r="I147" s="1116">
        <f>I149+I150+I151</f>
        <v>7377.9999999999991</v>
      </c>
      <c r="J147" s="1117"/>
    </row>
    <row r="148" spans="1:13" ht="15" customHeight="1" x14ac:dyDescent="0.25">
      <c r="A148" s="349"/>
      <c r="B148" s="1026" t="s">
        <v>9</v>
      </c>
      <c r="C148" s="1052"/>
      <c r="D148" s="1052"/>
      <c r="E148" s="1052"/>
      <c r="F148" s="1027"/>
      <c r="G148" s="1113"/>
      <c r="H148" s="1114"/>
      <c r="I148" s="1116"/>
      <c r="J148" s="1117"/>
    </row>
    <row r="149" spans="1:13" ht="26.25" customHeight="1" x14ac:dyDescent="0.25">
      <c r="A149" s="676" t="s">
        <v>34</v>
      </c>
      <c r="B149" s="1104" t="s">
        <v>35</v>
      </c>
      <c r="C149" s="1105"/>
      <c r="D149" s="1105"/>
      <c r="E149" s="1105"/>
      <c r="F149" s="1106"/>
      <c r="G149" s="1102">
        <f>G144</f>
        <v>238000</v>
      </c>
      <c r="H149" s="1103"/>
      <c r="I149" s="1116">
        <f>G149*2.9%</f>
        <v>6901.9999999999991</v>
      </c>
      <c r="J149" s="1117"/>
    </row>
    <row r="150" spans="1:13" x14ac:dyDescent="0.25">
      <c r="A150" s="676" t="s">
        <v>36</v>
      </c>
      <c r="B150" s="1104" t="s">
        <v>37</v>
      </c>
      <c r="C150" s="1105"/>
      <c r="D150" s="1105"/>
      <c r="E150" s="1105"/>
      <c r="F150" s="1106"/>
      <c r="G150" s="1113"/>
      <c r="H150" s="1114"/>
      <c r="I150" s="1116"/>
      <c r="J150" s="1117"/>
    </row>
    <row r="151" spans="1:13" ht="26.25" customHeight="1" x14ac:dyDescent="0.25">
      <c r="A151" s="676" t="s">
        <v>38</v>
      </c>
      <c r="B151" s="1104" t="s">
        <v>39</v>
      </c>
      <c r="C151" s="1105"/>
      <c r="D151" s="1105"/>
      <c r="E151" s="1105"/>
      <c r="F151" s="1106"/>
      <c r="G151" s="1102">
        <f>G144</f>
        <v>238000</v>
      </c>
      <c r="H151" s="1103"/>
      <c r="I151" s="1116">
        <f>G151*0.2%</f>
        <v>476</v>
      </c>
      <c r="J151" s="1117"/>
    </row>
    <row r="152" spans="1:13" s="276" customFormat="1" ht="14.25" customHeight="1" x14ac:dyDescent="0.25">
      <c r="A152" s="676" t="s">
        <v>40</v>
      </c>
      <c r="B152" s="1104" t="s">
        <v>41</v>
      </c>
      <c r="C152" s="1105"/>
      <c r="D152" s="1105"/>
      <c r="E152" s="1105"/>
      <c r="F152" s="1106"/>
      <c r="G152" s="1113"/>
      <c r="H152" s="1114"/>
      <c r="I152" s="1116"/>
      <c r="J152" s="1117"/>
      <c r="K152" s="292"/>
    </row>
    <row r="153" spans="1:13" ht="15" customHeight="1" x14ac:dyDescent="0.25">
      <c r="A153" s="676" t="s">
        <v>42</v>
      </c>
      <c r="B153" s="1104" t="s">
        <v>41</v>
      </c>
      <c r="C153" s="1105"/>
      <c r="D153" s="1105"/>
      <c r="E153" s="1105"/>
      <c r="F153" s="1106"/>
      <c r="G153" s="1113"/>
      <c r="H153" s="1114"/>
      <c r="I153" s="1116"/>
      <c r="J153" s="1117"/>
    </row>
    <row r="154" spans="1:13" x14ac:dyDescent="0.25">
      <c r="A154" s="676" t="s">
        <v>77</v>
      </c>
      <c r="B154" s="1104" t="s">
        <v>43</v>
      </c>
      <c r="C154" s="1105"/>
      <c r="D154" s="1105"/>
      <c r="E154" s="1105"/>
      <c r="F154" s="1106"/>
      <c r="G154" s="1102">
        <f>G144</f>
        <v>238000</v>
      </c>
      <c r="H154" s="1103"/>
      <c r="I154" s="1116">
        <f>G154*5.1%</f>
        <v>12138</v>
      </c>
      <c r="J154" s="1117"/>
    </row>
    <row r="155" spans="1:13" x14ac:dyDescent="0.25">
      <c r="A155" s="676"/>
      <c r="B155" s="1125" t="s">
        <v>373</v>
      </c>
      <c r="C155" s="1126"/>
      <c r="D155" s="1126"/>
      <c r="E155" s="1126"/>
      <c r="F155" s="1127"/>
      <c r="G155" s="1031" t="s">
        <v>14</v>
      </c>
      <c r="H155" s="1033"/>
      <c r="I155" s="1270">
        <f>I142+I147+I154</f>
        <v>62000</v>
      </c>
      <c r="J155" s="1271"/>
    </row>
    <row r="156" spans="1:13" x14ac:dyDescent="0.25">
      <c r="A156" s="676"/>
      <c r="B156" s="1125" t="s">
        <v>506</v>
      </c>
      <c r="C156" s="1126"/>
      <c r="D156" s="1126"/>
      <c r="E156" s="1126"/>
      <c r="F156" s="1127"/>
      <c r="G156" s="671"/>
      <c r="H156" s="672"/>
      <c r="I156" s="1270">
        <v>0</v>
      </c>
      <c r="J156" s="1271"/>
    </row>
    <row r="157" spans="1:13" x14ac:dyDescent="0.25">
      <c r="A157" s="676"/>
      <c r="B157" s="1031" t="s">
        <v>539</v>
      </c>
      <c r="C157" s="1032"/>
      <c r="D157" s="1032"/>
      <c r="E157" s="1032"/>
      <c r="F157" s="1033"/>
      <c r="G157" s="671"/>
      <c r="H157" s="672"/>
      <c r="I157" s="1128">
        <v>0</v>
      </c>
      <c r="J157" s="1129"/>
    </row>
    <row r="158" spans="1:13" s="276" customFormat="1" ht="18" customHeight="1" x14ac:dyDescent="0.25">
      <c r="A158" s="676"/>
      <c r="B158" s="1014" t="s">
        <v>325</v>
      </c>
      <c r="C158" s="1014"/>
      <c r="D158" s="1014"/>
      <c r="E158" s="1014"/>
      <c r="F158" s="1014"/>
      <c r="G158" s="1053" t="s">
        <v>14</v>
      </c>
      <c r="H158" s="1053"/>
      <c r="I158" s="1124">
        <f>I139+I155+I156+I157</f>
        <v>30433999.999999985</v>
      </c>
      <c r="J158" s="1124"/>
      <c r="K158" s="402"/>
      <c r="L158" s="402"/>
      <c r="M158" s="284"/>
    </row>
    <row r="159" spans="1:13" s="276" customFormat="1" ht="3" customHeight="1" x14ac:dyDescent="0.25">
      <c r="A159" s="1142" t="s">
        <v>414</v>
      </c>
      <c r="B159" s="1142"/>
      <c r="C159" s="1142"/>
      <c r="D159" s="1142"/>
      <c r="E159" s="1142"/>
      <c r="F159" s="1142"/>
      <c r="G159" s="1142"/>
      <c r="H159" s="1142"/>
      <c r="I159" s="1142"/>
      <c r="J159" s="1142"/>
      <c r="K159" s="292"/>
    </row>
    <row r="160" spans="1:13" ht="19.5" hidden="1" customHeight="1" x14ac:dyDescent="0.25">
      <c r="A160" s="1123" t="s">
        <v>370</v>
      </c>
      <c r="B160" s="1123"/>
      <c r="C160" s="1123"/>
      <c r="D160" s="1123"/>
      <c r="E160" s="1123"/>
      <c r="F160" s="1123"/>
      <c r="G160" s="1123"/>
      <c r="H160" s="1123"/>
      <c r="I160" s="1123"/>
      <c r="J160" s="1123"/>
      <c r="K160" s="300"/>
      <c r="L160" s="279"/>
    </row>
    <row r="161" spans="1:12" ht="15" hidden="1" customHeight="1" x14ac:dyDescent="0.25">
      <c r="A161" s="324" t="s">
        <v>80</v>
      </c>
      <c r="B161" s="325"/>
      <c r="C161" s="328">
        <v>321</v>
      </c>
      <c r="D161" s="328"/>
      <c r="E161" s="328"/>
      <c r="F161" s="329"/>
      <c r="G161" s="329"/>
      <c r="H161" s="329"/>
      <c r="I161" s="329"/>
      <c r="J161" s="442"/>
      <c r="K161" s="300"/>
      <c r="L161" s="279"/>
    </row>
    <row r="162" spans="1:12" ht="16.5" hidden="1" customHeight="1" x14ac:dyDescent="0.25">
      <c r="A162" s="324" t="s">
        <v>81</v>
      </c>
      <c r="B162" s="325"/>
      <c r="C162" s="325"/>
      <c r="D162" s="325"/>
      <c r="E162" s="330"/>
      <c r="F162" s="331"/>
      <c r="G162" s="331"/>
      <c r="H162" s="331"/>
      <c r="I162" s="331"/>
      <c r="J162" s="443"/>
      <c r="K162" s="300"/>
      <c r="L162" s="279"/>
    </row>
    <row r="163" spans="1:12" ht="36" hidden="1" customHeight="1" x14ac:dyDescent="0.25">
      <c r="A163" s="681" t="s">
        <v>1</v>
      </c>
      <c r="B163" s="1024" t="s">
        <v>44</v>
      </c>
      <c r="C163" s="1077"/>
      <c r="D163" s="1025"/>
      <c r="E163" s="1024" t="s">
        <v>45</v>
      </c>
      <c r="F163" s="1025"/>
      <c r="G163" s="1024" t="s">
        <v>46</v>
      </c>
      <c r="H163" s="1025"/>
      <c r="I163" s="1024" t="s">
        <v>102</v>
      </c>
      <c r="J163" s="1025"/>
      <c r="K163" s="300"/>
      <c r="L163" s="279"/>
    </row>
    <row r="164" spans="1:12" ht="16.5" hidden="1" customHeight="1" x14ac:dyDescent="0.25">
      <c r="A164" s="681">
        <v>1</v>
      </c>
      <c r="B164" s="1024">
        <v>2</v>
      </c>
      <c r="C164" s="1077"/>
      <c r="D164" s="1025"/>
      <c r="E164" s="1024">
        <v>3</v>
      </c>
      <c r="F164" s="1025"/>
      <c r="G164" s="1024">
        <v>4</v>
      </c>
      <c r="H164" s="1025"/>
      <c r="I164" s="1024">
        <v>5</v>
      </c>
      <c r="J164" s="1025"/>
      <c r="K164" s="300"/>
      <c r="L164" s="279"/>
    </row>
    <row r="165" spans="1:12" ht="89.25" hidden="1" customHeight="1" x14ac:dyDescent="0.25">
      <c r="A165" s="696" t="s">
        <v>70</v>
      </c>
      <c r="B165" s="1017" t="s">
        <v>361</v>
      </c>
      <c r="C165" s="1018"/>
      <c r="D165" s="1019"/>
      <c r="E165" s="1118"/>
      <c r="F165" s="1119"/>
      <c r="G165" s="1118"/>
      <c r="H165" s="1119"/>
      <c r="I165" s="1118">
        <v>0</v>
      </c>
      <c r="J165" s="1119"/>
    </row>
    <row r="166" spans="1:12" ht="28.5" hidden="1" customHeight="1" x14ac:dyDescent="0.25">
      <c r="A166" s="676" t="s">
        <v>75</v>
      </c>
      <c r="B166" s="1017" t="s">
        <v>360</v>
      </c>
      <c r="C166" s="1018"/>
      <c r="D166" s="1019"/>
      <c r="E166" s="1118"/>
      <c r="F166" s="1119"/>
      <c r="G166" s="1118"/>
      <c r="H166" s="1119"/>
      <c r="I166" s="1118"/>
      <c r="J166" s="1119"/>
    </row>
    <row r="167" spans="1:12" ht="28.5" hidden="1" customHeight="1" x14ac:dyDescent="0.25">
      <c r="A167" s="676" t="s">
        <v>77</v>
      </c>
      <c r="B167" s="1214" t="s">
        <v>366</v>
      </c>
      <c r="C167" s="1215"/>
      <c r="D167" s="1216"/>
      <c r="E167" s="1118"/>
      <c r="F167" s="1122"/>
      <c r="G167" s="1118"/>
      <c r="H167" s="1122"/>
      <c r="I167" s="1118"/>
      <c r="J167" s="1122"/>
    </row>
    <row r="168" spans="1:12" hidden="1" x14ac:dyDescent="0.25">
      <c r="A168" s="679"/>
      <c r="B168" s="1125" t="s">
        <v>13</v>
      </c>
      <c r="C168" s="1126"/>
      <c r="D168" s="1127"/>
      <c r="E168" s="1031" t="s">
        <v>14</v>
      </c>
      <c r="F168" s="1033"/>
      <c r="G168" s="1031" t="s">
        <v>14</v>
      </c>
      <c r="H168" s="1033"/>
      <c r="I168" s="1072">
        <f>I165+I166+I167</f>
        <v>0</v>
      </c>
      <c r="J168" s="1033"/>
    </row>
    <row r="169" spans="1:12" s="276" customFormat="1" ht="19.5" customHeight="1" x14ac:dyDescent="0.25">
      <c r="A169" s="1123" t="s">
        <v>1080</v>
      </c>
      <c r="B169" s="1123"/>
      <c r="C169" s="1123"/>
      <c r="D169" s="1123"/>
      <c r="E169" s="1123"/>
      <c r="F169" s="1123"/>
      <c r="G169" s="1123"/>
      <c r="H169" s="1123"/>
      <c r="I169" s="1123"/>
      <c r="J169" s="1123"/>
      <c r="K169" s="292"/>
    </row>
    <row r="170" spans="1:12" s="276" customFormat="1" ht="21.75" customHeight="1" x14ac:dyDescent="0.25">
      <c r="A170" s="324" t="s">
        <v>80</v>
      </c>
      <c r="B170" s="325"/>
      <c r="C170" s="328">
        <v>321</v>
      </c>
      <c r="D170" s="328"/>
      <c r="E170" s="328"/>
      <c r="F170" s="329"/>
      <c r="G170" s="329"/>
      <c r="H170" s="329"/>
      <c r="I170" s="329"/>
      <c r="J170" s="442"/>
      <c r="K170" s="292"/>
    </row>
    <row r="171" spans="1:12" s="276" customFormat="1" ht="23.25" customHeight="1" x14ac:dyDescent="0.25">
      <c r="A171" s="324" t="s">
        <v>81</v>
      </c>
      <c r="B171" s="325"/>
      <c r="C171" s="325"/>
      <c r="D171" s="1115" t="s">
        <v>195</v>
      </c>
      <c r="E171" s="1115"/>
      <c r="F171" s="1115"/>
      <c r="G171" s="1115"/>
      <c r="H171" s="1115"/>
      <c r="I171" s="1115"/>
      <c r="J171" s="1115"/>
      <c r="K171" s="292"/>
    </row>
    <row r="172" spans="1:12" s="276" customFormat="1" ht="19.5" customHeight="1" x14ac:dyDescent="0.25">
      <c r="A172" s="681" t="s">
        <v>1</v>
      </c>
      <c r="B172" s="1024" t="s">
        <v>44</v>
      </c>
      <c r="C172" s="1077"/>
      <c r="D172" s="1025"/>
      <c r="E172" s="1024" t="s">
        <v>45</v>
      </c>
      <c r="F172" s="1025"/>
      <c r="G172" s="1024" t="s">
        <v>46</v>
      </c>
      <c r="H172" s="1025"/>
      <c r="I172" s="1024" t="s">
        <v>102</v>
      </c>
      <c r="J172" s="1025"/>
      <c r="K172" s="292"/>
    </row>
    <row r="173" spans="1:12" s="276" customFormat="1" ht="14.25" customHeight="1" x14ac:dyDescent="0.25">
      <c r="A173" s="681">
        <v>1</v>
      </c>
      <c r="B173" s="1024">
        <v>2</v>
      </c>
      <c r="C173" s="1077"/>
      <c r="D173" s="1025"/>
      <c r="E173" s="1024">
        <v>3</v>
      </c>
      <c r="F173" s="1025"/>
      <c r="G173" s="1024">
        <v>4</v>
      </c>
      <c r="H173" s="1025"/>
      <c r="I173" s="1024">
        <v>5</v>
      </c>
      <c r="J173" s="1025"/>
      <c r="K173" s="292"/>
    </row>
    <row r="174" spans="1:12" s="276" customFormat="1" ht="45.75" customHeight="1" x14ac:dyDescent="0.25">
      <c r="A174" s="696" t="s">
        <v>70</v>
      </c>
      <c r="B174" s="1017" t="s">
        <v>1162</v>
      </c>
      <c r="C174" s="1018"/>
      <c r="D174" s="1019"/>
      <c r="E174" s="1026">
        <v>207</v>
      </c>
      <c r="F174" s="1027"/>
      <c r="G174" s="1026">
        <v>0</v>
      </c>
      <c r="H174" s="1027"/>
      <c r="I174" s="1118">
        <f>20*207*160</f>
        <v>662400</v>
      </c>
      <c r="J174" s="1119"/>
      <c r="K174" s="292"/>
    </row>
    <row r="175" spans="1:12" s="276" customFormat="1" ht="1.5" hidden="1" customHeight="1" x14ac:dyDescent="0.25">
      <c r="A175" s="676" t="s">
        <v>75</v>
      </c>
      <c r="B175" s="1026" t="s">
        <v>360</v>
      </c>
      <c r="C175" s="1052"/>
      <c r="D175" s="1027"/>
      <c r="E175" s="669"/>
      <c r="F175" s="670"/>
      <c r="G175" s="669"/>
      <c r="H175" s="670"/>
      <c r="I175" s="686"/>
      <c r="J175" s="687"/>
      <c r="K175" s="292"/>
    </row>
    <row r="176" spans="1:12" s="276" customFormat="1" ht="38.25" hidden="1" customHeight="1" x14ac:dyDescent="0.25">
      <c r="A176" s="676" t="s">
        <v>75</v>
      </c>
      <c r="B176" s="1214"/>
      <c r="C176" s="1215"/>
      <c r="D176" s="1216"/>
      <c r="E176" s="1026"/>
      <c r="F176" s="1027"/>
      <c r="G176" s="1026">
        <f>4*3</f>
        <v>12</v>
      </c>
      <c r="H176" s="1027"/>
      <c r="I176" s="1118"/>
      <c r="J176" s="1119"/>
      <c r="K176" s="292"/>
    </row>
    <row r="177" spans="1:12" s="276" customFormat="1" ht="18" customHeight="1" x14ac:dyDescent="0.25">
      <c r="A177" s="679"/>
      <c r="B177" s="1031" t="s">
        <v>13</v>
      </c>
      <c r="C177" s="1032"/>
      <c r="D177" s="1033"/>
      <c r="E177" s="1031" t="s">
        <v>14</v>
      </c>
      <c r="F177" s="1033"/>
      <c r="G177" s="1031" t="s">
        <v>14</v>
      </c>
      <c r="H177" s="1033"/>
      <c r="I177" s="1143">
        <f>I174+I176</f>
        <v>662400</v>
      </c>
      <c r="J177" s="1144"/>
      <c r="K177" s="292"/>
    </row>
    <row r="178" spans="1:12" s="276" customFormat="1" ht="18" customHeight="1" x14ac:dyDescent="0.25">
      <c r="A178" s="1130" t="s">
        <v>362</v>
      </c>
      <c r="B178" s="1130"/>
      <c r="C178" s="1130"/>
      <c r="D178" s="1130"/>
      <c r="E178" s="1130"/>
      <c r="F178" s="1130"/>
      <c r="G178" s="1130"/>
      <c r="H178" s="1130"/>
      <c r="I178" s="1130"/>
      <c r="J178" s="1130"/>
      <c r="K178" s="292"/>
    </row>
    <row r="179" spans="1:12" s="276" customFormat="1" ht="18" customHeight="1" x14ac:dyDescent="0.25">
      <c r="A179" s="324" t="s">
        <v>80</v>
      </c>
      <c r="B179" s="325"/>
      <c r="C179" s="328">
        <v>851</v>
      </c>
      <c r="D179" s="328">
        <v>852</v>
      </c>
      <c r="E179" s="328">
        <v>853</v>
      </c>
      <c r="F179" s="329"/>
      <c r="G179" s="329"/>
      <c r="H179" s="329"/>
      <c r="I179" s="329"/>
      <c r="J179" s="442"/>
      <c r="K179" s="292"/>
    </row>
    <row r="180" spans="1:12" s="276" customFormat="1" ht="18" customHeight="1" x14ac:dyDescent="0.25">
      <c r="A180" s="324" t="s">
        <v>81</v>
      </c>
      <c r="B180" s="325"/>
      <c r="C180" s="325"/>
      <c r="D180" s="1115" t="s">
        <v>82</v>
      </c>
      <c r="E180" s="1115"/>
      <c r="F180" s="1115"/>
      <c r="G180" s="1115"/>
      <c r="H180" s="1115"/>
      <c r="I180" s="331"/>
      <c r="J180" s="443"/>
      <c r="K180" s="292"/>
    </row>
    <row r="181" spans="1:12" s="276" customFormat="1" ht="30.75" customHeight="1" x14ac:dyDescent="0.2">
      <c r="A181" s="681" t="s">
        <v>1</v>
      </c>
      <c r="B181" s="1015" t="s">
        <v>15</v>
      </c>
      <c r="C181" s="1015"/>
      <c r="D181" s="1015"/>
      <c r="E181" s="1015" t="s">
        <v>47</v>
      </c>
      <c r="F181" s="1015"/>
      <c r="G181" s="1015" t="s">
        <v>48</v>
      </c>
      <c r="H181" s="1015"/>
      <c r="I181" s="1015" t="s">
        <v>103</v>
      </c>
      <c r="J181" s="1015"/>
      <c r="K181" s="1021" t="s">
        <v>1116</v>
      </c>
    </row>
    <row r="182" spans="1:12" s="276" customFormat="1" ht="18" customHeight="1" x14ac:dyDescent="0.2">
      <c r="A182" s="681">
        <v>1</v>
      </c>
      <c r="B182" s="1015">
        <v>2</v>
      </c>
      <c r="C182" s="1015"/>
      <c r="D182" s="1015"/>
      <c r="E182" s="1015">
        <v>3</v>
      </c>
      <c r="F182" s="1015"/>
      <c r="G182" s="1015">
        <v>4</v>
      </c>
      <c r="H182" s="1015"/>
      <c r="I182" s="1015">
        <v>5</v>
      </c>
      <c r="J182" s="1015"/>
      <c r="K182" s="1021"/>
    </row>
    <row r="183" spans="1:12" s="276" customFormat="1" ht="29.25" customHeight="1" x14ac:dyDescent="0.25">
      <c r="A183" s="1093" t="s">
        <v>70</v>
      </c>
      <c r="B183" s="1274" t="s">
        <v>289</v>
      </c>
      <c r="C183" s="1275"/>
      <c r="D183" s="709" t="s">
        <v>1090</v>
      </c>
      <c r="E183" s="1234"/>
      <c r="F183" s="1234"/>
      <c r="G183" s="1233">
        <v>2.1999999999999999E-2</v>
      </c>
      <c r="H183" s="1233"/>
      <c r="I183" s="1069">
        <v>64000</v>
      </c>
      <c r="J183" s="1069"/>
      <c r="K183" s="582" t="s">
        <v>1110</v>
      </c>
    </row>
    <row r="184" spans="1:12" s="276" customFormat="1" ht="36" customHeight="1" x14ac:dyDescent="0.25">
      <c r="A184" s="1246"/>
      <c r="B184" s="1275"/>
      <c r="C184" s="1275"/>
      <c r="D184" s="710" t="s">
        <v>1091</v>
      </c>
      <c r="E184" s="1234"/>
      <c r="F184" s="1234"/>
      <c r="G184" s="1233">
        <v>2.1999999999999999E-2</v>
      </c>
      <c r="H184" s="1233"/>
      <c r="I184" s="1069">
        <v>200000</v>
      </c>
      <c r="J184" s="1069"/>
      <c r="K184" s="582"/>
    </row>
    <row r="185" spans="1:12" s="276" customFormat="1" ht="31.5" hidden="1" customHeight="1" x14ac:dyDescent="0.25">
      <c r="A185" s="676" t="s">
        <v>75</v>
      </c>
      <c r="B185" s="1017" t="s">
        <v>291</v>
      </c>
      <c r="C185" s="1018"/>
      <c r="D185" s="1019"/>
      <c r="E185" s="1013">
        <v>0</v>
      </c>
      <c r="F185" s="1013"/>
      <c r="G185" s="1013">
        <v>0</v>
      </c>
      <c r="H185" s="1013"/>
      <c r="I185" s="1069">
        <v>0</v>
      </c>
      <c r="J185" s="1069"/>
      <c r="K185" s="292"/>
    </row>
    <row r="186" spans="1:12" s="276" customFormat="1" ht="46.5" hidden="1" customHeight="1" x14ac:dyDescent="0.25">
      <c r="A186" s="676" t="s">
        <v>77</v>
      </c>
      <c r="B186" s="1017" t="s">
        <v>292</v>
      </c>
      <c r="C186" s="1018"/>
      <c r="D186" s="1019"/>
      <c r="E186" s="1013">
        <v>0</v>
      </c>
      <c r="F186" s="1013"/>
      <c r="G186" s="1013">
        <v>0</v>
      </c>
      <c r="H186" s="1013"/>
      <c r="I186" s="1069">
        <v>0</v>
      </c>
      <c r="J186" s="1069"/>
      <c r="K186" s="292"/>
    </row>
    <row r="187" spans="1:12" s="276" customFormat="1" ht="18" hidden="1" customHeight="1" x14ac:dyDescent="0.25">
      <c r="A187" s="676" t="s">
        <v>86</v>
      </c>
      <c r="B187" s="1017" t="s">
        <v>290</v>
      </c>
      <c r="C187" s="1018"/>
      <c r="D187" s="1019"/>
      <c r="E187" s="1026">
        <v>0</v>
      </c>
      <c r="F187" s="1027"/>
      <c r="G187" s="1026">
        <v>0</v>
      </c>
      <c r="H187" s="1027"/>
      <c r="I187" s="1272">
        <v>0</v>
      </c>
      <c r="J187" s="1273"/>
      <c r="K187" s="304"/>
    </row>
    <row r="188" spans="1:12" s="276" customFormat="1" ht="18" customHeight="1" x14ac:dyDescent="0.25">
      <c r="A188" s="679"/>
      <c r="B188" s="1014" t="s">
        <v>13</v>
      </c>
      <c r="C188" s="1014"/>
      <c r="D188" s="1014"/>
      <c r="E188" s="1053" t="s">
        <v>74</v>
      </c>
      <c r="F188" s="1053"/>
      <c r="G188" s="1053" t="s">
        <v>14</v>
      </c>
      <c r="H188" s="1053"/>
      <c r="I188" s="1016">
        <f>SUM(I183:J187)</f>
        <v>264000</v>
      </c>
      <c r="J188" s="1053"/>
      <c r="K188" s="292"/>
    </row>
    <row r="189" spans="1:12" s="276" customFormat="1" ht="18" hidden="1" customHeight="1" x14ac:dyDescent="0.25">
      <c r="A189" s="1232"/>
      <c r="B189" s="1232"/>
      <c r="C189" s="1232"/>
      <c r="D189" s="1232"/>
      <c r="E189" s="1232"/>
      <c r="F189" s="1232"/>
      <c r="G189" s="1232"/>
      <c r="H189" s="1232"/>
      <c r="I189" s="1232"/>
      <c r="J189" s="1232"/>
      <c r="K189" s="292"/>
    </row>
    <row r="190" spans="1:12" ht="27" hidden="1" customHeight="1" x14ac:dyDescent="0.25">
      <c r="A190" s="1123" t="s">
        <v>85</v>
      </c>
      <c r="B190" s="1123"/>
      <c r="C190" s="1123"/>
      <c r="D190" s="1123"/>
      <c r="E190" s="1123"/>
      <c r="F190" s="1123"/>
      <c r="G190" s="1123"/>
      <c r="H190" s="1123"/>
      <c r="I190" s="1123"/>
      <c r="J190" s="1123"/>
      <c r="K190" s="402"/>
      <c r="L190" s="402"/>
    </row>
    <row r="191" spans="1:12" s="276" customFormat="1" ht="15.75" hidden="1" customHeight="1" x14ac:dyDescent="0.25">
      <c r="A191" s="324" t="s">
        <v>80</v>
      </c>
      <c r="B191" s="325"/>
      <c r="C191" s="328"/>
      <c r="D191" s="328"/>
      <c r="E191" s="328"/>
      <c r="F191" s="329"/>
      <c r="G191" s="329"/>
      <c r="H191" s="329"/>
      <c r="I191" s="329"/>
      <c r="J191" s="442"/>
      <c r="K191" s="294"/>
      <c r="L191" s="285"/>
    </row>
    <row r="192" spans="1:12" s="276" customFormat="1" hidden="1" x14ac:dyDescent="0.25">
      <c r="A192" s="324" t="s">
        <v>81</v>
      </c>
      <c r="B192" s="325"/>
      <c r="C192" s="325"/>
      <c r="D192" s="325"/>
      <c r="E192" s="330"/>
      <c r="F192" s="331"/>
      <c r="G192" s="331"/>
      <c r="H192" s="331"/>
      <c r="I192" s="331"/>
      <c r="J192" s="443"/>
      <c r="K192" s="292"/>
    </row>
    <row r="193" spans="1:13" ht="24.75" hidden="1" customHeight="1" x14ac:dyDescent="0.25">
      <c r="A193" s="681" t="s">
        <v>1</v>
      </c>
      <c r="B193" s="1015" t="s">
        <v>44</v>
      </c>
      <c r="C193" s="1015"/>
      <c r="D193" s="1015"/>
      <c r="E193" s="1015" t="s">
        <v>45</v>
      </c>
      <c r="F193" s="1015"/>
      <c r="G193" s="1015" t="s">
        <v>46</v>
      </c>
      <c r="H193" s="1015"/>
      <c r="I193" s="1015" t="s">
        <v>102</v>
      </c>
      <c r="J193" s="1015"/>
      <c r="K193" s="300"/>
      <c r="L193" s="279"/>
    </row>
    <row r="194" spans="1:13" ht="14.25" hidden="1" customHeight="1" x14ac:dyDescent="0.25">
      <c r="A194" s="681">
        <v>1</v>
      </c>
      <c r="B194" s="1015">
        <v>2</v>
      </c>
      <c r="C194" s="1015"/>
      <c r="D194" s="1015"/>
      <c r="E194" s="1015">
        <v>3</v>
      </c>
      <c r="F194" s="1015"/>
      <c r="G194" s="1015">
        <v>4</v>
      </c>
      <c r="H194" s="1015"/>
      <c r="I194" s="1015">
        <v>5</v>
      </c>
      <c r="J194" s="1015"/>
      <c r="K194" s="301"/>
      <c r="L194" s="286"/>
    </row>
    <row r="195" spans="1:13" ht="15" hidden="1" customHeight="1" x14ac:dyDescent="0.25">
      <c r="A195" s="676"/>
      <c r="B195" s="1026"/>
      <c r="C195" s="1052"/>
      <c r="D195" s="1027"/>
      <c r="E195" s="1026"/>
      <c r="F195" s="1027"/>
      <c r="G195" s="1026"/>
      <c r="H195" s="1027"/>
      <c r="I195" s="1026"/>
      <c r="J195" s="1027"/>
      <c r="K195" s="300"/>
      <c r="L195" s="279"/>
    </row>
    <row r="196" spans="1:13" ht="17.25" hidden="1" customHeight="1" x14ac:dyDescent="0.25">
      <c r="A196" s="679"/>
      <c r="B196" s="1014" t="s">
        <v>13</v>
      </c>
      <c r="C196" s="1014"/>
      <c r="D196" s="1014"/>
      <c r="E196" s="1053" t="s">
        <v>14</v>
      </c>
      <c r="F196" s="1053"/>
      <c r="G196" s="1053" t="s">
        <v>14</v>
      </c>
      <c r="H196" s="1053"/>
      <c r="I196" s="1053"/>
      <c r="J196" s="1053"/>
      <c r="K196" s="300"/>
      <c r="L196" s="279"/>
    </row>
    <row r="197" spans="1:13" ht="16.5" customHeight="1" x14ac:dyDescent="0.25">
      <c r="A197" s="1082" t="s">
        <v>91</v>
      </c>
      <c r="B197" s="1082"/>
      <c r="C197" s="1082"/>
      <c r="D197" s="1082"/>
      <c r="E197" s="1082"/>
      <c r="F197" s="1082"/>
      <c r="G197" s="1082"/>
      <c r="H197" s="1082"/>
      <c r="I197" s="1082"/>
      <c r="J197" s="1082"/>
      <c r="K197" s="300"/>
      <c r="L197" s="279"/>
    </row>
    <row r="198" spans="1:13" ht="18" customHeight="1" x14ac:dyDescent="0.25">
      <c r="A198" s="324" t="s">
        <v>80</v>
      </c>
      <c r="B198" s="325"/>
      <c r="C198" s="328">
        <v>244</v>
      </c>
      <c r="D198" s="328"/>
      <c r="E198" s="328"/>
      <c r="F198" s="329"/>
      <c r="G198" s="329"/>
      <c r="H198" s="329"/>
      <c r="I198" s="329"/>
      <c r="J198" s="442"/>
      <c r="K198" s="300"/>
      <c r="L198" s="279"/>
    </row>
    <row r="199" spans="1:13" ht="18" customHeight="1" x14ac:dyDescent="0.25">
      <c r="A199" s="324" t="s">
        <v>81</v>
      </c>
      <c r="B199" s="325"/>
      <c r="C199" s="325"/>
      <c r="D199" s="325"/>
      <c r="E199" s="330" t="s">
        <v>82</v>
      </c>
      <c r="F199" s="331"/>
      <c r="G199" s="330"/>
      <c r="H199" s="331"/>
      <c r="I199" s="331"/>
      <c r="J199" s="443"/>
      <c r="K199" s="300"/>
      <c r="L199" s="279"/>
    </row>
    <row r="200" spans="1:13" ht="18" customHeight="1" x14ac:dyDescent="0.25">
      <c r="A200" s="1055" t="s">
        <v>507</v>
      </c>
      <c r="B200" s="1055"/>
      <c r="C200" s="1055"/>
      <c r="D200" s="1055"/>
      <c r="E200" s="1055"/>
      <c r="F200" s="1055"/>
      <c r="G200" s="1055"/>
      <c r="H200" s="1055"/>
      <c r="I200" s="1055"/>
      <c r="J200" s="1055"/>
      <c r="K200" s="1021" t="s">
        <v>1115</v>
      </c>
      <c r="L200" s="279"/>
    </row>
    <row r="201" spans="1:13" ht="15.75" customHeight="1" x14ac:dyDescent="0.25">
      <c r="A201" s="681" t="s">
        <v>1</v>
      </c>
      <c r="B201" s="1015" t="s">
        <v>44</v>
      </c>
      <c r="C201" s="1015"/>
      <c r="D201" s="1015"/>
      <c r="E201" s="1015" t="s">
        <v>45</v>
      </c>
      <c r="F201" s="1015"/>
      <c r="G201" s="1015" t="s">
        <v>46</v>
      </c>
      <c r="H201" s="1015"/>
      <c r="I201" s="1015" t="s">
        <v>102</v>
      </c>
      <c r="J201" s="1015"/>
      <c r="K201" s="1021"/>
      <c r="L201" s="279"/>
    </row>
    <row r="202" spans="1:13" ht="12.75" customHeight="1" x14ac:dyDescent="0.25">
      <c r="A202" s="681">
        <v>1</v>
      </c>
      <c r="B202" s="1015">
        <v>2</v>
      </c>
      <c r="C202" s="1015"/>
      <c r="D202" s="1015"/>
      <c r="E202" s="1015">
        <v>3</v>
      </c>
      <c r="F202" s="1015"/>
      <c r="G202" s="1015">
        <v>4</v>
      </c>
      <c r="H202" s="1015"/>
      <c r="I202" s="1015">
        <v>5</v>
      </c>
      <c r="J202" s="1015"/>
      <c r="K202" s="1049" t="s">
        <v>1109</v>
      </c>
      <c r="L202" s="279"/>
    </row>
    <row r="203" spans="1:13" ht="21.75" customHeight="1" x14ac:dyDescent="0.25">
      <c r="A203" s="676" t="s">
        <v>70</v>
      </c>
      <c r="B203" s="1017" t="s">
        <v>1092</v>
      </c>
      <c r="C203" s="1018"/>
      <c r="D203" s="1019"/>
      <c r="E203" s="1026">
        <v>5000</v>
      </c>
      <c r="F203" s="1027"/>
      <c r="G203" s="1026">
        <v>1</v>
      </c>
      <c r="H203" s="1027"/>
      <c r="I203" s="1276">
        <v>3000</v>
      </c>
      <c r="J203" s="1277"/>
      <c r="K203" s="1049"/>
      <c r="L203" s="287"/>
    </row>
    <row r="204" spans="1:13" ht="33.75" hidden="1" customHeight="1" x14ac:dyDescent="0.25">
      <c r="A204" s="676" t="s">
        <v>75</v>
      </c>
      <c r="B204" s="1099" t="s">
        <v>487</v>
      </c>
      <c r="C204" s="1100"/>
      <c r="D204" s="1101"/>
      <c r="E204" s="1026">
        <f>1625-1625</f>
        <v>0</v>
      </c>
      <c r="F204" s="1027"/>
      <c r="G204" s="1026">
        <v>0</v>
      </c>
      <c r="H204" s="1027"/>
      <c r="I204" s="1276">
        <v>0</v>
      </c>
      <c r="J204" s="1277"/>
      <c r="K204" s="300"/>
      <c r="L204" s="287"/>
    </row>
    <row r="205" spans="1:13" ht="15" customHeight="1" x14ac:dyDescent="0.25">
      <c r="A205" s="676"/>
      <c r="B205" s="1014" t="s">
        <v>13</v>
      </c>
      <c r="C205" s="1014"/>
      <c r="D205" s="1014"/>
      <c r="E205" s="1053" t="s">
        <v>14</v>
      </c>
      <c r="F205" s="1053"/>
      <c r="G205" s="1053" t="s">
        <v>14</v>
      </c>
      <c r="H205" s="1053"/>
      <c r="I205" s="1278">
        <f>I203+I204</f>
        <v>3000</v>
      </c>
      <c r="J205" s="1278"/>
      <c r="K205" s="300"/>
      <c r="L205" s="279"/>
      <c r="M205" s="281"/>
    </row>
    <row r="206" spans="1:13" ht="29.25" customHeight="1" x14ac:dyDescent="0.25">
      <c r="A206" s="1082" t="s">
        <v>49</v>
      </c>
      <c r="B206" s="1082"/>
      <c r="C206" s="1082"/>
      <c r="D206" s="1082"/>
      <c r="E206" s="1082"/>
      <c r="F206" s="1082"/>
      <c r="G206" s="1082"/>
      <c r="H206" s="1082"/>
      <c r="I206" s="1082"/>
      <c r="J206" s="1082"/>
      <c r="K206" s="300"/>
      <c r="L206" s="279"/>
      <c r="M206" s="281"/>
    </row>
    <row r="207" spans="1:13" ht="19.5" customHeight="1" x14ac:dyDescent="0.25">
      <c r="A207" s="324" t="s">
        <v>80</v>
      </c>
      <c r="B207" s="325"/>
      <c r="C207" s="328" t="s">
        <v>751</v>
      </c>
      <c r="D207" s="328"/>
      <c r="E207" s="328"/>
      <c r="F207" s="329"/>
      <c r="G207" s="329"/>
      <c r="H207" s="329"/>
      <c r="I207" s="329"/>
      <c r="J207" s="442"/>
      <c r="K207" s="300"/>
      <c r="L207" s="279"/>
      <c r="M207" s="281"/>
    </row>
    <row r="208" spans="1:13" ht="17.25" customHeight="1" x14ac:dyDescent="0.25">
      <c r="A208" s="324" t="s">
        <v>81</v>
      </c>
      <c r="B208" s="325"/>
      <c r="C208" s="325"/>
      <c r="D208" s="325"/>
      <c r="E208" s="330" t="s">
        <v>82</v>
      </c>
      <c r="F208" s="331"/>
      <c r="G208" s="572" t="s">
        <v>195</v>
      </c>
      <c r="H208" s="573"/>
      <c r="I208" s="572" t="s">
        <v>744</v>
      </c>
      <c r="J208" s="574"/>
      <c r="K208" s="300"/>
      <c r="L208" s="279"/>
      <c r="M208" s="281"/>
    </row>
    <row r="209" spans="1:14" ht="17.25" customHeight="1" x14ac:dyDescent="0.25">
      <c r="A209" s="1082" t="s">
        <v>294</v>
      </c>
      <c r="B209" s="1082"/>
      <c r="C209" s="1082"/>
      <c r="D209" s="1082"/>
      <c r="E209" s="1082"/>
      <c r="F209" s="1082"/>
      <c r="G209" s="1082"/>
      <c r="H209" s="1082"/>
      <c r="I209" s="1082"/>
      <c r="J209" s="1082"/>
      <c r="K209" s="300"/>
      <c r="L209" s="279"/>
      <c r="M209" s="281"/>
    </row>
    <row r="210" spans="1:14" ht="38.25" customHeight="1" x14ac:dyDescent="0.25">
      <c r="A210" s="681" t="s">
        <v>1</v>
      </c>
      <c r="B210" s="1015" t="s">
        <v>15</v>
      </c>
      <c r="C210" s="1015"/>
      <c r="D210" s="1015"/>
      <c r="E210" s="681" t="s">
        <v>50</v>
      </c>
      <c r="F210" s="681" t="s">
        <v>51</v>
      </c>
      <c r="G210" s="1015" t="s">
        <v>52</v>
      </c>
      <c r="H210" s="1015"/>
      <c r="I210" s="1015" t="s">
        <v>104</v>
      </c>
      <c r="J210" s="1015"/>
      <c r="K210" s="300"/>
      <c r="L210" s="279"/>
      <c r="M210" s="281"/>
    </row>
    <row r="211" spans="1:14" ht="15" customHeight="1" x14ac:dyDescent="0.25">
      <c r="A211" s="681">
        <v>1</v>
      </c>
      <c r="B211" s="1015">
        <v>2</v>
      </c>
      <c r="C211" s="1015"/>
      <c r="D211" s="1015"/>
      <c r="E211" s="681">
        <v>3</v>
      </c>
      <c r="F211" s="681">
        <v>4</v>
      </c>
      <c r="G211" s="1015">
        <v>5</v>
      </c>
      <c r="H211" s="1015"/>
      <c r="I211" s="1015">
        <v>6</v>
      </c>
      <c r="J211" s="1015"/>
      <c r="K211" s="300"/>
      <c r="L211" s="279"/>
      <c r="M211" s="281"/>
    </row>
    <row r="212" spans="1:14" ht="14.25" customHeight="1" x14ac:dyDescent="0.25">
      <c r="A212" s="679">
        <v>1</v>
      </c>
      <c r="B212" s="1041" t="s">
        <v>341</v>
      </c>
      <c r="C212" s="1042"/>
      <c r="D212" s="1043"/>
      <c r="E212" s="336" t="s">
        <v>74</v>
      </c>
      <c r="F212" s="336" t="s">
        <v>74</v>
      </c>
      <c r="G212" s="1109" t="s">
        <v>74</v>
      </c>
      <c r="H212" s="1109"/>
      <c r="I212" s="1079">
        <f>I213+I214+I215+I216</f>
        <v>52000</v>
      </c>
      <c r="J212" s="1079"/>
      <c r="K212" s="300"/>
      <c r="L212" s="279"/>
      <c r="M212" s="281"/>
    </row>
    <row r="213" spans="1:14" ht="15" customHeight="1" x14ac:dyDescent="0.25">
      <c r="A213" s="676" t="s">
        <v>342</v>
      </c>
      <c r="B213" s="1040" t="s">
        <v>93</v>
      </c>
      <c r="C213" s="1040"/>
      <c r="D213" s="1040"/>
      <c r="E213" s="676">
        <v>6</v>
      </c>
      <c r="F213" s="676">
        <v>12</v>
      </c>
      <c r="G213" s="1221">
        <v>3200</v>
      </c>
      <c r="H213" s="1221"/>
      <c r="I213" s="1069">
        <f>F213*G213</f>
        <v>38400</v>
      </c>
      <c r="J213" s="1069"/>
      <c r="K213" s="302"/>
      <c r="L213" s="280"/>
      <c r="M213" s="281"/>
    </row>
    <row r="214" spans="1:14" x14ac:dyDescent="0.25">
      <c r="A214" s="676" t="s">
        <v>343</v>
      </c>
      <c r="B214" s="1040" t="s">
        <v>665</v>
      </c>
      <c r="C214" s="1040"/>
      <c r="D214" s="1040"/>
      <c r="E214" s="679"/>
      <c r="F214" s="679">
        <v>12</v>
      </c>
      <c r="G214" s="1070">
        <v>900</v>
      </c>
      <c r="H214" s="1070"/>
      <c r="I214" s="1069">
        <v>10600</v>
      </c>
      <c r="J214" s="1069"/>
      <c r="M214" s="281"/>
    </row>
    <row r="215" spans="1:14" ht="30" customHeight="1" x14ac:dyDescent="0.25">
      <c r="A215" s="676" t="s">
        <v>344</v>
      </c>
      <c r="B215" s="1040" t="s">
        <v>96</v>
      </c>
      <c r="C215" s="1040"/>
      <c r="D215" s="1040"/>
      <c r="E215" s="676">
        <v>1</v>
      </c>
      <c r="F215" s="676">
        <v>1</v>
      </c>
      <c r="G215" s="1078">
        <v>1000</v>
      </c>
      <c r="H215" s="1078"/>
      <c r="I215" s="1069">
        <v>3000</v>
      </c>
      <c r="J215" s="1069"/>
      <c r="M215" s="281"/>
    </row>
    <row r="216" spans="1:14" hidden="1" x14ac:dyDescent="0.25">
      <c r="A216" s="676" t="s">
        <v>264</v>
      </c>
      <c r="B216" s="1040" t="s">
        <v>199</v>
      </c>
      <c r="C216" s="1040"/>
      <c r="D216" s="1040"/>
      <c r="E216" s="676"/>
      <c r="F216" s="676"/>
      <c r="G216" s="1078"/>
      <c r="H216" s="1078"/>
      <c r="I216" s="1069"/>
      <c r="J216" s="1069"/>
      <c r="M216" s="281"/>
    </row>
    <row r="217" spans="1:14" hidden="1" x14ac:dyDescent="0.25">
      <c r="A217" s="679">
        <v>2</v>
      </c>
      <c r="B217" s="1041" t="s">
        <v>345</v>
      </c>
      <c r="C217" s="1042"/>
      <c r="D217" s="1043"/>
      <c r="E217" s="336" t="s">
        <v>74</v>
      </c>
      <c r="F217" s="336" t="s">
        <v>74</v>
      </c>
      <c r="G217" s="1109" t="s">
        <v>74</v>
      </c>
      <c r="H217" s="1109"/>
      <c r="I217" s="1079">
        <f>I218</f>
        <v>0</v>
      </c>
      <c r="J217" s="1079"/>
      <c r="M217" s="281"/>
    </row>
    <row r="218" spans="1:14" s="276" customFormat="1" ht="19.5" hidden="1" customHeight="1" x14ac:dyDescent="0.25">
      <c r="A218" s="676" t="s">
        <v>346</v>
      </c>
      <c r="B218" s="1040" t="s">
        <v>199</v>
      </c>
      <c r="C218" s="1040"/>
      <c r="D218" s="1040"/>
      <c r="E218" s="676">
        <v>1</v>
      </c>
      <c r="F218" s="676">
        <v>10</v>
      </c>
      <c r="G218" s="1078">
        <v>0</v>
      </c>
      <c r="H218" s="1078"/>
      <c r="I218" s="1069">
        <v>0</v>
      </c>
      <c r="J218" s="1069"/>
      <c r="K218" s="292"/>
    </row>
    <row r="219" spans="1:14" ht="16.5" customHeight="1" x14ac:dyDescent="0.25">
      <c r="A219" s="676"/>
      <c r="B219" s="1014" t="s">
        <v>325</v>
      </c>
      <c r="C219" s="1014"/>
      <c r="D219" s="1014"/>
      <c r="E219" s="679" t="s">
        <v>14</v>
      </c>
      <c r="F219" s="679" t="s">
        <v>14</v>
      </c>
      <c r="G219" s="1053" t="s">
        <v>14</v>
      </c>
      <c r="H219" s="1053"/>
      <c r="I219" s="1054">
        <f>I212+I217</f>
        <v>52000</v>
      </c>
      <c r="J219" s="1071"/>
      <c r="K219" s="303"/>
      <c r="N219" s="351"/>
    </row>
    <row r="220" spans="1:14" ht="12" hidden="1" customHeight="1" x14ac:dyDescent="0.25">
      <c r="A220" s="352"/>
      <c r="B220" s="325"/>
      <c r="C220" s="325"/>
      <c r="D220" s="325"/>
      <c r="E220" s="325"/>
      <c r="F220" s="325"/>
      <c r="G220" s="325"/>
      <c r="H220" s="325"/>
      <c r="I220" s="325"/>
      <c r="J220" s="441"/>
      <c r="M220" s="288"/>
    </row>
    <row r="221" spans="1:14" ht="18.75" hidden="1" customHeight="1" x14ac:dyDescent="0.25">
      <c r="A221" s="1082" t="s">
        <v>278</v>
      </c>
      <c r="B221" s="1082"/>
      <c r="C221" s="1082"/>
      <c r="D221" s="1082"/>
      <c r="E221" s="1082"/>
      <c r="F221" s="1082"/>
      <c r="G221" s="1082"/>
      <c r="H221" s="1082"/>
      <c r="I221" s="1082"/>
      <c r="J221" s="1082"/>
      <c r="K221" s="1021" t="s">
        <v>1113</v>
      </c>
      <c r="M221" s="288"/>
    </row>
    <row r="222" spans="1:14" ht="12.75" hidden="1" customHeight="1" x14ac:dyDescent="0.25">
      <c r="A222" s="681" t="s">
        <v>1</v>
      </c>
      <c r="B222" s="1015" t="s">
        <v>15</v>
      </c>
      <c r="C222" s="1015"/>
      <c r="D222" s="1015"/>
      <c r="E222" s="1015" t="s">
        <v>53</v>
      </c>
      <c r="F222" s="1015"/>
      <c r="G222" s="1015" t="s">
        <v>54</v>
      </c>
      <c r="H222" s="1015"/>
      <c r="I222" s="1015" t="s">
        <v>260</v>
      </c>
      <c r="J222" s="1015"/>
      <c r="K222" s="1021"/>
      <c r="M222" s="288"/>
    </row>
    <row r="223" spans="1:14" ht="15" hidden="1" customHeight="1" x14ac:dyDescent="0.25">
      <c r="A223" s="681">
        <v>1</v>
      </c>
      <c r="B223" s="1015">
        <v>2</v>
      </c>
      <c r="C223" s="1015"/>
      <c r="D223" s="1015"/>
      <c r="E223" s="1015">
        <v>3</v>
      </c>
      <c r="F223" s="1015"/>
      <c r="G223" s="1015">
        <v>4</v>
      </c>
      <c r="H223" s="1015"/>
      <c r="I223" s="1015">
        <v>5</v>
      </c>
      <c r="J223" s="1015"/>
      <c r="K223" s="1028" t="s">
        <v>1114</v>
      </c>
      <c r="M223" s="288"/>
    </row>
    <row r="224" spans="1:14" ht="16.5" hidden="1" customHeight="1" x14ac:dyDescent="0.25">
      <c r="A224" s="676">
        <v>1</v>
      </c>
      <c r="B224" s="1066" t="s">
        <v>611</v>
      </c>
      <c r="C224" s="1067"/>
      <c r="D224" s="1068"/>
      <c r="E224" s="1013">
        <v>0</v>
      </c>
      <c r="F224" s="1013"/>
      <c r="G224" s="1089">
        <v>0</v>
      </c>
      <c r="H224" s="1089"/>
      <c r="I224" s="1089">
        <f>E224*G224</f>
        <v>0</v>
      </c>
      <c r="J224" s="1089"/>
      <c r="K224" s="1029"/>
      <c r="M224" s="288"/>
    </row>
    <row r="225" spans="1:17" ht="15.75" hidden="1" customHeight="1" x14ac:dyDescent="0.25">
      <c r="A225" s="676"/>
      <c r="B225" s="1014" t="s">
        <v>13</v>
      </c>
      <c r="C225" s="1014"/>
      <c r="D225" s="1014"/>
      <c r="E225" s="1053" t="s">
        <v>74</v>
      </c>
      <c r="F225" s="1053"/>
      <c r="G225" s="1053" t="s">
        <v>74</v>
      </c>
      <c r="H225" s="1053"/>
      <c r="I225" s="1267">
        <f>I224</f>
        <v>0</v>
      </c>
      <c r="J225" s="1053"/>
      <c r="K225" s="1030"/>
    </row>
    <row r="226" spans="1:17" ht="24" customHeight="1" x14ac:dyDescent="0.25">
      <c r="A226" s="1056" t="s">
        <v>672</v>
      </c>
      <c r="B226" s="1056"/>
      <c r="C226" s="1056"/>
      <c r="D226" s="1056"/>
      <c r="E226" s="1056"/>
      <c r="F226" s="1056"/>
      <c r="G226" s="1056"/>
      <c r="H226" s="1056"/>
      <c r="I226" s="1056"/>
      <c r="J226" s="1056"/>
    </row>
    <row r="227" spans="1:17" s="276" customFormat="1" ht="25.5" customHeight="1" x14ac:dyDescent="0.2">
      <c r="A227" s="681" t="s">
        <v>1</v>
      </c>
      <c r="B227" s="1015" t="s">
        <v>44</v>
      </c>
      <c r="C227" s="1015"/>
      <c r="D227" s="1015"/>
      <c r="E227" s="681" t="s">
        <v>55</v>
      </c>
      <c r="F227" s="1015" t="s">
        <v>56</v>
      </c>
      <c r="G227" s="1015"/>
      <c r="H227" s="681" t="s">
        <v>57</v>
      </c>
      <c r="I227" s="1015" t="s">
        <v>104</v>
      </c>
      <c r="J227" s="1015"/>
      <c r="K227" s="1021" t="s">
        <v>650</v>
      </c>
    </row>
    <row r="228" spans="1:17" s="276" customFormat="1" ht="15.75" customHeight="1" x14ac:dyDescent="0.2">
      <c r="A228" s="681">
        <v>1</v>
      </c>
      <c r="B228" s="1015">
        <v>2</v>
      </c>
      <c r="C228" s="1015"/>
      <c r="D228" s="1015"/>
      <c r="E228" s="681">
        <v>3</v>
      </c>
      <c r="F228" s="1015">
        <v>4</v>
      </c>
      <c r="G228" s="1015"/>
      <c r="H228" s="681">
        <v>5</v>
      </c>
      <c r="I228" s="1015">
        <v>6</v>
      </c>
      <c r="J228" s="1015"/>
      <c r="K228" s="1021"/>
    </row>
    <row r="229" spans="1:17" s="378" customFormat="1" ht="30" customHeight="1" x14ac:dyDescent="0.25">
      <c r="A229" s="679">
        <v>1</v>
      </c>
      <c r="B229" s="1041" t="s">
        <v>523</v>
      </c>
      <c r="C229" s="1042"/>
      <c r="D229" s="1043"/>
      <c r="E229" s="377">
        <f>SUM(E230:E232)</f>
        <v>880</v>
      </c>
      <c r="F229" s="1072"/>
      <c r="G229" s="1073"/>
      <c r="H229" s="390">
        <f>F231/F230-100%</f>
        <v>3.9982553067752225E-2</v>
      </c>
      <c r="I229" s="1016">
        <f>I230+I231+I232</f>
        <v>61600</v>
      </c>
      <c r="J229" s="1016"/>
      <c r="K229" s="1046" t="s">
        <v>1108</v>
      </c>
      <c r="L229" s="419">
        <v>772</v>
      </c>
    </row>
    <row r="230" spans="1:17" ht="17.25" customHeight="1" x14ac:dyDescent="0.25">
      <c r="A230" s="1083"/>
      <c r="B230" s="1013" t="s">
        <v>1103</v>
      </c>
      <c r="C230" s="1013"/>
      <c r="D230" s="1013"/>
      <c r="E230" s="705">
        <f>101+74+89+88+96+32</f>
        <v>480</v>
      </c>
      <c r="F230" s="1044">
        <v>68.78</v>
      </c>
      <c r="G230" s="1045"/>
      <c r="H230" s="390">
        <f t="shared" ref="H230:H232" si="18">F232/F231-100%</f>
        <v>0</v>
      </c>
      <c r="I230" s="1020">
        <f>E230*F230</f>
        <v>33014.400000000001</v>
      </c>
      <c r="J230" s="1020"/>
      <c r="K230" s="1047"/>
      <c r="L230" s="282">
        <f>I230+I231+I234+I235</f>
        <v>147543.99000000002</v>
      </c>
      <c r="O230" s="164">
        <v>57.21</v>
      </c>
      <c r="Q230" s="164">
        <v>55.33</v>
      </c>
    </row>
    <row r="231" spans="1:17" ht="17.25" customHeight="1" x14ac:dyDescent="0.25">
      <c r="A231" s="1087"/>
      <c r="B231" s="1013" t="s">
        <v>1149</v>
      </c>
      <c r="C231" s="1013"/>
      <c r="D231" s="1013"/>
      <c r="E231" s="377">
        <f>19+29+81+104+80</f>
        <v>313</v>
      </c>
      <c r="F231" s="1044">
        <v>71.53</v>
      </c>
      <c r="G231" s="1045"/>
      <c r="H231" s="390">
        <f t="shared" si="18"/>
        <v>-1</v>
      </c>
      <c r="I231" s="1020">
        <f>E231*F231</f>
        <v>22388.89</v>
      </c>
      <c r="J231" s="1020"/>
      <c r="K231" s="1047"/>
      <c r="O231" s="164">
        <f>O230*E229</f>
        <v>50344.800000000003</v>
      </c>
    </row>
    <row r="232" spans="1:17" ht="15.75" customHeight="1" x14ac:dyDescent="0.25">
      <c r="A232" s="1088"/>
      <c r="B232" s="1031" t="s">
        <v>615</v>
      </c>
      <c r="C232" s="1032"/>
      <c r="D232" s="1033"/>
      <c r="E232" s="377">
        <v>87</v>
      </c>
      <c r="F232" s="1044">
        <v>71.53</v>
      </c>
      <c r="G232" s="1045"/>
      <c r="H232" s="390" t="e">
        <f t="shared" si="18"/>
        <v>#DIV/0!</v>
      </c>
      <c r="I232" s="1020">
        <f>E232*F232-26.4</f>
        <v>6196.71</v>
      </c>
      <c r="J232" s="1020"/>
      <c r="K232" s="1048"/>
    </row>
    <row r="233" spans="1:17" s="378" customFormat="1" ht="31.9" customHeight="1" x14ac:dyDescent="0.25">
      <c r="A233" s="679">
        <v>2</v>
      </c>
      <c r="B233" s="1041" t="s">
        <v>524</v>
      </c>
      <c r="C233" s="1042"/>
      <c r="D233" s="1043"/>
      <c r="E233" s="377">
        <f>SUM(E234:E236)</f>
        <v>40</v>
      </c>
      <c r="F233" s="1072"/>
      <c r="G233" s="1073"/>
      <c r="H233" s="390">
        <f>F235/F234-100%</f>
        <v>3.9999841286216586E-2</v>
      </c>
      <c r="I233" s="1111">
        <f>I234+I235+I236</f>
        <v>102700.00000000001</v>
      </c>
      <c r="J233" s="1112"/>
      <c r="K233" s="1046" t="s">
        <v>1107</v>
      </c>
      <c r="L233" s="417">
        <v>33</v>
      </c>
    </row>
    <row r="234" spans="1:17" ht="17.25" customHeight="1" x14ac:dyDescent="0.25">
      <c r="A234" s="1083"/>
      <c r="B234" s="1026" t="s">
        <v>734</v>
      </c>
      <c r="C234" s="1052"/>
      <c r="D234" s="1027"/>
      <c r="E234" s="705">
        <f>4+2+4+5+4+3</f>
        <v>22</v>
      </c>
      <c r="F234" s="1044">
        <v>2520.2600000000002</v>
      </c>
      <c r="G234" s="1045"/>
      <c r="H234" s="391"/>
      <c r="I234" s="1020">
        <f>E234*F234</f>
        <v>55445.72</v>
      </c>
      <c r="J234" s="1020"/>
      <c r="K234" s="1047"/>
      <c r="O234" s="164">
        <v>2108.31</v>
      </c>
    </row>
    <row r="235" spans="1:17" ht="16.5" customHeight="1" x14ac:dyDescent="0.25">
      <c r="A235" s="1087"/>
      <c r="B235" s="1013" t="s">
        <v>735</v>
      </c>
      <c r="C235" s="1013"/>
      <c r="D235" s="1013"/>
      <c r="E235" s="377">
        <f>2+1+3+4+4</f>
        <v>14</v>
      </c>
      <c r="F235" s="1044">
        <v>2621.0700000000002</v>
      </c>
      <c r="G235" s="1045"/>
      <c r="H235" s="391"/>
      <c r="I235" s="1020">
        <f>E235*F235</f>
        <v>36694.980000000003</v>
      </c>
      <c r="J235" s="1020"/>
      <c r="K235" s="1047"/>
      <c r="O235" s="164">
        <f>O234*E233</f>
        <v>84332.4</v>
      </c>
    </row>
    <row r="236" spans="1:17" ht="19.5" customHeight="1" x14ac:dyDescent="0.25">
      <c r="A236" s="1088"/>
      <c r="B236" s="1031" t="s">
        <v>615</v>
      </c>
      <c r="C236" s="1032"/>
      <c r="D236" s="1033"/>
      <c r="E236" s="377">
        <v>4</v>
      </c>
      <c r="F236" s="1044">
        <v>2621.0700000000002</v>
      </c>
      <c r="G236" s="1045"/>
      <c r="H236" s="391"/>
      <c r="I236" s="1020">
        <f>E236*F236+75.02</f>
        <v>10559.300000000001</v>
      </c>
      <c r="J236" s="1020"/>
      <c r="K236" s="1048"/>
    </row>
    <row r="237" spans="1:17" s="378" customFormat="1" ht="22.5" customHeight="1" x14ac:dyDescent="0.25">
      <c r="A237" s="679">
        <v>3</v>
      </c>
      <c r="B237" s="1041" t="s">
        <v>153</v>
      </c>
      <c r="C237" s="1042"/>
      <c r="D237" s="1043"/>
      <c r="E237" s="377">
        <f>SUM(E238:E240)</f>
        <v>1175</v>
      </c>
      <c r="F237" s="1072"/>
      <c r="G237" s="1073"/>
      <c r="H237" s="390">
        <f>F239/F238-100%</f>
        <v>3.9982553067752225E-2</v>
      </c>
      <c r="I237" s="1016">
        <f>I238+I239+I240</f>
        <v>82500</v>
      </c>
      <c r="J237" s="1016"/>
      <c r="K237" s="1046" t="s">
        <v>1108</v>
      </c>
      <c r="L237" s="418">
        <v>1068</v>
      </c>
      <c r="M237" s="380"/>
    </row>
    <row r="238" spans="1:17" ht="22.5" customHeight="1" x14ac:dyDescent="0.25">
      <c r="A238" s="1083"/>
      <c r="B238" s="1026" t="s">
        <v>1104</v>
      </c>
      <c r="C238" s="1052"/>
      <c r="D238" s="1027"/>
      <c r="E238" s="705">
        <f>45+95+122+127+140+35</f>
        <v>564</v>
      </c>
      <c r="F238" s="1044">
        <v>68.78</v>
      </c>
      <c r="G238" s="1045"/>
      <c r="H238" s="391"/>
      <c r="I238" s="1020">
        <f>E238*F238</f>
        <v>38791.919999999998</v>
      </c>
      <c r="J238" s="1020"/>
      <c r="K238" s="1047"/>
      <c r="L238" s="282">
        <f>I238+I239+I242+I243</f>
        <v>221900.6</v>
      </c>
      <c r="O238" s="164">
        <v>57.21</v>
      </c>
      <c r="Q238" s="164">
        <v>55.33</v>
      </c>
    </row>
    <row r="239" spans="1:17" ht="25.5" customHeight="1" x14ac:dyDescent="0.25">
      <c r="A239" s="1087"/>
      <c r="B239" s="1013" t="s">
        <v>1150</v>
      </c>
      <c r="C239" s="1013"/>
      <c r="D239" s="1013"/>
      <c r="E239" s="377">
        <f>39+67+96+139+113</f>
        <v>454</v>
      </c>
      <c r="F239" s="1044">
        <v>71.53</v>
      </c>
      <c r="G239" s="1045"/>
      <c r="H239" s="391"/>
      <c r="I239" s="1020">
        <f>E239*F239</f>
        <v>32474.62</v>
      </c>
      <c r="J239" s="1020"/>
      <c r="K239" s="1047"/>
      <c r="O239" s="164">
        <f>O238*E237</f>
        <v>67221.75</v>
      </c>
    </row>
    <row r="240" spans="1:17" ht="16.5" customHeight="1" x14ac:dyDescent="0.25">
      <c r="A240" s="1088"/>
      <c r="B240" s="1031" t="s">
        <v>615</v>
      </c>
      <c r="C240" s="1032"/>
      <c r="D240" s="1033"/>
      <c r="E240" s="377">
        <v>157</v>
      </c>
      <c r="F240" s="1044">
        <v>71.53</v>
      </c>
      <c r="G240" s="1045"/>
      <c r="H240" s="391"/>
      <c r="I240" s="1097">
        <f>E240*F240+3.25</f>
        <v>11233.460000000001</v>
      </c>
      <c r="J240" s="1098"/>
      <c r="K240" s="1048"/>
    </row>
    <row r="241" spans="1:17" s="378" customFormat="1" ht="17.25" customHeight="1" x14ac:dyDescent="0.25">
      <c r="A241" s="679">
        <v>4</v>
      </c>
      <c r="B241" s="1041" t="s">
        <v>154</v>
      </c>
      <c r="C241" s="1042"/>
      <c r="D241" s="1043"/>
      <c r="E241" s="377">
        <f>SUM(E242:E244)</f>
        <v>2028</v>
      </c>
      <c r="F241" s="1072"/>
      <c r="G241" s="1073"/>
      <c r="H241" s="390">
        <f>F243/F242-100%</f>
        <v>3.9970753107482437E-2</v>
      </c>
      <c r="I241" s="1016">
        <f>I242+I243+I244</f>
        <v>169700</v>
      </c>
      <c r="J241" s="1016"/>
      <c r="K241" s="1046" t="s">
        <v>1106</v>
      </c>
      <c r="L241" s="417">
        <v>1825</v>
      </c>
    </row>
    <row r="242" spans="1:17" ht="15.75" customHeight="1" x14ac:dyDescent="0.25">
      <c r="A242" s="1083"/>
      <c r="B242" s="1026" t="s">
        <v>1105</v>
      </c>
      <c r="C242" s="1052"/>
      <c r="D242" s="1027"/>
      <c r="E242" s="705">
        <f>140+169+211+215+236+67</f>
        <v>1038</v>
      </c>
      <c r="F242" s="1044">
        <v>82.06</v>
      </c>
      <c r="G242" s="1045"/>
      <c r="H242" s="391"/>
      <c r="I242" s="1020">
        <f>E242*F242</f>
        <v>85178.28</v>
      </c>
      <c r="J242" s="1020"/>
      <c r="K242" s="1047"/>
      <c r="O242" s="164">
        <v>69.12</v>
      </c>
      <c r="Q242" s="164">
        <v>66.94</v>
      </c>
    </row>
    <row r="243" spans="1:17" ht="15" customHeight="1" x14ac:dyDescent="0.25">
      <c r="A243" s="1087"/>
      <c r="B243" s="1013" t="s">
        <v>1151</v>
      </c>
      <c r="C243" s="1013"/>
      <c r="D243" s="1013"/>
      <c r="E243" s="377">
        <f>58+96+177+243+193</f>
        <v>767</v>
      </c>
      <c r="F243" s="1044">
        <v>85.34</v>
      </c>
      <c r="G243" s="1045"/>
      <c r="H243" s="391"/>
      <c r="I243" s="1020">
        <f>E243*F243</f>
        <v>65455.780000000006</v>
      </c>
      <c r="J243" s="1020"/>
      <c r="K243" s="1047"/>
      <c r="O243" s="164">
        <f>O242*E241</f>
        <v>140175.36000000002</v>
      </c>
    </row>
    <row r="244" spans="1:17" ht="16.5" customHeight="1" x14ac:dyDescent="0.25">
      <c r="A244" s="1088"/>
      <c r="B244" s="1031" t="s">
        <v>615</v>
      </c>
      <c r="C244" s="1032"/>
      <c r="D244" s="1033"/>
      <c r="E244" s="377">
        <v>223</v>
      </c>
      <c r="F244" s="1044">
        <v>85.34</v>
      </c>
      <c r="G244" s="1045"/>
      <c r="H244" s="391"/>
      <c r="I244" s="1095">
        <f>E244*F244+35.12</f>
        <v>19065.939999999999</v>
      </c>
      <c r="J244" s="1096"/>
      <c r="K244" s="1048"/>
    </row>
    <row r="245" spans="1:17" ht="0.75" customHeight="1" x14ac:dyDescent="0.25">
      <c r="A245" s="676"/>
      <c r="B245" s="1026"/>
      <c r="C245" s="1052"/>
      <c r="D245" s="1027"/>
      <c r="E245" s="703"/>
      <c r="F245" s="1044"/>
      <c r="G245" s="1045"/>
      <c r="H245" s="391"/>
      <c r="I245" s="1110">
        <f>E245*F245</f>
        <v>0</v>
      </c>
      <c r="J245" s="1110"/>
      <c r="K245" s="745"/>
    </row>
    <row r="246" spans="1:17" s="378" customFormat="1" ht="29.25" customHeight="1" x14ac:dyDescent="0.25">
      <c r="A246" s="679">
        <v>5</v>
      </c>
      <c r="B246" s="1041" t="s">
        <v>371</v>
      </c>
      <c r="C246" s="1042"/>
      <c r="D246" s="1043"/>
      <c r="E246" s="712">
        <f>E247+E248+E249</f>
        <v>150.70000000000002</v>
      </c>
      <c r="F246" s="1072"/>
      <c r="G246" s="1073"/>
      <c r="H246" s="390">
        <v>0</v>
      </c>
      <c r="I246" s="1016">
        <f>I247+I248+I249</f>
        <v>160500.00200000001</v>
      </c>
      <c r="J246" s="1016"/>
      <c r="K246" s="1046" t="s">
        <v>1141</v>
      </c>
      <c r="L246" s="417">
        <v>157</v>
      </c>
      <c r="N246" s="378">
        <v>121163.26</v>
      </c>
      <c r="O246" s="378">
        <v>735.9</v>
      </c>
    </row>
    <row r="247" spans="1:17" ht="28.5" customHeight="1" x14ac:dyDescent="0.25">
      <c r="A247" s="676"/>
      <c r="B247" s="1026" t="s">
        <v>1152</v>
      </c>
      <c r="C247" s="1052"/>
      <c r="D247" s="1027"/>
      <c r="E247" s="703">
        <f>11+12.1+13.2+13.2+13.2+12.1</f>
        <v>74.8</v>
      </c>
      <c r="F247" s="1044">
        <v>1043.81</v>
      </c>
      <c r="G247" s="1045"/>
      <c r="H247" s="391"/>
      <c r="I247" s="1020">
        <f>E247*F247</f>
        <v>78076.987999999998</v>
      </c>
      <c r="J247" s="1020"/>
      <c r="K247" s="1047"/>
      <c r="O247" s="164">
        <f>O246*E246</f>
        <v>110900.13</v>
      </c>
    </row>
    <row r="248" spans="1:17" ht="30" customHeight="1" x14ac:dyDescent="0.25">
      <c r="A248" s="676"/>
      <c r="B248" s="1013" t="s">
        <v>1153</v>
      </c>
      <c r="C248" s="1013"/>
      <c r="D248" s="1013"/>
      <c r="E248" s="703">
        <f>9.9+9.9+14.3+14.3+13.2</f>
        <v>61.600000000000009</v>
      </c>
      <c r="F248" s="1044">
        <v>1085.56</v>
      </c>
      <c r="G248" s="1045"/>
      <c r="H248" s="391"/>
      <c r="I248" s="1020">
        <f>E248*F248</f>
        <v>66870.495999999999</v>
      </c>
      <c r="J248" s="1020"/>
      <c r="K248" s="1047"/>
    </row>
    <row r="249" spans="1:17" ht="24.75" customHeight="1" x14ac:dyDescent="0.25">
      <c r="A249" s="676"/>
      <c r="B249" s="1031" t="s">
        <v>615</v>
      </c>
      <c r="C249" s="1032"/>
      <c r="D249" s="1033"/>
      <c r="E249" s="703">
        <v>14.3</v>
      </c>
      <c r="F249" s="1044">
        <v>1085.56</v>
      </c>
      <c r="G249" s="1045"/>
      <c r="H249" s="676"/>
      <c r="I249" s="1020">
        <f>E249*F249+29.01</f>
        <v>15552.518</v>
      </c>
      <c r="J249" s="1020"/>
      <c r="K249" s="1048"/>
    </row>
    <row r="250" spans="1:17" ht="15" customHeight="1" x14ac:dyDescent="0.25">
      <c r="A250" s="676"/>
      <c r="B250" s="1014" t="s">
        <v>13</v>
      </c>
      <c r="C250" s="1014"/>
      <c r="D250" s="1014"/>
      <c r="E250" s="679" t="s">
        <v>14</v>
      </c>
      <c r="F250" s="1053" t="s">
        <v>14</v>
      </c>
      <c r="G250" s="1053"/>
      <c r="H250" s="679" t="s">
        <v>14</v>
      </c>
      <c r="I250" s="1054">
        <f>I229+I233+I237+I241+I246</f>
        <v>577000.00199999998</v>
      </c>
      <c r="J250" s="1054"/>
      <c r="M250" s="282"/>
      <c r="O250" s="164" t="e">
        <f>#REF!+O231+O235+O239+O243+#REF!+O247</f>
        <v>#REF!</v>
      </c>
    </row>
    <row r="251" spans="1:17" ht="24" customHeight="1" x14ac:dyDescent="0.25">
      <c r="A251" s="1056" t="s">
        <v>671</v>
      </c>
      <c r="B251" s="1056"/>
      <c r="C251" s="1056"/>
      <c r="D251" s="1056"/>
      <c r="E251" s="1056"/>
      <c r="F251" s="1056"/>
      <c r="G251" s="1056"/>
      <c r="H251" s="1056"/>
      <c r="I251" s="1056"/>
      <c r="J251" s="1056"/>
    </row>
    <row r="252" spans="1:17" s="276" customFormat="1" ht="25.5" customHeight="1" x14ac:dyDescent="0.2">
      <c r="A252" s="681" t="s">
        <v>1</v>
      </c>
      <c r="B252" s="1015" t="s">
        <v>44</v>
      </c>
      <c r="C252" s="1015"/>
      <c r="D252" s="1015"/>
      <c r="E252" s="681" t="s">
        <v>55</v>
      </c>
      <c r="F252" s="1015" t="s">
        <v>56</v>
      </c>
      <c r="G252" s="1015"/>
      <c r="H252" s="681" t="s">
        <v>57</v>
      </c>
      <c r="I252" s="1015" t="s">
        <v>104</v>
      </c>
      <c r="J252" s="1015"/>
      <c r="K252" s="1021" t="s">
        <v>650</v>
      </c>
    </row>
    <row r="253" spans="1:17" s="276" customFormat="1" ht="15.75" customHeight="1" x14ac:dyDescent="0.2">
      <c r="A253" s="681">
        <v>1</v>
      </c>
      <c r="B253" s="1015">
        <v>2</v>
      </c>
      <c r="C253" s="1015"/>
      <c r="D253" s="1015"/>
      <c r="E253" s="681">
        <v>3</v>
      </c>
      <c r="F253" s="1015">
        <v>4</v>
      </c>
      <c r="G253" s="1015"/>
      <c r="H253" s="681">
        <v>5</v>
      </c>
      <c r="I253" s="1015">
        <v>6</v>
      </c>
      <c r="J253" s="1015"/>
      <c r="K253" s="1021"/>
    </row>
    <row r="254" spans="1:17" s="378" customFormat="1" ht="16.5" customHeight="1" x14ac:dyDescent="0.25">
      <c r="A254" s="679">
        <v>1</v>
      </c>
      <c r="B254" s="1041" t="s">
        <v>151</v>
      </c>
      <c r="C254" s="1042"/>
      <c r="D254" s="1043"/>
      <c r="E254" s="377">
        <f>E255+E256+E257</f>
        <v>1103</v>
      </c>
      <c r="F254" s="1072"/>
      <c r="G254" s="1073"/>
      <c r="H254" s="390">
        <f>F256/F255-100%</f>
        <v>3.9999841286216586E-2</v>
      </c>
      <c r="I254" s="1016">
        <f>I255+I256+I257</f>
        <v>2832000.0000000005</v>
      </c>
      <c r="J254" s="1016"/>
      <c r="K254" s="1046" t="s">
        <v>1107</v>
      </c>
      <c r="L254" s="417">
        <v>1159.0999999999999</v>
      </c>
      <c r="O254" s="378">
        <v>2108.31</v>
      </c>
    </row>
    <row r="255" spans="1:17" ht="15" customHeight="1" x14ac:dyDescent="0.25">
      <c r="A255" s="1083"/>
      <c r="B255" s="1013" t="s">
        <v>1102</v>
      </c>
      <c r="C255" s="1013"/>
      <c r="D255" s="1013"/>
      <c r="E255" s="377">
        <f>164+163+123+98+38</f>
        <v>586</v>
      </c>
      <c r="F255" s="1044">
        <v>2520.2600000000002</v>
      </c>
      <c r="G255" s="1045"/>
      <c r="H255" s="391"/>
      <c r="I255" s="1020">
        <f>E255*F255</f>
        <v>1476872.36</v>
      </c>
      <c r="J255" s="1020"/>
      <c r="K255" s="1047"/>
      <c r="L255" s="164">
        <v>1352117.76</v>
      </c>
      <c r="M255" s="282">
        <f>I255/E255</f>
        <v>2520.2600000000002</v>
      </c>
      <c r="O255" s="164">
        <f>O254*E254</f>
        <v>2325465.9300000002</v>
      </c>
      <c r="Q255" s="164">
        <v>2039.6</v>
      </c>
    </row>
    <row r="256" spans="1:17" ht="15.75" customHeight="1" x14ac:dyDescent="0.25">
      <c r="A256" s="1088"/>
      <c r="B256" s="1013" t="s">
        <v>1154</v>
      </c>
      <c r="C256" s="1013"/>
      <c r="D256" s="1013"/>
      <c r="E256" s="377">
        <f>27+88+160</f>
        <v>275</v>
      </c>
      <c r="F256" s="1044">
        <v>2621.0700000000002</v>
      </c>
      <c r="G256" s="1045"/>
      <c r="H256" s="391"/>
      <c r="I256" s="1020">
        <f>E256*F256</f>
        <v>720794.25</v>
      </c>
      <c r="J256" s="1020"/>
      <c r="K256" s="1047"/>
    </row>
    <row r="257" spans="1:15" ht="18" customHeight="1" x14ac:dyDescent="0.25">
      <c r="A257" s="684"/>
      <c r="B257" s="1031" t="s">
        <v>615</v>
      </c>
      <c r="C257" s="1032"/>
      <c r="D257" s="1033"/>
      <c r="E257" s="377">
        <v>242</v>
      </c>
      <c r="F257" s="1044">
        <v>2621.0700000000002</v>
      </c>
      <c r="G257" s="1045"/>
      <c r="H257" s="391"/>
      <c r="I257" s="1020">
        <f>E257*F257+34.45</f>
        <v>634333.39</v>
      </c>
      <c r="J257" s="1020"/>
      <c r="K257" s="1048"/>
    </row>
    <row r="258" spans="1:15" s="378" customFormat="1" ht="19.5" customHeight="1" x14ac:dyDescent="0.25">
      <c r="A258" s="679">
        <v>2</v>
      </c>
      <c r="B258" s="1041" t="s">
        <v>155</v>
      </c>
      <c r="C258" s="1042"/>
      <c r="D258" s="1043"/>
      <c r="E258" s="712">
        <f>E259+E260+E261</f>
        <v>127815</v>
      </c>
      <c r="F258" s="1072"/>
      <c r="G258" s="1073"/>
      <c r="H258" s="390">
        <f>F260/F259-100%</f>
        <v>4.042553191489362E-2</v>
      </c>
      <c r="I258" s="1016">
        <f>I259+I260+I261</f>
        <v>1224000</v>
      </c>
      <c r="J258" s="1016"/>
      <c r="K258" s="1046" t="s">
        <v>1112</v>
      </c>
      <c r="L258" s="417">
        <v>135301</v>
      </c>
      <c r="O258" s="378">
        <v>7.57</v>
      </c>
    </row>
    <row r="259" spans="1:15" ht="28.5" customHeight="1" x14ac:dyDescent="0.25">
      <c r="A259" s="676"/>
      <c r="B259" s="1013" t="s">
        <v>1111</v>
      </c>
      <c r="C259" s="1013"/>
      <c r="D259" s="1013"/>
      <c r="E259" s="712">
        <f>12252+11815+13048+13361+12126+4858</f>
        <v>67460</v>
      </c>
      <c r="F259" s="1044">
        <v>9.4</v>
      </c>
      <c r="G259" s="1045"/>
      <c r="H259" s="391"/>
      <c r="I259" s="1092">
        <f>E259*F259</f>
        <v>634124</v>
      </c>
      <c r="J259" s="1092"/>
      <c r="K259" s="1047"/>
      <c r="M259" s="164">
        <v>1088991.56</v>
      </c>
      <c r="O259" s="164">
        <f>O258*E258</f>
        <v>967559.55</v>
      </c>
    </row>
    <row r="260" spans="1:15" ht="14.25" customHeight="1" x14ac:dyDescent="0.25">
      <c r="A260" s="676"/>
      <c r="B260" s="1013" t="s">
        <v>1155</v>
      </c>
      <c r="C260" s="1013"/>
      <c r="D260" s="1013"/>
      <c r="E260" s="712">
        <f>2538+3244+8966+13789+15015</f>
        <v>43552</v>
      </c>
      <c r="F260" s="1044">
        <v>9.7799999999999994</v>
      </c>
      <c r="G260" s="1045"/>
      <c r="H260" s="676"/>
      <c r="I260" s="1020">
        <f>E260*F260+13.86</f>
        <v>425952.42</v>
      </c>
      <c r="J260" s="1020"/>
      <c r="K260" s="1047"/>
    </row>
    <row r="261" spans="1:15" ht="18" customHeight="1" x14ac:dyDescent="0.25">
      <c r="A261" s="676"/>
      <c r="B261" s="1031" t="s">
        <v>615</v>
      </c>
      <c r="C261" s="1032"/>
      <c r="D261" s="1033"/>
      <c r="E261" s="712">
        <f>16760+43</f>
        <v>16803</v>
      </c>
      <c r="F261" s="1044">
        <v>9.7799999999999994</v>
      </c>
      <c r="G261" s="1045"/>
      <c r="H261" s="676"/>
      <c r="I261" s="1020">
        <f>E261*F261-9.76-400</f>
        <v>163923.57999999999</v>
      </c>
      <c r="J261" s="1020"/>
      <c r="K261" s="1048"/>
    </row>
    <row r="262" spans="1:15" ht="15" customHeight="1" x14ac:dyDescent="0.25">
      <c r="A262" s="676"/>
      <c r="B262" s="1014" t="s">
        <v>13</v>
      </c>
      <c r="C262" s="1014"/>
      <c r="D262" s="1014"/>
      <c r="E262" s="679" t="s">
        <v>14</v>
      </c>
      <c r="F262" s="1053" t="s">
        <v>14</v>
      </c>
      <c r="G262" s="1053"/>
      <c r="H262" s="679" t="s">
        <v>14</v>
      </c>
      <c r="I262" s="1054">
        <f>I254+I258</f>
        <v>4056000.0000000005</v>
      </c>
      <c r="J262" s="1054"/>
      <c r="K262" s="393"/>
      <c r="M262" s="282"/>
      <c r="O262" s="164" t="e">
        <f>O255+#REF!+#REF!+#REF!+#REF!+O259+#REF!</f>
        <v>#REF!</v>
      </c>
    </row>
    <row r="263" spans="1:15" ht="16.5" customHeight="1" x14ac:dyDescent="0.25">
      <c r="A263" s="676"/>
      <c r="B263" s="1031" t="s">
        <v>673</v>
      </c>
      <c r="C263" s="1032"/>
      <c r="D263" s="1033"/>
      <c r="E263" s="679"/>
      <c r="F263" s="1031"/>
      <c r="G263" s="1033"/>
      <c r="H263" s="679"/>
      <c r="I263" s="1036">
        <f>I262+I250</f>
        <v>4633000.0020000003</v>
      </c>
      <c r="J263" s="1037"/>
      <c r="M263" s="282"/>
    </row>
    <row r="264" spans="1:15" s="276" customFormat="1" ht="19.5" hidden="1" customHeight="1" x14ac:dyDescent="0.25">
      <c r="A264" s="1074" t="s">
        <v>279</v>
      </c>
      <c r="B264" s="1074"/>
      <c r="C264" s="1074"/>
      <c r="D264" s="1074"/>
      <c r="E264" s="1074"/>
      <c r="F264" s="1074"/>
      <c r="G264" s="1074"/>
      <c r="H264" s="1074"/>
      <c r="I264" s="1074"/>
      <c r="J264" s="1074"/>
      <c r="K264" s="292"/>
    </row>
    <row r="265" spans="1:15" s="276" customFormat="1" ht="15" hidden="1" customHeight="1" x14ac:dyDescent="0.25">
      <c r="A265" s="681" t="s">
        <v>1</v>
      </c>
      <c r="B265" s="1015" t="s">
        <v>44</v>
      </c>
      <c r="C265" s="1015"/>
      <c r="D265" s="1015"/>
      <c r="E265" s="1015" t="s">
        <v>58</v>
      </c>
      <c r="F265" s="1015"/>
      <c r="G265" s="1015" t="s">
        <v>59</v>
      </c>
      <c r="H265" s="1015"/>
      <c r="I265" s="1015" t="s">
        <v>60</v>
      </c>
      <c r="J265" s="1015"/>
      <c r="K265" s="292"/>
    </row>
    <row r="266" spans="1:15" ht="15" hidden="1" customHeight="1" x14ac:dyDescent="0.25">
      <c r="A266" s="681">
        <v>1</v>
      </c>
      <c r="B266" s="1015">
        <v>2</v>
      </c>
      <c r="C266" s="1015"/>
      <c r="D266" s="1015"/>
      <c r="E266" s="1015">
        <v>3</v>
      </c>
      <c r="F266" s="1015"/>
      <c r="G266" s="1015">
        <v>4</v>
      </c>
      <c r="H266" s="1015"/>
      <c r="I266" s="1015">
        <v>5</v>
      </c>
      <c r="J266" s="1015"/>
    </row>
    <row r="267" spans="1:15" ht="15" hidden="1" customHeight="1" x14ac:dyDescent="0.25">
      <c r="A267" s="676"/>
      <c r="B267" s="1026"/>
      <c r="C267" s="1052"/>
      <c r="D267" s="1027"/>
      <c r="E267" s="1013"/>
      <c r="F267" s="1013"/>
      <c r="G267" s="1013"/>
      <c r="H267" s="1013"/>
      <c r="I267" s="1013"/>
      <c r="J267" s="1013"/>
    </row>
    <row r="268" spans="1:15" ht="15" hidden="1" customHeight="1" x14ac:dyDescent="0.25">
      <c r="A268" s="679"/>
      <c r="B268" s="1014" t="s">
        <v>13</v>
      </c>
      <c r="C268" s="1014"/>
      <c r="D268" s="1014"/>
      <c r="E268" s="1053" t="s">
        <v>14</v>
      </c>
      <c r="F268" s="1053"/>
      <c r="G268" s="1053" t="s">
        <v>14</v>
      </c>
      <c r="H268" s="1053"/>
      <c r="I268" s="1053"/>
      <c r="J268" s="1053"/>
    </row>
    <row r="269" spans="1:15" ht="15" hidden="1" customHeight="1" x14ac:dyDescent="0.25">
      <c r="A269" s="376"/>
      <c r="B269" s="375"/>
      <c r="C269" s="375"/>
      <c r="D269" s="375"/>
      <c r="E269" s="376"/>
      <c r="F269" s="376"/>
      <c r="G269" s="376"/>
      <c r="H269" s="376"/>
      <c r="I269" s="376"/>
      <c r="J269" s="444"/>
    </row>
    <row r="270" spans="1:15" ht="16.5" customHeight="1" x14ac:dyDescent="0.25">
      <c r="A270" s="1055" t="s">
        <v>275</v>
      </c>
      <c r="B270" s="1055"/>
      <c r="C270" s="1055"/>
      <c r="D270" s="1055"/>
      <c r="E270" s="1055"/>
      <c r="F270" s="1055"/>
      <c r="G270" s="1055"/>
      <c r="H270" s="1055"/>
      <c r="I270" s="1055"/>
      <c r="J270" s="1055"/>
    </row>
    <row r="271" spans="1:15" ht="15" customHeight="1" x14ac:dyDescent="0.25">
      <c r="A271" s="1075" t="s">
        <v>1</v>
      </c>
      <c r="B271" s="1134" t="s">
        <v>15</v>
      </c>
      <c r="C271" s="1135"/>
      <c r="D271" s="1136"/>
      <c r="E271" s="1075" t="s">
        <v>678</v>
      </c>
      <c r="F271" s="1075" t="s">
        <v>62</v>
      </c>
      <c r="G271" s="1015" t="s">
        <v>63</v>
      </c>
      <c r="H271" s="1015"/>
      <c r="I271" s="1015"/>
      <c r="J271" s="1015"/>
      <c r="K271" s="1021" t="s">
        <v>651</v>
      </c>
    </row>
    <row r="272" spans="1:15" ht="24" customHeight="1" x14ac:dyDescent="0.25">
      <c r="A272" s="1076"/>
      <c r="B272" s="1137"/>
      <c r="C272" s="1138"/>
      <c r="D272" s="1139"/>
      <c r="E272" s="1076"/>
      <c r="F272" s="1076"/>
      <c r="G272" s="681" t="s">
        <v>298</v>
      </c>
      <c r="H272" s="681" t="s">
        <v>295</v>
      </c>
      <c r="I272" s="680" t="s">
        <v>296</v>
      </c>
      <c r="J272" s="445" t="s">
        <v>297</v>
      </c>
      <c r="K272" s="1021"/>
    </row>
    <row r="273" spans="1:16" ht="11.25" customHeight="1" x14ac:dyDescent="0.25">
      <c r="A273" s="681">
        <v>1</v>
      </c>
      <c r="B273" s="1015">
        <v>2</v>
      </c>
      <c r="C273" s="1015"/>
      <c r="D273" s="1015"/>
      <c r="E273" s="681">
        <v>3</v>
      </c>
      <c r="F273" s="681">
        <v>4</v>
      </c>
      <c r="G273" s="1024">
        <v>5</v>
      </c>
      <c r="H273" s="1077"/>
      <c r="I273" s="1077"/>
      <c r="J273" s="1025"/>
      <c r="K273" s="1021"/>
    </row>
    <row r="274" spans="1:16" ht="49.5" customHeight="1" x14ac:dyDescent="0.3">
      <c r="A274" s="676">
        <v>1</v>
      </c>
      <c r="B274" s="1040" t="s">
        <v>332</v>
      </c>
      <c r="C274" s="1040"/>
      <c r="D274" s="1040"/>
      <c r="E274" s="676" t="s">
        <v>160</v>
      </c>
      <c r="F274" s="676">
        <v>12</v>
      </c>
      <c r="G274" s="676" t="s">
        <v>299</v>
      </c>
      <c r="H274" s="676">
        <v>12</v>
      </c>
      <c r="I274" s="163">
        <v>4000</v>
      </c>
      <c r="J274" s="446">
        <f>H274*I274</f>
        <v>48000</v>
      </c>
      <c r="K274" s="704" t="s">
        <v>1119</v>
      </c>
      <c r="L274" s="353">
        <v>36000</v>
      </c>
    </row>
    <row r="275" spans="1:16" ht="28.5" hidden="1" customHeight="1" x14ac:dyDescent="0.25">
      <c r="A275" s="676"/>
      <c r="B275" s="1040" t="s">
        <v>333</v>
      </c>
      <c r="C275" s="1040"/>
      <c r="D275" s="1040"/>
      <c r="E275" s="676" t="s">
        <v>160</v>
      </c>
      <c r="F275" s="676"/>
      <c r="G275" s="676"/>
      <c r="H275" s="676"/>
      <c r="I275" s="163"/>
      <c r="J275" s="446"/>
      <c r="K275" s="304"/>
    </row>
    <row r="276" spans="1:16" ht="19.5" customHeight="1" x14ac:dyDescent="0.25">
      <c r="A276" s="1093">
        <v>2</v>
      </c>
      <c r="B276" s="1249" t="s">
        <v>329</v>
      </c>
      <c r="C276" s="1250"/>
      <c r="D276" s="1251"/>
      <c r="E276" s="1083" t="s">
        <v>160</v>
      </c>
      <c r="F276" s="1083">
        <v>12</v>
      </c>
      <c r="G276" s="1083" t="s">
        <v>299</v>
      </c>
      <c r="H276" s="1083">
        <v>12</v>
      </c>
      <c r="I276" s="1107">
        <v>8440.91</v>
      </c>
      <c r="J276" s="1255">
        <f>H276*I276</f>
        <v>101290.92</v>
      </c>
      <c r="K276" s="1028" t="s">
        <v>1120</v>
      </c>
    </row>
    <row r="277" spans="1:16" ht="17.25" customHeight="1" x14ac:dyDescent="0.35">
      <c r="A277" s="1094"/>
      <c r="B277" s="1252"/>
      <c r="C277" s="1253"/>
      <c r="D277" s="1254"/>
      <c r="E277" s="1088"/>
      <c r="F277" s="1088"/>
      <c r="G277" s="1088"/>
      <c r="H277" s="1088"/>
      <c r="I277" s="1108"/>
      <c r="J277" s="1256"/>
      <c r="K277" s="1030"/>
      <c r="L277" s="309" t="s">
        <v>664</v>
      </c>
    </row>
    <row r="278" spans="1:16" ht="113.25" customHeight="1" x14ac:dyDescent="0.25">
      <c r="A278" s="676">
        <v>3</v>
      </c>
      <c r="B278" s="1040" t="s">
        <v>330</v>
      </c>
      <c r="C278" s="1040"/>
      <c r="D278" s="1040"/>
      <c r="E278" s="676" t="s">
        <v>1161</v>
      </c>
      <c r="F278" s="676">
        <v>12</v>
      </c>
      <c r="G278" s="676" t="s">
        <v>299</v>
      </c>
      <c r="H278" s="676">
        <v>12</v>
      </c>
      <c r="I278" s="163">
        <f>5*7271.1</f>
        <v>36355.5</v>
      </c>
      <c r="J278" s="446">
        <f>I278*12</f>
        <v>436266</v>
      </c>
      <c r="K278" s="304" t="s">
        <v>1172</v>
      </c>
      <c r="N278" s="164">
        <v>-18900</v>
      </c>
    </row>
    <row r="279" spans="1:16" ht="81.75" customHeight="1" x14ac:dyDescent="0.25">
      <c r="A279" s="676">
        <v>4</v>
      </c>
      <c r="B279" s="1040" t="s">
        <v>105</v>
      </c>
      <c r="C279" s="1040"/>
      <c r="D279" s="1040"/>
      <c r="E279" s="676" t="s">
        <v>688</v>
      </c>
      <c r="F279" s="676">
        <v>12</v>
      </c>
      <c r="G279" s="676" t="s">
        <v>299</v>
      </c>
      <c r="H279" s="676">
        <v>12</v>
      </c>
      <c r="I279" s="163">
        <v>15000</v>
      </c>
      <c r="J279" s="446">
        <f>I279*12</f>
        <v>180000</v>
      </c>
      <c r="K279" s="304" t="s">
        <v>1121</v>
      </c>
      <c r="L279" s="289"/>
      <c r="N279" s="164" t="s">
        <v>752</v>
      </c>
      <c r="P279" s="164">
        <f>248217.6-208859.5</f>
        <v>39358.100000000006</v>
      </c>
    </row>
    <row r="280" spans="1:16" ht="64.5" customHeight="1" x14ac:dyDescent="0.25">
      <c r="A280" s="676">
        <v>5</v>
      </c>
      <c r="B280" s="1040" t="s">
        <v>252</v>
      </c>
      <c r="C280" s="1040"/>
      <c r="D280" s="1040"/>
      <c r="E280" s="676" t="s">
        <v>160</v>
      </c>
      <c r="F280" s="676">
        <v>12</v>
      </c>
      <c r="G280" s="676" t="s">
        <v>299</v>
      </c>
      <c r="H280" s="676">
        <v>12</v>
      </c>
      <c r="I280" s="163">
        <v>4977.5</v>
      </c>
      <c r="J280" s="446">
        <f>H280*I280</f>
        <v>59730</v>
      </c>
      <c r="K280" s="708" t="s">
        <v>1122</v>
      </c>
      <c r="L280" s="438">
        <v>59730</v>
      </c>
      <c r="N280" s="164">
        <v>12</v>
      </c>
      <c r="O280" s="164">
        <f>L280/N280</f>
        <v>4977.5</v>
      </c>
    </row>
    <row r="281" spans="1:16" ht="17.25" customHeight="1" x14ac:dyDescent="0.25">
      <c r="A281" s="1083">
        <v>6</v>
      </c>
      <c r="B281" s="1057" t="s">
        <v>1168</v>
      </c>
      <c r="C281" s="1058"/>
      <c r="D281" s="1059"/>
      <c r="E281" s="1083" t="s">
        <v>1169</v>
      </c>
      <c r="F281" s="1083">
        <v>9</v>
      </c>
      <c r="G281" s="1083" t="s">
        <v>299</v>
      </c>
      <c r="H281" s="1083">
        <v>9</v>
      </c>
      <c r="I281" s="1107">
        <v>11000</v>
      </c>
      <c r="J281" s="1279">
        <f>H281*I281</f>
        <v>99000</v>
      </c>
      <c r="K281" s="1085"/>
    </row>
    <row r="282" spans="1:16" ht="15.75" customHeight="1" x14ac:dyDescent="0.25">
      <c r="A282" s="1084"/>
      <c r="B282" s="1060"/>
      <c r="C282" s="1061"/>
      <c r="D282" s="1062"/>
      <c r="E282" s="1088"/>
      <c r="F282" s="1088"/>
      <c r="G282" s="1088"/>
      <c r="H282" s="1088"/>
      <c r="I282" s="1108"/>
      <c r="J282" s="1280"/>
      <c r="K282" s="1086"/>
    </row>
    <row r="283" spans="1:16" ht="24" customHeight="1" x14ac:dyDescent="0.25">
      <c r="A283" s="676">
        <v>7</v>
      </c>
      <c r="B283" s="1040" t="s">
        <v>462</v>
      </c>
      <c r="C283" s="1040"/>
      <c r="D283" s="1040"/>
      <c r="E283" s="676" t="s">
        <v>160</v>
      </c>
      <c r="F283" s="676">
        <v>12</v>
      </c>
      <c r="G283" s="676" t="s">
        <v>299</v>
      </c>
      <c r="H283" s="676">
        <v>12</v>
      </c>
      <c r="I283" s="163">
        <v>1236</v>
      </c>
      <c r="J283" s="756">
        <f>H283*I283</f>
        <v>14832</v>
      </c>
      <c r="K283" s="704" t="s">
        <v>1123</v>
      </c>
      <c r="L283" s="164" t="s">
        <v>663</v>
      </c>
    </row>
    <row r="284" spans="1:16" ht="19.5" customHeight="1" x14ac:dyDescent="0.25">
      <c r="A284" s="676">
        <v>8</v>
      </c>
      <c r="B284" s="1017" t="s">
        <v>709</v>
      </c>
      <c r="C284" s="1018"/>
      <c r="D284" s="1019"/>
      <c r="E284" s="676" t="s">
        <v>677</v>
      </c>
      <c r="F284" s="676">
        <v>1</v>
      </c>
      <c r="G284" s="676" t="s">
        <v>640</v>
      </c>
      <c r="H284" s="676">
        <v>1</v>
      </c>
      <c r="I284" s="163">
        <v>70000</v>
      </c>
      <c r="J284" s="446">
        <f>H284*I284</f>
        <v>70000</v>
      </c>
      <c r="K284" s="305"/>
      <c r="L284" s="279">
        <v>70380</v>
      </c>
    </row>
    <row r="285" spans="1:16" ht="23.25" customHeight="1" x14ac:dyDescent="0.25">
      <c r="A285" s="676">
        <v>9</v>
      </c>
      <c r="B285" s="1040" t="s">
        <v>660</v>
      </c>
      <c r="C285" s="1040"/>
      <c r="D285" s="1040"/>
      <c r="E285" s="676" t="s">
        <v>677</v>
      </c>
      <c r="F285" s="676">
        <v>1</v>
      </c>
      <c r="G285" s="676" t="s">
        <v>661</v>
      </c>
      <c r="H285" s="676">
        <v>1</v>
      </c>
      <c r="I285" s="163">
        <v>40000</v>
      </c>
      <c r="J285" s="446">
        <f>I285</f>
        <v>40000</v>
      </c>
      <c r="K285" s="305"/>
      <c r="L285" s="279"/>
    </row>
    <row r="286" spans="1:16" ht="44.25" customHeight="1" x14ac:dyDescent="0.25">
      <c r="A286" s="676">
        <v>10</v>
      </c>
      <c r="B286" s="1040" t="s">
        <v>128</v>
      </c>
      <c r="C286" s="1040"/>
      <c r="D286" s="1040"/>
      <c r="E286" s="676" t="s">
        <v>677</v>
      </c>
      <c r="F286" s="676">
        <v>1</v>
      </c>
      <c r="G286" s="676" t="s">
        <v>299</v>
      </c>
      <c r="H286" s="676">
        <v>1</v>
      </c>
      <c r="I286" s="163">
        <v>0</v>
      </c>
      <c r="J286" s="446">
        <f>H286*I286</f>
        <v>0</v>
      </c>
      <c r="K286" s="304" t="s">
        <v>699</v>
      </c>
      <c r="L286" s="279"/>
    </row>
    <row r="287" spans="1:16" ht="21.75" hidden="1" customHeight="1" x14ac:dyDescent="0.25">
      <c r="A287" s="676">
        <v>11</v>
      </c>
      <c r="B287" s="1040" t="s">
        <v>337</v>
      </c>
      <c r="C287" s="1040"/>
      <c r="D287" s="1040"/>
      <c r="E287" s="676"/>
      <c r="F287" s="676">
        <v>0</v>
      </c>
      <c r="G287" s="676" t="s">
        <v>299</v>
      </c>
      <c r="H287" s="676">
        <v>0</v>
      </c>
      <c r="I287" s="163">
        <v>0</v>
      </c>
      <c r="J287" s="446">
        <v>0</v>
      </c>
      <c r="K287" s="304"/>
    </row>
    <row r="288" spans="1:16" x14ac:dyDescent="0.25">
      <c r="A288" s="676">
        <v>11</v>
      </c>
      <c r="B288" s="1017" t="s">
        <v>129</v>
      </c>
      <c r="C288" s="1080"/>
      <c r="D288" s="1081"/>
      <c r="E288" s="676" t="s">
        <v>677</v>
      </c>
      <c r="F288" s="676">
        <v>1</v>
      </c>
      <c r="G288" s="676" t="s">
        <v>299</v>
      </c>
      <c r="H288" s="676">
        <v>1</v>
      </c>
      <c r="I288" s="163">
        <v>10000</v>
      </c>
      <c r="J288" s="446">
        <f t="shared" ref="J288:J292" si="19">H288*I288</f>
        <v>10000</v>
      </c>
      <c r="K288" s="304" t="s">
        <v>699</v>
      </c>
    </row>
    <row r="289" spans="1:14" ht="36.75" customHeight="1" x14ac:dyDescent="0.25">
      <c r="A289" s="676">
        <v>12</v>
      </c>
      <c r="B289" s="1040" t="s">
        <v>601</v>
      </c>
      <c r="C289" s="1040"/>
      <c r="D289" s="1040"/>
      <c r="E289" s="676" t="s">
        <v>677</v>
      </c>
      <c r="F289" s="676">
        <v>1</v>
      </c>
      <c r="G289" s="676" t="s">
        <v>299</v>
      </c>
      <c r="H289" s="676">
        <v>1</v>
      </c>
      <c r="I289" s="163">
        <v>18000</v>
      </c>
      <c r="J289" s="446">
        <f t="shared" si="19"/>
        <v>18000</v>
      </c>
      <c r="K289" s="304" t="s">
        <v>699</v>
      </c>
    </row>
    <row r="290" spans="1:14" ht="55.5" hidden="1" customHeight="1" x14ac:dyDescent="0.25">
      <c r="A290" s="676">
        <v>12</v>
      </c>
      <c r="B290" s="1017" t="s">
        <v>736</v>
      </c>
      <c r="C290" s="1018"/>
      <c r="D290" s="1019"/>
      <c r="E290" s="676" t="s">
        <v>732</v>
      </c>
      <c r="F290" s="676">
        <v>1</v>
      </c>
      <c r="G290" s="676" t="s">
        <v>299</v>
      </c>
      <c r="H290" s="676">
        <v>1</v>
      </c>
      <c r="I290" s="163">
        <v>0</v>
      </c>
      <c r="J290" s="446">
        <f>I290*12</f>
        <v>0</v>
      </c>
      <c r="K290" s="304"/>
    </row>
    <row r="291" spans="1:14" ht="38.25" hidden="1" customHeight="1" x14ac:dyDescent="0.25">
      <c r="A291" s="676">
        <v>13</v>
      </c>
      <c r="B291" s="1017" t="s">
        <v>463</v>
      </c>
      <c r="C291" s="1018"/>
      <c r="D291" s="1019"/>
      <c r="E291" s="676" t="s">
        <v>677</v>
      </c>
      <c r="F291" s="676">
        <v>1</v>
      </c>
      <c r="G291" s="676" t="s">
        <v>299</v>
      </c>
      <c r="H291" s="676">
        <v>1</v>
      </c>
      <c r="I291" s="163">
        <v>0</v>
      </c>
      <c r="J291" s="446">
        <f t="shared" si="19"/>
        <v>0</v>
      </c>
      <c r="K291" s="708"/>
    </row>
    <row r="292" spans="1:14" ht="38.25" hidden="1" customHeight="1" x14ac:dyDescent="0.25">
      <c r="A292" s="676">
        <v>14</v>
      </c>
      <c r="B292" s="1017" t="s">
        <v>113</v>
      </c>
      <c r="C292" s="1018"/>
      <c r="D292" s="1019"/>
      <c r="E292" s="676" t="s">
        <v>677</v>
      </c>
      <c r="F292" s="676">
        <v>1</v>
      </c>
      <c r="G292" s="676" t="s">
        <v>299</v>
      </c>
      <c r="H292" s="676">
        <v>1</v>
      </c>
      <c r="I292" s="163">
        <v>0</v>
      </c>
      <c r="J292" s="446">
        <f t="shared" si="19"/>
        <v>0</v>
      </c>
      <c r="K292" s="708" t="s">
        <v>698</v>
      </c>
    </row>
    <row r="293" spans="1:14" ht="36" hidden="1" customHeight="1" x14ac:dyDescent="0.25">
      <c r="A293" s="676">
        <v>14</v>
      </c>
      <c r="B293" s="1017" t="s">
        <v>607</v>
      </c>
      <c r="C293" s="1018"/>
      <c r="D293" s="1019"/>
      <c r="E293" s="676" t="s">
        <v>606</v>
      </c>
      <c r="F293" s="676">
        <v>4</v>
      </c>
      <c r="G293" s="676" t="s">
        <v>299</v>
      </c>
      <c r="H293" s="676">
        <v>4</v>
      </c>
      <c r="I293" s="163">
        <v>0</v>
      </c>
      <c r="J293" s="446">
        <v>0</v>
      </c>
      <c r="K293" s="708" t="s">
        <v>1124</v>
      </c>
      <c r="L293" s="164">
        <v>40000</v>
      </c>
      <c r="N293" s="164">
        <v>40000</v>
      </c>
    </row>
    <row r="294" spans="1:14" ht="47.25" hidden="1" customHeight="1" x14ac:dyDescent="0.25">
      <c r="A294" s="676">
        <v>18</v>
      </c>
      <c r="B294" s="1017" t="s">
        <v>636</v>
      </c>
      <c r="C294" s="1018"/>
      <c r="D294" s="1019"/>
      <c r="E294" s="676" t="s">
        <v>160</v>
      </c>
      <c r="F294" s="676">
        <v>12</v>
      </c>
      <c r="G294" s="676" t="s">
        <v>299</v>
      </c>
      <c r="H294" s="676">
        <v>12</v>
      </c>
      <c r="I294" s="163">
        <v>0</v>
      </c>
      <c r="J294" s="446">
        <f t="shared" ref="J294:J299" si="20">H294*I294</f>
        <v>0</v>
      </c>
      <c r="K294" s="293"/>
      <c r="N294" s="164" t="s">
        <v>605</v>
      </c>
    </row>
    <row r="295" spans="1:14" ht="36" customHeight="1" x14ac:dyDescent="0.25">
      <c r="A295" s="676">
        <v>13</v>
      </c>
      <c r="B295" s="1017" t="s">
        <v>637</v>
      </c>
      <c r="C295" s="1018"/>
      <c r="D295" s="1019"/>
      <c r="E295" s="676" t="s">
        <v>676</v>
      </c>
      <c r="F295" s="676">
        <v>2</v>
      </c>
      <c r="G295" s="676" t="s">
        <v>299</v>
      </c>
      <c r="H295" s="676">
        <v>3</v>
      </c>
      <c r="I295" s="163">
        <v>2405</v>
      </c>
      <c r="J295" s="446">
        <f>I295*F295</f>
        <v>4810</v>
      </c>
      <c r="K295" s="708" t="s">
        <v>1125</v>
      </c>
      <c r="L295" s="308"/>
      <c r="N295" s="164">
        <v>5760</v>
      </c>
    </row>
    <row r="296" spans="1:14" ht="53.25" hidden="1" customHeight="1" x14ac:dyDescent="0.25">
      <c r="A296" s="676">
        <v>20</v>
      </c>
      <c r="B296" s="1017" t="s">
        <v>697</v>
      </c>
      <c r="C296" s="1018"/>
      <c r="D296" s="1019"/>
      <c r="E296" s="676" t="s">
        <v>700</v>
      </c>
      <c r="F296" s="676">
        <v>7</v>
      </c>
      <c r="G296" s="676" t="s">
        <v>299</v>
      </c>
      <c r="H296" s="676">
        <v>7</v>
      </c>
      <c r="I296" s="163">
        <v>0</v>
      </c>
      <c r="J296" s="446">
        <f t="shared" si="20"/>
        <v>0</v>
      </c>
      <c r="K296" s="708" t="s">
        <v>635</v>
      </c>
    </row>
    <row r="297" spans="1:14" ht="52.5" hidden="1" customHeight="1" x14ac:dyDescent="0.25">
      <c r="A297" s="676">
        <v>21</v>
      </c>
      <c r="B297" s="1017" t="s">
        <v>638</v>
      </c>
      <c r="C297" s="1018"/>
      <c r="D297" s="1019"/>
      <c r="E297" s="676" t="s">
        <v>160</v>
      </c>
      <c r="F297" s="676">
        <v>12</v>
      </c>
      <c r="G297" s="676" t="s">
        <v>299</v>
      </c>
      <c r="H297" s="676">
        <v>12</v>
      </c>
      <c r="I297" s="163">
        <v>0</v>
      </c>
      <c r="J297" s="446">
        <f t="shared" si="20"/>
        <v>0</v>
      </c>
      <c r="K297" s="708"/>
    </row>
    <row r="298" spans="1:14" ht="48" hidden="1" customHeight="1" x14ac:dyDescent="0.25">
      <c r="A298" s="676">
        <v>22</v>
      </c>
      <c r="B298" s="1017" t="s">
        <v>639</v>
      </c>
      <c r="C298" s="1018"/>
      <c r="D298" s="1019"/>
      <c r="E298" s="676" t="s">
        <v>160</v>
      </c>
      <c r="F298" s="676">
        <v>12</v>
      </c>
      <c r="G298" s="676" t="s">
        <v>299</v>
      </c>
      <c r="H298" s="676">
        <v>12</v>
      </c>
      <c r="I298" s="163">
        <v>0</v>
      </c>
      <c r="J298" s="446">
        <f t="shared" si="20"/>
        <v>0</v>
      </c>
      <c r="K298" s="708"/>
    </row>
    <row r="299" spans="1:14" ht="38.25" hidden="1" customHeight="1" x14ac:dyDescent="0.25">
      <c r="A299" s="676">
        <v>23</v>
      </c>
      <c r="B299" s="1017" t="s">
        <v>701</v>
      </c>
      <c r="C299" s="1018"/>
      <c r="D299" s="1019"/>
      <c r="E299" s="676" t="s">
        <v>713</v>
      </c>
      <c r="F299" s="676">
        <v>1</v>
      </c>
      <c r="G299" s="676" t="s">
        <v>299</v>
      </c>
      <c r="H299" s="676">
        <v>1</v>
      </c>
      <c r="I299" s="163">
        <v>0</v>
      </c>
      <c r="J299" s="446">
        <f t="shared" si="20"/>
        <v>0</v>
      </c>
      <c r="K299" s="708" t="s">
        <v>714</v>
      </c>
    </row>
    <row r="300" spans="1:14" ht="0.75" customHeight="1" x14ac:dyDescent="0.25">
      <c r="A300" s="676">
        <v>16</v>
      </c>
      <c r="B300" s="1017"/>
      <c r="C300" s="1018"/>
      <c r="D300" s="1019"/>
      <c r="E300" s="676"/>
      <c r="F300" s="676">
        <v>1</v>
      </c>
      <c r="G300" s="676" t="s">
        <v>299</v>
      </c>
      <c r="H300" s="676">
        <v>1</v>
      </c>
      <c r="I300" s="163"/>
      <c r="J300" s="446"/>
      <c r="K300" s="708"/>
    </row>
    <row r="301" spans="1:14" ht="38.25" customHeight="1" x14ac:dyDescent="0.25">
      <c r="A301" s="676">
        <v>14</v>
      </c>
      <c r="B301" s="1017" t="s">
        <v>766</v>
      </c>
      <c r="C301" s="1018"/>
      <c r="D301" s="1019"/>
      <c r="E301" s="676" t="s">
        <v>677</v>
      </c>
      <c r="F301" s="676">
        <v>1</v>
      </c>
      <c r="G301" s="676" t="s">
        <v>299</v>
      </c>
      <c r="H301" s="676">
        <v>1</v>
      </c>
      <c r="I301" s="163">
        <f>2500+571.08</f>
        <v>3071.08</v>
      </c>
      <c r="J301" s="446">
        <f>I301</f>
        <v>3071.08</v>
      </c>
      <c r="K301" s="708" t="s">
        <v>1126</v>
      </c>
    </row>
    <row r="302" spans="1:14" ht="38.25" customHeight="1" x14ac:dyDescent="0.25">
      <c r="A302" s="676">
        <v>15</v>
      </c>
      <c r="B302" s="1017" t="s">
        <v>697</v>
      </c>
      <c r="C302" s="1018"/>
      <c r="D302" s="1019"/>
      <c r="E302" s="676" t="s">
        <v>700</v>
      </c>
      <c r="F302" s="676">
        <v>7</v>
      </c>
      <c r="G302" s="676" t="s">
        <v>1134</v>
      </c>
      <c r="H302" s="676">
        <v>7</v>
      </c>
      <c r="I302" s="163">
        <v>0</v>
      </c>
      <c r="J302" s="446">
        <f>H302*I302</f>
        <v>0</v>
      </c>
      <c r="K302" s="708" t="s">
        <v>635</v>
      </c>
    </row>
    <row r="303" spans="1:14" ht="63.75" customHeight="1" x14ac:dyDescent="0.25">
      <c r="A303" s="676">
        <v>15</v>
      </c>
      <c r="B303" s="1017" t="s">
        <v>1136</v>
      </c>
      <c r="C303" s="1018"/>
      <c r="D303" s="1019"/>
      <c r="E303" s="676" t="s">
        <v>160</v>
      </c>
      <c r="F303" s="676">
        <v>12</v>
      </c>
      <c r="G303" s="676" t="s">
        <v>299</v>
      </c>
      <c r="H303" s="676">
        <v>12</v>
      </c>
      <c r="I303" s="163">
        <v>0</v>
      </c>
      <c r="J303" s="446">
        <v>0</v>
      </c>
      <c r="K303" s="708" t="s">
        <v>1135</v>
      </c>
    </row>
    <row r="304" spans="1:14" x14ac:dyDescent="0.25">
      <c r="A304" s="679"/>
      <c r="B304" s="1014" t="s">
        <v>13</v>
      </c>
      <c r="C304" s="1014"/>
      <c r="D304" s="1014"/>
      <c r="E304" s="679" t="s">
        <v>14</v>
      </c>
      <c r="F304" s="679" t="s">
        <v>14</v>
      </c>
      <c r="G304" s="1140">
        <f>SUM(J274:J303)</f>
        <v>1085000</v>
      </c>
      <c r="H304" s="1141"/>
      <c r="I304" s="1141"/>
      <c r="J304" s="1141"/>
    </row>
    <row r="305" spans="1:14" ht="17.25" customHeight="1" x14ac:dyDescent="0.25">
      <c r="A305" s="1056" t="s">
        <v>280</v>
      </c>
      <c r="B305" s="1056"/>
      <c r="C305" s="1056"/>
      <c r="D305" s="1056"/>
      <c r="E305" s="1056"/>
      <c r="F305" s="1056"/>
      <c r="G305" s="1056"/>
      <c r="H305" s="1056"/>
      <c r="I305" s="1056"/>
      <c r="J305" s="1056"/>
    </row>
    <row r="306" spans="1:14" ht="17.25" customHeight="1" x14ac:dyDescent="0.25">
      <c r="A306" s="1075" t="s">
        <v>1</v>
      </c>
      <c r="B306" s="1134" t="s">
        <v>15</v>
      </c>
      <c r="C306" s="1135"/>
      <c r="D306" s="1136"/>
      <c r="E306" s="1134" t="s">
        <v>64</v>
      </c>
      <c r="F306" s="1136"/>
      <c r="G306" s="1015" t="s">
        <v>65</v>
      </c>
      <c r="H306" s="1015"/>
      <c r="I306" s="1015"/>
      <c r="J306" s="1015"/>
      <c r="K306" s="1021" t="s">
        <v>652</v>
      </c>
    </row>
    <row r="307" spans="1:14" ht="27.75" customHeight="1" x14ac:dyDescent="0.25">
      <c r="A307" s="1076"/>
      <c r="B307" s="1137"/>
      <c r="C307" s="1138"/>
      <c r="D307" s="1139"/>
      <c r="E307" s="1137"/>
      <c r="F307" s="1139"/>
      <c r="G307" s="681" t="s">
        <v>298</v>
      </c>
      <c r="H307" s="681" t="s">
        <v>295</v>
      </c>
      <c r="I307" s="681" t="s">
        <v>296</v>
      </c>
      <c r="J307" s="445" t="s">
        <v>297</v>
      </c>
      <c r="K307" s="1021"/>
    </row>
    <row r="308" spans="1:14" ht="14.25" customHeight="1" x14ac:dyDescent="0.25">
      <c r="A308" s="681">
        <v>1</v>
      </c>
      <c r="B308" s="1015">
        <v>2</v>
      </c>
      <c r="C308" s="1015"/>
      <c r="D308" s="1015"/>
      <c r="E308" s="1024">
        <v>3</v>
      </c>
      <c r="F308" s="1025"/>
      <c r="G308" s="1015">
        <v>4</v>
      </c>
      <c r="H308" s="1015"/>
      <c r="I308" s="1015"/>
      <c r="J308" s="1015"/>
      <c r="K308" s="1021"/>
    </row>
    <row r="309" spans="1:14" ht="30" customHeight="1" x14ac:dyDescent="0.25">
      <c r="A309" s="679" t="s">
        <v>70</v>
      </c>
      <c r="B309" s="1041" t="s">
        <v>347</v>
      </c>
      <c r="C309" s="1042"/>
      <c r="D309" s="1043"/>
      <c r="E309" s="1038" t="s">
        <v>74</v>
      </c>
      <c r="F309" s="1039"/>
      <c r="G309" s="336" t="s">
        <v>74</v>
      </c>
      <c r="H309" s="336" t="s">
        <v>74</v>
      </c>
      <c r="I309" s="385" t="s">
        <v>74</v>
      </c>
      <c r="J309" s="447">
        <f>SUM(J310:J332)</f>
        <v>2953000</v>
      </c>
      <c r="K309" s="1021"/>
    </row>
    <row r="310" spans="1:14" ht="36" customHeight="1" x14ac:dyDescent="0.25">
      <c r="A310" s="676" t="s">
        <v>27</v>
      </c>
      <c r="B310" s="1040" t="s">
        <v>464</v>
      </c>
      <c r="C310" s="1040"/>
      <c r="D310" s="1040"/>
      <c r="E310" s="1026">
        <v>1</v>
      </c>
      <c r="F310" s="1027"/>
      <c r="G310" s="676" t="s">
        <v>299</v>
      </c>
      <c r="H310" s="676" t="s">
        <v>1093</v>
      </c>
      <c r="I310" s="161">
        <v>247.5</v>
      </c>
      <c r="J310" s="446">
        <f>366*24*247.5</f>
        <v>2174040</v>
      </c>
      <c r="K310" s="304" t="s">
        <v>1099</v>
      </c>
      <c r="L310" s="164">
        <v>482370</v>
      </c>
    </row>
    <row r="311" spans="1:14" s="276" customFormat="1" ht="38.25" customHeight="1" x14ac:dyDescent="0.35">
      <c r="A311" s="683" t="s">
        <v>29</v>
      </c>
      <c r="B311" s="1017" t="s">
        <v>323</v>
      </c>
      <c r="C311" s="1080"/>
      <c r="D311" s="1081"/>
      <c r="E311" s="1317">
        <v>1</v>
      </c>
      <c r="F311" s="1318"/>
      <c r="G311" s="676" t="s">
        <v>299</v>
      </c>
      <c r="H311" s="676" t="s">
        <v>1093</v>
      </c>
      <c r="I311" s="161">
        <v>19.399999999999999</v>
      </c>
      <c r="J311" s="756">
        <f>366*24*19.4</f>
        <v>170409.59999999998</v>
      </c>
      <c r="K311" s="704" t="s">
        <v>1100</v>
      </c>
      <c r="L311" s="354">
        <v>77784.2</v>
      </c>
    </row>
    <row r="312" spans="1:14" ht="61.5" customHeight="1" x14ac:dyDescent="0.35">
      <c r="A312" s="676" t="s">
        <v>31</v>
      </c>
      <c r="B312" s="1040" t="s">
        <v>738</v>
      </c>
      <c r="C312" s="1040"/>
      <c r="D312" s="1040"/>
      <c r="E312" s="1026">
        <v>1</v>
      </c>
      <c r="F312" s="1027"/>
      <c r="G312" s="676" t="s">
        <v>299</v>
      </c>
      <c r="H312" s="676">
        <v>12</v>
      </c>
      <c r="I312" s="161">
        <v>6200</v>
      </c>
      <c r="J312" s="756">
        <f>H312*I312</f>
        <v>74400</v>
      </c>
      <c r="K312" s="304" t="s">
        <v>1127</v>
      </c>
      <c r="L312" s="354">
        <v>68200</v>
      </c>
    </row>
    <row r="313" spans="1:14" ht="33" customHeight="1" x14ac:dyDescent="0.35">
      <c r="A313" s="676" t="s">
        <v>264</v>
      </c>
      <c r="B313" s="1040" t="s">
        <v>739</v>
      </c>
      <c r="C313" s="1040"/>
      <c r="D313" s="1040"/>
      <c r="E313" s="1026" t="s">
        <v>741</v>
      </c>
      <c r="F313" s="1027"/>
      <c r="G313" s="676" t="s">
        <v>299</v>
      </c>
      <c r="H313" s="676">
        <v>12</v>
      </c>
      <c r="I313" s="161">
        <v>2750</v>
      </c>
      <c r="J313" s="756">
        <f>H313*I313</f>
        <v>33000</v>
      </c>
      <c r="K313" s="304" t="s">
        <v>1160</v>
      </c>
      <c r="L313" s="354" t="s">
        <v>740</v>
      </c>
    </row>
    <row r="314" spans="1:14" ht="19.5" customHeight="1" x14ac:dyDescent="0.25">
      <c r="A314" s="676" t="s">
        <v>265</v>
      </c>
      <c r="B314" s="1040" t="s">
        <v>137</v>
      </c>
      <c r="C314" s="1040"/>
      <c r="D314" s="1040"/>
      <c r="E314" s="1026">
        <v>1</v>
      </c>
      <c r="F314" s="1027"/>
      <c r="G314" s="676" t="s">
        <v>149</v>
      </c>
      <c r="H314" s="676">
        <v>85</v>
      </c>
      <c r="I314" s="161">
        <f>J314/H314</f>
        <v>4783.0591764705887</v>
      </c>
      <c r="J314" s="446">
        <f>692040.03-285480</f>
        <v>406560.03</v>
      </c>
      <c r="K314" s="304" t="s">
        <v>1137</v>
      </c>
      <c r="L314" s="282"/>
      <c r="N314" s="164">
        <v>373</v>
      </c>
    </row>
    <row r="315" spans="1:14" ht="41.25" hidden="1" customHeight="1" x14ac:dyDescent="0.25">
      <c r="A315" s="676" t="s">
        <v>276</v>
      </c>
      <c r="B315" s="1040" t="s">
        <v>465</v>
      </c>
      <c r="C315" s="1040"/>
      <c r="D315" s="1040"/>
      <c r="E315" s="1026">
        <v>1</v>
      </c>
      <c r="F315" s="1027"/>
      <c r="G315" s="676" t="s">
        <v>299</v>
      </c>
      <c r="H315" s="676">
        <v>0</v>
      </c>
      <c r="I315" s="161">
        <v>0</v>
      </c>
      <c r="J315" s="446">
        <v>0</v>
      </c>
      <c r="K315" s="304"/>
    </row>
    <row r="316" spans="1:14" ht="51.75" customHeight="1" x14ac:dyDescent="0.25">
      <c r="A316" s="676" t="s">
        <v>276</v>
      </c>
      <c r="B316" s="1040" t="s">
        <v>326</v>
      </c>
      <c r="C316" s="1040"/>
      <c r="D316" s="1040"/>
      <c r="E316" s="1026">
        <v>1</v>
      </c>
      <c r="F316" s="1027"/>
      <c r="G316" s="676" t="s">
        <v>149</v>
      </c>
      <c r="H316" s="676">
        <v>7</v>
      </c>
      <c r="I316" s="161">
        <v>300</v>
      </c>
      <c r="J316" s="446">
        <f t="shared" ref="J316:J327" si="21">H316*I316</f>
        <v>2100</v>
      </c>
      <c r="K316" s="304" t="s">
        <v>1142</v>
      </c>
    </row>
    <row r="317" spans="1:14" ht="41.25" customHeight="1" x14ac:dyDescent="0.25">
      <c r="A317" s="676" t="s">
        <v>277</v>
      </c>
      <c r="B317" s="1040" t="s">
        <v>338</v>
      </c>
      <c r="C317" s="1040"/>
      <c r="D317" s="1040"/>
      <c r="E317" s="1026">
        <v>1</v>
      </c>
      <c r="F317" s="1027"/>
      <c r="G317" s="676" t="s">
        <v>149</v>
      </c>
      <c r="H317" s="676">
        <v>2</v>
      </c>
      <c r="I317" s="161">
        <v>1500</v>
      </c>
      <c r="J317" s="446">
        <f>H317*I317</f>
        <v>3000</v>
      </c>
      <c r="K317" s="304" t="s">
        <v>1143</v>
      </c>
    </row>
    <row r="318" spans="1:14" ht="32.25" customHeight="1" x14ac:dyDescent="0.25">
      <c r="A318" s="676" t="s">
        <v>334</v>
      </c>
      <c r="B318" s="1017" t="s">
        <v>1095</v>
      </c>
      <c r="C318" s="1018"/>
      <c r="D318" s="1019"/>
      <c r="E318" s="1026">
        <v>1</v>
      </c>
      <c r="F318" s="1027"/>
      <c r="G318" s="676" t="s">
        <v>149</v>
      </c>
      <c r="H318" s="676">
        <v>2</v>
      </c>
      <c r="I318" s="161">
        <v>1500</v>
      </c>
      <c r="J318" s="446">
        <f t="shared" si="21"/>
        <v>3000</v>
      </c>
      <c r="K318" s="304" t="s">
        <v>1144</v>
      </c>
    </row>
    <row r="319" spans="1:14" ht="51.75" hidden="1" customHeight="1" x14ac:dyDescent="0.25">
      <c r="A319" s="676" t="s">
        <v>367</v>
      </c>
      <c r="B319" s="1017" t="s">
        <v>630</v>
      </c>
      <c r="C319" s="1018"/>
      <c r="D319" s="1019"/>
      <c r="E319" s="1026">
        <v>1</v>
      </c>
      <c r="F319" s="1027"/>
      <c r="G319" s="676" t="s">
        <v>631</v>
      </c>
      <c r="H319" s="676">
        <v>11</v>
      </c>
      <c r="I319" s="161">
        <v>0</v>
      </c>
      <c r="J319" s="446">
        <f t="shared" si="21"/>
        <v>0</v>
      </c>
      <c r="K319" s="304" t="s">
        <v>1171</v>
      </c>
    </row>
    <row r="320" spans="1:14" ht="51.75" customHeight="1" x14ac:dyDescent="0.25">
      <c r="A320" s="676" t="s">
        <v>348</v>
      </c>
      <c r="B320" s="1017" t="s">
        <v>690</v>
      </c>
      <c r="C320" s="1018"/>
      <c r="D320" s="1019"/>
      <c r="E320" s="1026">
        <v>1</v>
      </c>
      <c r="F320" s="1027"/>
      <c r="G320" s="676" t="s">
        <v>631</v>
      </c>
      <c r="H320" s="676">
        <v>10</v>
      </c>
      <c r="I320" s="161">
        <v>2000</v>
      </c>
      <c r="J320" s="446">
        <f t="shared" si="21"/>
        <v>20000</v>
      </c>
      <c r="K320" s="304" t="s">
        <v>1148</v>
      </c>
    </row>
    <row r="321" spans="1:12" ht="51.75" hidden="1" customHeight="1" x14ac:dyDescent="0.25">
      <c r="A321" s="676" t="s">
        <v>369</v>
      </c>
      <c r="B321" s="1017" t="s">
        <v>691</v>
      </c>
      <c r="C321" s="1018"/>
      <c r="D321" s="1019"/>
      <c r="E321" s="1026">
        <v>1</v>
      </c>
      <c r="F321" s="1027"/>
      <c r="G321" s="676" t="s">
        <v>631</v>
      </c>
      <c r="H321" s="676">
        <v>0</v>
      </c>
      <c r="I321" s="161">
        <v>0</v>
      </c>
      <c r="J321" s="446">
        <f t="shared" si="21"/>
        <v>0</v>
      </c>
      <c r="K321" s="304" t="s">
        <v>695</v>
      </c>
    </row>
    <row r="322" spans="1:12" ht="51.75" hidden="1" customHeight="1" x14ac:dyDescent="0.25">
      <c r="A322" s="676" t="s">
        <v>632</v>
      </c>
      <c r="B322" s="1017" t="s">
        <v>692</v>
      </c>
      <c r="C322" s="1018"/>
      <c r="D322" s="1019"/>
      <c r="E322" s="1026">
        <v>1</v>
      </c>
      <c r="F322" s="1027"/>
      <c r="G322" s="676" t="s">
        <v>631</v>
      </c>
      <c r="H322" s="676">
        <v>0</v>
      </c>
      <c r="I322" s="161">
        <v>0</v>
      </c>
      <c r="J322" s="446">
        <f t="shared" si="21"/>
        <v>0</v>
      </c>
      <c r="K322" s="304" t="s">
        <v>694</v>
      </c>
    </row>
    <row r="323" spans="1:12" ht="51.75" customHeight="1" x14ac:dyDescent="0.25">
      <c r="A323" s="676" t="s">
        <v>367</v>
      </c>
      <c r="B323" s="1017" t="s">
        <v>693</v>
      </c>
      <c r="C323" s="1018"/>
      <c r="D323" s="1019"/>
      <c r="E323" s="1026">
        <v>1</v>
      </c>
      <c r="F323" s="1027"/>
      <c r="G323" s="676" t="s">
        <v>149</v>
      </c>
      <c r="H323" s="676">
        <v>2</v>
      </c>
      <c r="I323" s="161">
        <v>1500</v>
      </c>
      <c r="J323" s="446">
        <f t="shared" si="21"/>
        <v>3000</v>
      </c>
      <c r="K323" s="304" t="s">
        <v>1147</v>
      </c>
    </row>
    <row r="324" spans="1:12" ht="51.75" customHeight="1" x14ac:dyDescent="0.25">
      <c r="A324" s="676" t="s">
        <v>368</v>
      </c>
      <c r="B324" s="1017" t="s">
        <v>1096</v>
      </c>
      <c r="C324" s="1018"/>
      <c r="D324" s="1019"/>
      <c r="E324" s="1026">
        <v>1</v>
      </c>
      <c r="F324" s="1027"/>
      <c r="G324" s="676" t="s">
        <v>149</v>
      </c>
      <c r="H324" s="676">
        <v>50</v>
      </c>
      <c r="I324" s="161">
        <v>500</v>
      </c>
      <c r="J324" s="446">
        <f t="shared" si="21"/>
        <v>25000</v>
      </c>
      <c r="K324" s="304" t="s">
        <v>1145</v>
      </c>
    </row>
    <row r="325" spans="1:12" ht="51.75" hidden="1" customHeight="1" x14ac:dyDescent="0.25">
      <c r="A325" s="676" t="s">
        <v>633</v>
      </c>
      <c r="B325" s="1017" t="s">
        <v>692</v>
      </c>
      <c r="C325" s="1018"/>
      <c r="D325" s="1019"/>
      <c r="E325" s="1026">
        <v>1</v>
      </c>
      <c r="F325" s="1027"/>
      <c r="G325" s="676" t="s">
        <v>149</v>
      </c>
      <c r="H325" s="676">
        <v>0</v>
      </c>
      <c r="I325" s="161">
        <v>0</v>
      </c>
      <c r="J325" s="446">
        <f t="shared" si="21"/>
        <v>0</v>
      </c>
      <c r="K325" s="304" t="s">
        <v>1146</v>
      </c>
    </row>
    <row r="326" spans="1:12" ht="43.5" customHeight="1" x14ac:dyDescent="0.25">
      <c r="A326" s="676" t="s">
        <v>369</v>
      </c>
      <c r="B326" s="1040" t="s">
        <v>466</v>
      </c>
      <c r="C326" s="1040"/>
      <c r="D326" s="1040"/>
      <c r="E326" s="1026">
        <v>1</v>
      </c>
      <c r="F326" s="1027"/>
      <c r="G326" s="676" t="s">
        <v>299</v>
      </c>
      <c r="H326" s="676">
        <v>1</v>
      </c>
      <c r="I326" s="161">
        <v>15000</v>
      </c>
      <c r="J326" s="446">
        <f t="shared" si="21"/>
        <v>15000</v>
      </c>
      <c r="K326" s="304" t="s">
        <v>677</v>
      </c>
    </row>
    <row r="327" spans="1:12" ht="28.5" customHeight="1" x14ac:dyDescent="0.25">
      <c r="A327" s="676" t="s">
        <v>632</v>
      </c>
      <c r="B327" s="1040" t="s">
        <v>468</v>
      </c>
      <c r="C327" s="1040"/>
      <c r="D327" s="1040"/>
      <c r="E327" s="1026">
        <v>1</v>
      </c>
      <c r="F327" s="1027"/>
      <c r="G327" s="676" t="s">
        <v>299</v>
      </c>
      <c r="H327" s="705">
        <v>1</v>
      </c>
      <c r="I327" s="161">
        <v>7000</v>
      </c>
      <c r="J327" s="446">
        <f t="shared" si="21"/>
        <v>7000</v>
      </c>
      <c r="K327" s="304" t="s">
        <v>677</v>
      </c>
    </row>
    <row r="328" spans="1:12" ht="29.25" hidden="1" customHeight="1" x14ac:dyDescent="0.25">
      <c r="A328" s="676" t="s">
        <v>1097</v>
      </c>
      <c r="B328" s="1017" t="s">
        <v>585</v>
      </c>
      <c r="C328" s="1018"/>
      <c r="D328" s="1019"/>
      <c r="E328" s="1026"/>
      <c r="F328" s="1027"/>
      <c r="G328" s="676"/>
      <c r="H328" s="676"/>
      <c r="I328" s="161">
        <v>0</v>
      </c>
      <c r="J328" s="446">
        <f>I328</f>
        <v>0</v>
      </c>
      <c r="K328" s="304" t="s">
        <v>1165</v>
      </c>
    </row>
    <row r="329" spans="1:12" ht="47.25" customHeight="1" x14ac:dyDescent="0.25">
      <c r="A329" s="676" t="s">
        <v>633</v>
      </c>
      <c r="B329" s="1040" t="s">
        <v>467</v>
      </c>
      <c r="C329" s="1040"/>
      <c r="D329" s="1040"/>
      <c r="E329" s="1026">
        <v>1</v>
      </c>
      <c r="F329" s="1027"/>
      <c r="G329" s="676" t="s">
        <v>299</v>
      </c>
      <c r="H329" s="676">
        <v>1</v>
      </c>
      <c r="I329" s="161">
        <f>5000+790.37-500</f>
        <v>5290.37</v>
      </c>
      <c r="J329" s="446">
        <f>I329</f>
        <v>5290.37</v>
      </c>
      <c r="K329" s="304" t="s">
        <v>677</v>
      </c>
    </row>
    <row r="330" spans="1:12" ht="47.25" customHeight="1" x14ac:dyDescent="0.25">
      <c r="A330" s="676" t="s">
        <v>634</v>
      </c>
      <c r="B330" s="1017" t="s">
        <v>728</v>
      </c>
      <c r="C330" s="1018"/>
      <c r="D330" s="1019"/>
      <c r="E330" s="1026">
        <v>1</v>
      </c>
      <c r="F330" s="1027"/>
      <c r="G330" s="676" t="s">
        <v>299</v>
      </c>
      <c r="H330" s="676">
        <v>7</v>
      </c>
      <c r="I330" s="161">
        <v>1600</v>
      </c>
      <c r="J330" s="446">
        <f>H330*I330</f>
        <v>11200</v>
      </c>
      <c r="K330" s="304" t="s">
        <v>1129</v>
      </c>
    </row>
    <row r="331" spans="1:12" ht="51" hidden="1" customHeight="1" x14ac:dyDescent="0.25">
      <c r="A331" s="676" t="s">
        <v>689</v>
      </c>
      <c r="B331" s="1017" t="s">
        <v>656</v>
      </c>
      <c r="C331" s="1018"/>
      <c r="D331" s="1019"/>
      <c r="E331" s="1026">
        <v>1</v>
      </c>
      <c r="F331" s="1027"/>
      <c r="G331" s="676" t="s">
        <v>299</v>
      </c>
      <c r="H331" s="676">
        <v>1</v>
      </c>
      <c r="I331" s="161">
        <v>0</v>
      </c>
      <c r="J331" s="446">
        <f>H331*I331</f>
        <v>0</v>
      </c>
      <c r="K331" s="304" t="s">
        <v>659</v>
      </c>
    </row>
    <row r="332" spans="1:12" ht="35.25" hidden="1" customHeight="1" x14ac:dyDescent="0.25">
      <c r="A332" s="676" t="s">
        <v>696</v>
      </c>
      <c r="B332" s="1017" t="s">
        <v>642</v>
      </c>
      <c r="C332" s="1018"/>
      <c r="D332" s="1019"/>
      <c r="E332" s="1026">
        <v>1</v>
      </c>
      <c r="F332" s="1027"/>
      <c r="G332" s="676" t="s">
        <v>299</v>
      </c>
      <c r="H332" s="676">
        <v>1</v>
      </c>
      <c r="I332" s="161">
        <v>0</v>
      </c>
      <c r="J332" s="446">
        <f>H332*I332</f>
        <v>0</v>
      </c>
      <c r="K332" s="304" t="s">
        <v>658</v>
      </c>
    </row>
    <row r="333" spans="1:12" ht="30" customHeight="1" x14ac:dyDescent="0.25">
      <c r="A333" s="679" t="s">
        <v>75</v>
      </c>
      <c r="B333" s="1041" t="s">
        <v>347</v>
      </c>
      <c r="C333" s="1042"/>
      <c r="D333" s="1043"/>
      <c r="E333" s="1038" t="s">
        <v>74</v>
      </c>
      <c r="F333" s="1039"/>
      <c r="G333" s="336" t="s">
        <v>74</v>
      </c>
      <c r="H333" s="336" t="s">
        <v>74</v>
      </c>
      <c r="I333" s="385" t="s">
        <v>74</v>
      </c>
      <c r="J333" s="448">
        <f>J334+J335+J336</f>
        <v>5119400</v>
      </c>
      <c r="L333" s="282">
        <f>J333+J337+950000</f>
        <v>30594600</v>
      </c>
    </row>
    <row r="334" spans="1:12" ht="84.75" customHeight="1" x14ac:dyDescent="0.25">
      <c r="A334" s="676" t="s">
        <v>34</v>
      </c>
      <c r="B334" s="1040" t="s">
        <v>470</v>
      </c>
      <c r="C334" s="1040"/>
      <c r="D334" s="1040"/>
      <c r="E334" s="1026">
        <v>2</v>
      </c>
      <c r="F334" s="1027"/>
      <c r="G334" s="676" t="s">
        <v>149</v>
      </c>
      <c r="H334" s="689" t="s">
        <v>1157</v>
      </c>
      <c r="I334" s="386" t="s">
        <v>1205</v>
      </c>
      <c r="J334" s="446">
        <f>5119400-671600</f>
        <v>4447800</v>
      </c>
    </row>
    <row r="335" spans="1:12" ht="167.25" customHeight="1" x14ac:dyDescent="0.25">
      <c r="A335" s="676" t="s">
        <v>36</v>
      </c>
      <c r="B335" s="1040" t="s">
        <v>541</v>
      </c>
      <c r="C335" s="1040"/>
      <c r="D335" s="1040"/>
      <c r="E335" s="1026">
        <v>2</v>
      </c>
      <c r="F335" s="1027"/>
      <c r="G335" s="676" t="s">
        <v>149</v>
      </c>
      <c r="H335" s="689" t="s">
        <v>1196</v>
      </c>
      <c r="I335" s="386" t="s">
        <v>1206</v>
      </c>
      <c r="J335" s="446">
        <v>671600</v>
      </c>
      <c r="K335" s="296">
        <f>J335+J339+J340</f>
        <v>6612900</v>
      </c>
    </row>
    <row r="336" spans="1:12" ht="0.75" customHeight="1" x14ac:dyDescent="0.25">
      <c r="A336" s="676"/>
      <c r="B336" s="1040"/>
      <c r="C336" s="1040"/>
      <c r="D336" s="1040"/>
      <c r="E336" s="1026"/>
      <c r="F336" s="1027"/>
      <c r="G336" s="676"/>
      <c r="H336" s="676"/>
      <c r="I336" s="161"/>
      <c r="J336" s="446"/>
    </row>
    <row r="337" spans="1:14" ht="30" customHeight="1" x14ac:dyDescent="0.25">
      <c r="A337" s="679" t="s">
        <v>77</v>
      </c>
      <c r="B337" s="1041" t="s">
        <v>620</v>
      </c>
      <c r="C337" s="1042"/>
      <c r="D337" s="1043"/>
      <c r="E337" s="1038" t="s">
        <v>74</v>
      </c>
      <c r="F337" s="1039"/>
      <c r="G337" s="336" t="s">
        <v>74</v>
      </c>
      <c r="H337" s="336" t="s">
        <v>74</v>
      </c>
      <c r="I337" s="385" t="s">
        <v>74</v>
      </c>
      <c r="J337" s="448">
        <f>J338+J339+J340</f>
        <v>24525200</v>
      </c>
    </row>
    <row r="338" spans="1:14" ht="55.5" customHeight="1" x14ac:dyDescent="0.25">
      <c r="A338" s="676" t="s">
        <v>374</v>
      </c>
      <c r="B338" s="1040" t="s">
        <v>471</v>
      </c>
      <c r="C338" s="1040"/>
      <c r="D338" s="1040"/>
      <c r="E338" s="1026">
        <v>2</v>
      </c>
      <c r="F338" s="1027"/>
      <c r="G338" s="676" t="s">
        <v>149</v>
      </c>
      <c r="H338" s="689" t="s">
        <v>1158</v>
      </c>
      <c r="I338" s="386" t="s">
        <v>1191</v>
      </c>
      <c r="J338" s="446">
        <f>19246300-I174</f>
        <v>18583900</v>
      </c>
      <c r="K338" s="296">
        <f>J338+J339+I174</f>
        <v>22929900</v>
      </c>
    </row>
    <row r="339" spans="1:14" ht="136.5" customHeight="1" x14ac:dyDescent="0.25">
      <c r="A339" s="676" t="s">
        <v>503</v>
      </c>
      <c r="B339" s="1040" t="s">
        <v>621</v>
      </c>
      <c r="C339" s="1040"/>
      <c r="D339" s="1040"/>
      <c r="E339" s="1026">
        <v>2</v>
      </c>
      <c r="F339" s="1027"/>
      <c r="G339" s="676" t="s">
        <v>149</v>
      </c>
      <c r="H339" s="689" t="s">
        <v>1192</v>
      </c>
      <c r="I339" s="386" t="s">
        <v>1193</v>
      </c>
      <c r="J339" s="446">
        <v>3683600</v>
      </c>
    </row>
    <row r="340" spans="1:14" ht="150.75" customHeight="1" x14ac:dyDescent="0.25">
      <c r="A340" s="676" t="s">
        <v>619</v>
      </c>
      <c r="B340" s="1040" t="s">
        <v>622</v>
      </c>
      <c r="C340" s="1040"/>
      <c r="D340" s="1040"/>
      <c r="E340" s="1026">
        <v>2</v>
      </c>
      <c r="F340" s="1027"/>
      <c r="G340" s="676" t="s">
        <v>149</v>
      </c>
      <c r="H340" s="689" t="s">
        <v>1194</v>
      </c>
      <c r="I340" s="386" t="s">
        <v>1195</v>
      </c>
      <c r="J340" s="446">
        <v>2257700</v>
      </c>
      <c r="K340" s="296">
        <f>J340+J339+J335</f>
        <v>6612900</v>
      </c>
      <c r="L340" s="323"/>
      <c r="N340" s="282"/>
    </row>
    <row r="341" spans="1:14" ht="30" customHeight="1" x14ac:dyDescent="0.25">
      <c r="A341" s="679" t="s">
        <v>86</v>
      </c>
      <c r="B341" s="1041" t="s">
        <v>349</v>
      </c>
      <c r="C341" s="1042"/>
      <c r="D341" s="1043"/>
      <c r="E341" s="1038" t="s">
        <v>74</v>
      </c>
      <c r="F341" s="1039"/>
      <c r="G341" s="336" t="s">
        <v>74</v>
      </c>
      <c r="H341" s="336" t="s">
        <v>74</v>
      </c>
      <c r="I341" s="416" t="s">
        <v>74</v>
      </c>
      <c r="J341" s="448">
        <f>J342+J343+J345+J344</f>
        <v>0</v>
      </c>
    </row>
    <row r="342" spans="1:14" ht="30" customHeight="1" x14ac:dyDescent="0.25">
      <c r="A342" s="676" t="s">
        <v>473</v>
      </c>
      <c r="B342" s="1017" t="s">
        <v>472</v>
      </c>
      <c r="C342" s="1018"/>
      <c r="D342" s="1019"/>
      <c r="E342" s="1034">
        <v>1</v>
      </c>
      <c r="F342" s="1035"/>
      <c r="G342" s="696" t="s">
        <v>149</v>
      </c>
      <c r="H342" s="696">
        <v>0</v>
      </c>
      <c r="I342" s="436">
        <v>0</v>
      </c>
      <c r="J342" s="449">
        <v>0</v>
      </c>
    </row>
    <row r="343" spans="1:14" ht="30" hidden="1" customHeight="1" x14ac:dyDescent="0.25">
      <c r="A343" s="676" t="s">
        <v>474</v>
      </c>
      <c r="B343" s="1017" t="s">
        <v>477</v>
      </c>
      <c r="C343" s="1018"/>
      <c r="D343" s="1019"/>
      <c r="E343" s="1034">
        <v>1</v>
      </c>
      <c r="F343" s="1035"/>
      <c r="G343" s="696" t="s">
        <v>299</v>
      </c>
      <c r="H343" s="696">
        <v>0</v>
      </c>
      <c r="I343" s="436">
        <v>0</v>
      </c>
      <c r="J343" s="446">
        <v>0</v>
      </c>
    </row>
    <row r="344" spans="1:14" ht="36.75" hidden="1" customHeight="1" x14ac:dyDescent="0.25">
      <c r="A344" s="676" t="s">
        <v>602</v>
      </c>
      <c r="B344" s="1017" t="s">
        <v>603</v>
      </c>
      <c r="C344" s="1018"/>
      <c r="D344" s="1019"/>
      <c r="E344" s="1034">
        <v>1</v>
      </c>
      <c r="F344" s="1035"/>
      <c r="G344" s="696" t="s">
        <v>299</v>
      </c>
      <c r="H344" s="696">
        <v>0</v>
      </c>
      <c r="I344" s="436">
        <v>0</v>
      </c>
      <c r="J344" s="446">
        <v>0</v>
      </c>
    </row>
    <row r="345" spans="1:14" ht="36.75" hidden="1" customHeight="1" x14ac:dyDescent="0.25">
      <c r="A345" s="676" t="s">
        <v>580</v>
      </c>
      <c r="B345" s="1017" t="s">
        <v>581</v>
      </c>
      <c r="C345" s="1018"/>
      <c r="D345" s="1019"/>
      <c r="E345" s="1034">
        <v>1</v>
      </c>
      <c r="F345" s="1035"/>
      <c r="G345" s="696" t="s">
        <v>299</v>
      </c>
      <c r="H345" s="696">
        <v>0</v>
      </c>
      <c r="I345" s="436">
        <v>0</v>
      </c>
      <c r="J345" s="446">
        <v>0</v>
      </c>
    </row>
    <row r="346" spans="1:14" ht="59.25" customHeight="1" x14ac:dyDescent="0.25">
      <c r="A346" s="679" t="s">
        <v>87</v>
      </c>
      <c r="B346" s="1041" t="s">
        <v>475</v>
      </c>
      <c r="C346" s="1042"/>
      <c r="D346" s="1043"/>
      <c r="E346" s="1038" t="s">
        <v>74</v>
      </c>
      <c r="F346" s="1039"/>
      <c r="G346" s="336" t="s">
        <v>74</v>
      </c>
      <c r="H346" s="336" t="s">
        <v>74</v>
      </c>
      <c r="I346" s="416" t="s">
        <v>74</v>
      </c>
      <c r="J346" s="450">
        <f>J347</f>
        <v>96860</v>
      </c>
    </row>
    <row r="347" spans="1:14" ht="30" customHeight="1" x14ac:dyDescent="0.25">
      <c r="A347" s="676" t="s">
        <v>476</v>
      </c>
      <c r="B347" s="1017" t="s">
        <v>613</v>
      </c>
      <c r="C347" s="1018"/>
      <c r="D347" s="1019"/>
      <c r="E347" s="1034">
        <v>1</v>
      </c>
      <c r="F347" s="1035"/>
      <c r="G347" s="696" t="s">
        <v>299</v>
      </c>
      <c r="H347" s="696">
        <v>1</v>
      </c>
      <c r="I347" s="436">
        <v>0</v>
      </c>
      <c r="J347" s="449">
        <v>96860</v>
      </c>
    </row>
    <row r="348" spans="1:14" ht="54.75" hidden="1" customHeight="1" x14ac:dyDescent="0.25">
      <c r="A348" s="679" t="s">
        <v>97</v>
      </c>
      <c r="B348" s="1041" t="s">
        <v>479</v>
      </c>
      <c r="C348" s="1042"/>
      <c r="D348" s="1043"/>
      <c r="E348" s="1034" t="s">
        <v>74</v>
      </c>
      <c r="F348" s="1035"/>
      <c r="G348" s="696" t="s">
        <v>74</v>
      </c>
      <c r="H348" s="696" t="s">
        <v>74</v>
      </c>
      <c r="I348" s="436" t="s">
        <v>74</v>
      </c>
      <c r="J348" s="449">
        <f>J349+J350+J351+J352</f>
        <v>0</v>
      </c>
    </row>
    <row r="349" spans="1:14" ht="30" hidden="1" customHeight="1" x14ac:dyDescent="0.25">
      <c r="A349" s="676" t="s">
        <v>480</v>
      </c>
      <c r="B349" s="1099" t="s">
        <v>484</v>
      </c>
      <c r="C349" s="1100"/>
      <c r="D349" s="1101"/>
      <c r="E349" s="1034">
        <v>2</v>
      </c>
      <c r="F349" s="1035"/>
      <c r="G349" s="696" t="s">
        <v>299</v>
      </c>
      <c r="H349" s="696">
        <v>2</v>
      </c>
      <c r="I349" s="436"/>
      <c r="J349" s="446"/>
    </row>
    <row r="350" spans="1:14" ht="30" hidden="1" customHeight="1" x14ac:dyDescent="0.25">
      <c r="A350" s="676" t="s">
        <v>481</v>
      </c>
      <c r="B350" s="1099" t="s">
        <v>485</v>
      </c>
      <c r="C350" s="1100"/>
      <c r="D350" s="1101"/>
      <c r="E350" s="1034">
        <v>2</v>
      </c>
      <c r="F350" s="1035"/>
      <c r="G350" s="696" t="s">
        <v>299</v>
      </c>
      <c r="H350" s="696">
        <v>2</v>
      </c>
      <c r="I350" s="436"/>
      <c r="J350" s="446"/>
    </row>
    <row r="351" spans="1:14" ht="30" hidden="1" customHeight="1" x14ac:dyDescent="0.25">
      <c r="A351" s="676" t="s">
        <v>482</v>
      </c>
      <c r="B351" s="1099" t="s">
        <v>486</v>
      </c>
      <c r="C351" s="1100"/>
      <c r="D351" s="1101"/>
      <c r="E351" s="1034">
        <v>2</v>
      </c>
      <c r="F351" s="1035"/>
      <c r="G351" s="696" t="s">
        <v>299</v>
      </c>
      <c r="H351" s="696">
        <v>4</v>
      </c>
      <c r="I351" s="436"/>
      <c r="J351" s="446"/>
    </row>
    <row r="352" spans="1:14" ht="36" hidden="1" customHeight="1" x14ac:dyDescent="0.25">
      <c r="A352" s="676"/>
      <c r="B352" s="1257"/>
      <c r="C352" s="1257"/>
      <c r="D352" s="1257"/>
      <c r="E352" s="1026"/>
      <c r="F352" s="1027"/>
      <c r="G352" s="676"/>
      <c r="H352" s="676"/>
      <c r="I352" s="437"/>
      <c r="J352" s="446"/>
    </row>
    <row r="353" spans="1:11" ht="27.75" customHeight="1" x14ac:dyDescent="0.25">
      <c r="A353" s="293"/>
      <c r="B353" s="1283" t="s">
        <v>325</v>
      </c>
      <c r="C353" s="1283"/>
      <c r="D353" s="1283"/>
      <c r="E353" s="1268" t="s">
        <v>14</v>
      </c>
      <c r="F353" s="1269"/>
      <c r="G353" s="1140">
        <f>J309+J333+J337+J341+J346+J348</f>
        <v>32694460</v>
      </c>
      <c r="H353" s="1141"/>
      <c r="I353" s="1141"/>
      <c r="J353" s="1141"/>
    </row>
    <row r="354" spans="1:11" ht="30" hidden="1" customHeight="1" x14ac:dyDescent="0.25">
      <c r="A354" s="1074" t="s">
        <v>375</v>
      </c>
      <c r="B354" s="1074"/>
      <c r="C354" s="1074"/>
      <c r="D354" s="1074"/>
      <c r="E354" s="1074"/>
      <c r="F354" s="1074"/>
      <c r="G354" s="1074"/>
      <c r="H354" s="1074"/>
      <c r="I354" s="1074"/>
      <c r="J354" s="1074"/>
    </row>
    <row r="355" spans="1:11" ht="30" hidden="1" customHeight="1" x14ac:dyDescent="0.25">
      <c r="A355" s="681" t="s">
        <v>1</v>
      </c>
      <c r="B355" s="1015" t="s">
        <v>44</v>
      </c>
      <c r="C355" s="1015"/>
      <c r="D355" s="1015"/>
      <c r="E355" s="1015" t="s">
        <v>58</v>
      </c>
      <c r="F355" s="1015"/>
      <c r="G355" s="1024" t="s">
        <v>66</v>
      </c>
      <c r="H355" s="1025"/>
      <c r="I355" s="1015" t="s">
        <v>60</v>
      </c>
      <c r="J355" s="1015"/>
    </row>
    <row r="356" spans="1:11" ht="13.5" hidden="1" customHeight="1" x14ac:dyDescent="0.25">
      <c r="A356" s="681">
        <v>1</v>
      </c>
      <c r="B356" s="1015">
        <v>2</v>
      </c>
      <c r="C356" s="1015"/>
      <c r="D356" s="1015"/>
      <c r="E356" s="1015">
        <v>3</v>
      </c>
      <c r="F356" s="1015"/>
      <c r="G356" s="1015">
        <v>4</v>
      </c>
      <c r="H356" s="1015"/>
      <c r="I356" s="1015">
        <v>5</v>
      </c>
      <c r="J356" s="1015"/>
    </row>
    <row r="357" spans="1:11" ht="30" hidden="1" customHeight="1" x14ac:dyDescent="0.25">
      <c r="A357" s="676" t="s">
        <v>27</v>
      </c>
      <c r="B357" s="1017" t="s">
        <v>702</v>
      </c>
      <c r="C357" s="1018"/>
      <c r="D357" s="1019"/>
      <c r="E357" s="1013">
        <v>1</v>
      </c>
      <c r="F357" s="1013"/>
      <c r="G357" s="1089">
        <v>0</v>
      </c>
      <c r="H357" s="1089"/>
      <c r="I357" s="1089">
        <f>G357</f>
        <v>0</v>
      </c>
      <c r="J357" s="1089"/>
    </row>
    <row r="358" spans="1:11" ht="25.5" hidden="1" customHeight="1" x14ac:dyDescent="0.25">
      <c r="A358" s="679"/>
      <c r="B358" s="1014" t="s">
        <v>13</v>
      </c>
      <c r="C358" s="1014"/>
      <c r="D358" s="1014"/>
      <c r="E358" s="1053" t="s">
        <v>14</v>
      </c>
      <c r="F358" s="1053"/>
      <c r="G358" s="1053" t="s">
        <v>14</v>
      </c>
      <c r="H358" s="1053"/>
      <c r="I358" s="1267">
        <f>I357</f>
        <v>0</v>
      </c>
      <c r="J358" s="1267"/>
    </row>
    <row r="359" spans="1:11" ht="15.75" customHeight="1" x14ac:dyDescent="0.25">
      <c r="A359" s="1055" t="s">
        <v>376</v>
      </c>
      <c r="B359" s="1055"/>
      <c r="C359" s="1055"/>
      <c r="D359" s="1055"/>
      <c r="E359" s="1055"/>
      <c r="F359" s="1055"/>
      <c r="G359" s="1055"/>
      <c r="H359" s="1055"/>
      <c r="I359" s="1055"/>
      <c r="J359" s="1055"/>
    </row>
    <row r="360" spans="1:11" ht="17.25" customHeight="1" x14ac:dyDescent="0.25">
      <c r="A360" s="681" t="s">
        <v>1</v>
      </c>
      <c r="B360" s="1024" t="s">
        <v>15</v>
      </c>
      <c r="C360" s="1077"/>
      <c r="D360" s="1025"/>
      <c r="E360" s="1024" t="s">
        <v>58</v>
      </c>
      <c r="F360" s="1025"/>
      <c r="G360" s="1024" t="s">
        <v>66</v>
      </c>
      <c r="H360" s="1025"/>
      <c r="I360" s="1024" t="s">
        <v>260</v>
      </c>
      <c r="J360" s="1025"/>
    </row>
    <row r="361" spans="1:11" ht="16.5" customHeight="1" x14ac:dyDescent="0.25">
      <c r="A361" s="681">
        <v>1</v>
      </c>
      <c r="B361" s="1024">
        <v>2</v>
      </c>
      <c r="C361" s="1077"/>
      <c r="D361" s="1025"/>
      <c r="E361" s="1024">
        <v>3</v>
      </c>
      <c r="F361" s="1025"/>
      <c r="G361" s="1024">
        <v>4</v>
      </c>
      <c r="H361" s="1025"/>
      <c r="I361" s="1024">
        <v>5</v>
      </c>
      <c r="J361" s="1025"/>
    </row>
    <row r="362" spans="1:11" ht="30" customHeight="1" x14ac:dyDescent="0.25">
      <c r="A362" s="676" t="s">
        <v>70</v>
      </c>
      <c r="B362" s="1017" t="s">
        <v>170</v>
      </c>
      <c r="C362" s="1018"/>
      <c r="D362" s="1019"/>
      <c r="E362" s="1022"/>
      <c r="F362" s="1023"/>
      <c r="G362" s="1026"/>
      <c r="H362" s="1027"/>
      <c r="I362" s="1132">
        <f>I363</f>
        <v>0</v>
      </c>
      <c r="J362" s="1133"/>
    </row>
    <row r="363" spans="1:11" ht="17.25" customHeight="1" x14ac:dyDescent="0.25">
      <c r="A363" s="676" t="s">
        <v>27</v>
      </c>
      <c r="B363" s="1263" t="s">
        <v>327</v>
      </c>
      <c r="C363" s="1264"/>
      <c r="D363" s="1265"/>
      <c r="E363" s="713" t="s">
        <v>300</v>
      </c>
      <c r="F363" s="713">
        <v>4</v>
      </c>
      <c r="G363" s="1044" t="s">
        <v>256</v>
      </c>
      <c r="H363" s="1045"/>
      <c r="I363" s="1132"/>
      <c r="J363" s="1133"/>
    </row>
    <row r="364" spans="1:11" ht="30" customHeight="1" x14ac:dyDescent="0.25">
      <c r="A364" s="679" t="s">
        <v>70</v>
      </c>
      <c r="B364" s="1041" t="s">
        <v>182</v>
      </c>
      <c r="C364" s="1042"/>
      <c r="D364" s="1043"/>
      <c r="E364" s="387" t="s">
        <v>74</v>
      </c>
      <c r="F364" s="387" t="s">
        <v>74</v>
      </c>
      <c r="G364" s="1038" t="s">
        <v>74</v>
      </c>
      <c r="H364" s="1039"/>
      <c r="I364" s="1230">
        <f>I365+I368+I366+I370+I367+I369</f>
        <v>1200000</v>
      </c>
      <c r="J364" s="1301"/>
    </row>
    <row r="365" spans="1:11" s="276" customFormat="1" ht="58.5" customHeight="1" x14ac:dyDescent="0.25">
      <c r="A365" s="676" t="s">
        <v>27</v>
      </c>
      <c r="B365" s="1099" t="s">
        <v>556</v>
      </c>
      <c r="C365" s="1100"/>
      <c r="D365" s="1101"/>
      <c r="E365" s="713" t="s">
        <v>301</v>
      </c>
      <c r="F365" s="705"/>
      <c r="G365" s="1044" t="s">
        <v>74</v>
      </c>
      <c r="H365" s="1045"/>
      <c r="I365" s="1132">
        <v>0</v>
      </c>
      <c r="J365" s="1133"/>
      <c r="K365" s="292"/>
    </row>
    <row r="366" spans="1:11" s="276" customFormat="1" ht="30" customHeight="1" x14ac:dyDescent="0.25">
      <c r="A366" s="676" t="s">
        <v>29</v>
      </c>
      <c r="B366" s="1099" t="s">
        <v>557</v>
      </c>
      <c r="C366" s="1100"/>
      <c r="D366" s="1101"/>
      <c r="E366" s="713" t="s">
        <v>301</v>
      </c>
      <c r="F366" s="705"/>
      <c r="G366" s="1044" t="s">
        <v>74</v>
      </c>
      <c r="H366" s="1045"/>
      <c r="I366" s="1281">
        <v>0</v>
      </c>
      <c r="J366" s="1282"/>
      <c r="K366" s="292"/>
    </row>
    <row r="367" spans="1:11" s="276" customFormat="1" ht="30" customHeight="1" x14ac:dyDescent="0.25">
      <c r="A367" s="676" t="s">
        <v>31</v>
      </c>
      <c r="B367" s="1099" t="s">
        <v>554</v>
      </c>
      <c r="C367" s="1100"/>
      <c r="D367" s="1101"/>
      <c r="E367" s="713" t="s">
        <v>301</v>
      </c>
      <c r="F367" s="705"/>
      <c r="G367" s="1044" t="s">
        <v>74</v>
      </c>
      <c r="H367" s="1045"/>
      <c r="I367" s="1247">
        <v>0</v>
      </c>
      <c r="J367" s="1248"/>
      <c r="K367" s="292"/>
    </row>
    <row r="368" spans="1:11" s="276" customFormat="1" ht="30" customHeight="1" x14ac:dyDescent="0.25">
      <c r="A368" s="676" t="s">
        <v>264</v>
      </c>
      <c r="B368" s="1099" t="s">
        <v>558</v>
      </c>
      <c r="C368" s="1100"/>
      <c r="D368" s="1101"/>
      <c r="E368" s="713" t="s">
        <v>301</v>
      </c>
      <c r="F368" s="705"/>
      <c r="G368" s="1044" t="s">
        <v>74</v>
      </c>
      <c r="H368" s="1045"/>
      <c r="I368" s="1247">
        <v>1200000</v>
      </c>
      <c r="J368" s="1248"/>
      <c r="K368" s="292"/>
    </row>
    <row r="369" spans="1:11" s="276" customFormat="1" ht="30" customHeight="1" x14ac:dyDescent="0.25">
      <c r="A369" s="676" t="s">
        <v>265</v>
      </c>
      <c r="B369" s="1099" t="s">
        <v>555</v>
      </c>
      <c r="C369" s="1100"/>
      <c r="D369" s="1101"/>
      <c r="E369" s="713" t="s">
        <v>488</v>
      </c>
      <c r="F369" s="355"/>
      <c r="G369" s="1044" t="s">
        <v>74</v>
      </c>
      <c r="H369" s="1045"/>
      <c r="I369" s="1247">
        <v>0</v>
      </c>
      <c r="J369" s="1248"/>
      <c r="K369" s="292"/>
    </row>
    <row r="370" spans="1:11" ht="48.75" customHeight="1" x14ac:dyDescent="0.25">
      <c r="A370" s="676" t="s">
        <v>276</v>
      </c>
      <c r="B370" s="1099" t="s">
        <v>559</v>
      </c>
      <c r="C370" s="1100"/>
      <c r="D370" s="1101"/>
      <c r="E370" s="713" t="s">
        <v>488</v>
      </c>
      <c r="F370" s="355"/>
      <c r="G370" s="1044" t="s">
        <v>74</v>
      </c>
      <c r="H370" s="1045"/>
      <c r="I370" s="1281">
        <v>0</v>
      </c>
      <c r="J370" s="1282"/>
    </row>
    <row r="371" spans="1:11" s="378" customFormat="1" ht="30" hidden="1" customHeight="1" x14ac:dyDescent="0.25">
      <c r="A371" s="679" t="s">
        <v>70</v>
      </c>
      <c r="B371" s="1041" t="s">
        <v>170</v>
      </c>
      <c r="C371" s="1042"/>
      <c r="D371" s="1043"/>
      <c r="E371" s="1038"/>
      <c r="F371" s="1039"/>
      <c r="G371" s="1038"/>
      <c r="H371" s="1039"/>
      <c r="I371" s="1302">
        <f>SUM(I372:J391)</f>
        <v>0</v>
      </c>
      <c r="J371" s="1303"/>
      <c r="K371" s="394"/>
    </row>
    <row r="372" spans="1:11" ht="30" hidden="1" customHeight="1" x14ac:dyDescent="0.25">
      <c r="A372" s="676" t="s">
        <v>27</v>
      </c>
      <c r="B372" s="1040" t="s">
        <v>626</v>
      </c>
      <c r="C372" s="1040"/>
      <c r="D372" s="1040"/>
      <c r="E372" s="713">
        <v>1</v>
      </c>
      <c r="F372" s="705" t="s">
        <v>300</v>
      </c>
      <c r="G372" s="1196">
        <v>0</v>
      </c>
      <c r="H372" s="1196"/>
      <c r="I372" s="1240">
        <f>E372*G372</f>
        <v>0</v>
      </c>
      <c r="J372" s="1133"/>
    </row>
    <row r="373" spans="1:11" ht="30" hidden="1" customHeight="1" x14ac:dyDescent="0.25">
      <c r="A373" s="676" t="s">
        <v>29</v>
      </c>
      <c r="B373" s="1040" t="s">
        <v>627</v>
      </c>
      <c r="C373" s="1040"/>
      <c r="D373" s="1040"/>
      <c r="E373" s="713">
        <v>1</v>
      </c>
      <c r="F373" s="705" t="s">
        <v>300</v>
      </c>
      <c r="G373" s="1196">
        <v>0</v>
      </c>
      <c r="H373" s="1196"/>
      <c r="I373" s="1240">
        <f t="shared" ref="I373:I381" si="22">E373*G373</f>
        <v>0</v>
      </c>
      <c r="J373" s="1133"/>
    </row>
    <row r="374" spans="1:11" ht="30" hidden="1" customHeight="1" x14ac:dyDescent="0.25">
      <c r="A374" s="676" t="s">
        <v>31</v>
      </c>
      <c r="B374" s="1017" t="s">
        <v>628</v>
      </c>
      <c r="C374" s="1018"/>
      <c r="D374" s="1019"/>
      <c r="E374" s="713">
        <v>2</v>
      </c>
      <c r="F374" s="705" t="s">
        <v>300</v>
      </c>
      <c r="G374" s="1044">
        <v>0</v>
      </c>
      <c r="H374" s="1045"/>
      <c r="I374" s="1240">
        <f t="shared" si="22"/>
        <v>0</v>
      </c>
      <c r="J374" s="1133"/>
    </row>
    <row r="375" spans="1:11" ht="30" hidden="1" customHeight="1" x14ac:dyDescent="0.25">
      <c r="A375" s="676" t="s">
        <v>264</v>
      </c>
      <c r="B375" s="1017" t="s">
        <v>629</v>
      </c>
      <c r="C375" s="1018"/>
      <c r="D375" s="1019"/>
      <c r="E375" s="713">
        <v>1</v>
      </c>
      <c r="F375" s="705" t="s">
        <v>300</v>
      </c>
      <c r="G375" s="1044">
        <v>0</v>
      </c>
      <c r="H375" s="1045"/>
      <c r="I375" s="1240">
        <f t="shared" si="22"/>
        <v>0</v>
      </c>
      <c r="J375" s="1133"/>
    </row>
    <row r="376" spans="1:11" ht="115.5" hidden="1" customHeight="1" x14ac:dyDescent="0.25">
      <c r="A376" s="676" t="s">
        <v>265</v>
      </c>
      <c r="B376" s="1017" t="s">
        <v>704</v>
      </c>
      <c r="C376" s="1018"/>
      <c r="D376" s="1019"/>
      <c r="E376" s="713">
        <v>1</v>
      </c>
      <c r="F376" s="705" t="s">
        <v>300</v>
      </c>
      <c r="G376" s="1044">
        <v>0</v>
      </c>
      <c r="H376" s="1045"/>
      <c r="I376" s="1240">
        <f t="shared" si="22"/>
        <v>0</v>
      </c>
      <c r="J376" s="1133"/>
    </row>
    <row r="377" spans="1:11" ht="114.75" hidden="1" customHeight="1" x14ac:dyDescent="0.25">
      <c r="A377" s="676" t="s">
        <v>276</v>
      </c>
      <c r="B377" s="1017" t="s">
        <v>705</v>
      </c>
      <c r="C377" s="1018"/>
      <c r="D377" s="1019"/>
      <c r="E377" s="713">
        <v>1</v>
      </c>
      <c r="F377" s="705" t="s">
        <v>300</v>
      </c>
      <c r="G377" s="1044">
        <v>0</v>
      </c>
      <c r="H377" s="1045"/>
      <c r="I377" s="1240">
        <f t="shared" si="22"/>
        <v>0</v>
      </c>
      <c r="J377" s="1133"/>
    </row>
    <row r="378" spans="1:11" ht="30" hidden="1" customHeight="1" x14ac:dyDescent="0.25">
      <c r="A378" s="676" t="s">
        <v>277</v>
      </c>
      <c r="B378" s="1017" t="s">
        <v>706</v>
      </c>
      <c r="C378" s="1018"/>
      <c r="D378" s="1019"/>
      <c r="E378" s="713">
        <v>8</v>
      </c>
      <c r="F378" s="705" t="s">
        <v>300</v>
      </c>
      <c r="G378" s="1044">
        <v>0</v>
      </c>
      <c r="H378" s="1045"/>
      <c r="I378" s="1240">
        <f t="shared" si="22"/>
        <v>0</v>
      </c>
      <c r="J378" s="1133"/>
    </row>
    <row r="379" spans="1:11" ht="30" hidden="1" customHeight="1" x14ac:dyDescent="0.25">
      <c r="A379" s="676" t="s">
        <v>334</v>
      </c>
      <c r="B379" s="1017" t="s">
        <v>707</v>
      </c>
      <c r="C379" s="1018"/>
      <c r="D379" s="1019"/>
      <c r="E379" s="713">
        <v>2</v>
      </c>
      <c r="F379" s="705" t="s">
        <v>300</v>
      </c>
      <c r="G379" s="1044">
        <v>0</v>
      </c>
      <c r="H379" s="1045"/>
      <c r="I379" s="1240">
        <f t="shared" si="22"/>
        <v>0</v>
      </c>
      <c r="J379" s="1133"/>
    </row>
    <row r="380" spans="1:11" ht="30" hidden="1" customHeight="1" x14ac:dyDescent="0.25">
      <c r="A380" s="676" t="s">
        <v>348</v>
      </c>
      <c r="B380" s="1017" t="s">
        <v>708</v>
      </c>
      <c r="C380" s="1018"/>
      <c r="D380" s="1019"/>
      <c r="E380" s="713">
        <v>1</v>
      </c>
      <c r="F380" s="705" t="s">
        <v>300</v>
      </c>
      <c r="G380" s="1044">
        <v>0</v>
      </c>
      <c r="H380" s="1045"/>
      <c r="I380" s="1240">
        <f t="shared" si="22"/>
        <v>0</v>
      </c>
      <c r="J380" s="1133"/>
    </row>
    <row r="381" spans="1:11" ht="30" hidden="1" customHeight="1" x14ac:dyDescent="0.25">
      <c r="A381" s="676" t="s">
        <v>367</v>
      </c>
      <c r="B381" s="1017" t="s">
        <v>685</v>
      </c>
      <c r="C381" s="1018"/>
      <c r="D381" s="1019"/>
      <c r="E381" s="713">
        <v>6</v>
      </c>
      <c r="F381" s="705" t="s">
        <v>300</v>
      </c>
      <c r="G381" s="1044">
        <v>0</v>
      </c>
      <c r="H381" s="1045"/>
      <c r="I381" s="1240">
        <f t="shared" si="22"/>
        <v>0</v>
      </c>
      <c r="J381" s="1133"/>
    </row>
    <row r="382" spans="1:11" ht="30" hidden="1" customHeight="1" x14ac:dyDescent="0.25">
      <c r="A382" s="356" t="s">
        <v>368</v>
      </c>
      <c r="B382" s="1040" t="s">
        <v>686</v>
      </c>
      <c r="C382" s="1040"/>
      <c r="D382" s="1040"/>
      <c r="E382" s="713">
        <v>1</v>
      </c>
      <c r="F382" s="705" t="s">
        <v>300</v>
      </c>
      <c r="G382" s="1196">
        <v>0</v>
      </c>
      <c r="H382" s="1196"/>
      <c r="I382" s="1240">
        <f>G382</f>
        <v>0</v>
      </c>
      <c r="J382" s="1133"/>
    </row>
    <row r="383" spans="1:11" ht="30" hidden="1" customHeight="1" x14ac:dyDescent="0.25">
      <c r="A383" s="356"/>
      <c r="B383" s="1026"/>
      <c r="C383" s="1052"/>
      <c r="D383" s="1027"/>
      <c r="E383" s="1311"/>
      <c r="F383" s="1311"/>
      <c r="G383" s="1044"/>
      <c r="H383" s="1045"/>
      <c r="I383" s="1261"/>
      <c r="J383" s="1262"/>
    </row>
    <row r="384" spans="1:11" ht="30" hidden="1" customHeight="1" x14ac:dyDescent="0.25">
      <c r="A384" s="356" t="s">
        <v>369</v>
      </c>
      <c r="B384" s="1017" t="s">
        <v>1130</v>
      </c>
      <c r="C384" s="1018"/>
      <c r="D384" s="1019"/>
      <c r="E384" s="713">
        <v>95</v>
      </c>
      <c r="F384" s="713" t="s">
        <v>300</v>
      </c>
      <c r="G384" s="1044">
        <v>0</v>
      </c>
      <c r="H384" s="1045"/>
      <c r="I384" s="1261">
        <f>E384*G384</f>
        <v>0</v>
      </c>
      <c r="J384" s="1262"/>
    </row>
    <row r="385" spans="1:11" ht="30" hidden="1" customHeight="1" x14ac:dyDescent="0.25">
      <c r="A385" s="356" t="s">
        <v>632</v>
      </c>
      <c r="B385" s="1017" t="s">
        <v>1131</v>
      </c>
      <c r="C385" s="1018"/>
      <c r="D385" s="1019"/>
      <c r="E385" s="713">
        <v>1</v>
      </c>
      <c r="F385" s="713" t="s">
        <v>300</v>
      </c>
      <c r="G385" s="1044">
        <v>0</v>
      </c>
      <c r="H385" s="1045"/>
      <c r="I385" s="1261">
        <f>G385</f>
        <v>0</v>
      </c>
      <c r="J385" s="1262"/>
    </row>
    <row r="386" spans="1:11" ht="30" hidden="1" customHeight="1" x14ac:dyDescent="0.25">
      <c r="A386" s="356" t="s">
        <v>633</v>
      </c>
      <c r="B386" s="1017" t="s">
        <v>643</v>
      </c>
      <c r="C386" s="1018"/>
      <c r="D386" s="1019"/>
      <c r="E386" s="713">
        <v>7</v>
      </c>
      <c r="F386" s="713" t="s">
        <v>300</v>
      </c>
      <c r="G386" s="1044">
        <v>0</v>
      </c>
      <c r="H386" s="1045"/>
      <c r="I386" s="1261">
        <f>E386*G386</f>
        <v>0</v>
      </c>
      <c r="J386" s="1262"/>
    </row>
    <row r="387" spans="1:11" ht="30" hidden="1" customHeight="1" x14ac:dyDescent="0.25">
      <c r="A387" s="356" t="s">
        <v>634</v>
      </c>
      <c r="B387" s="1040" t="s">
        <v>644</v>
      </c>
      <c r="C387" s="1040"/>
      <c r="D387" s="1040"/>
      <c r="E387" s="713">
        <v>1</v>
      </c>
      <c r="F387" s="713" t="s">
        <v>300</v>
      </c>
      <c r="G387" s="1196">
        <v>0</v>
      </c>
      <c r="H387" s="1196"/>
      <c r="I387" s="1291">
        <f t="shared" ref="I387:I391" si="23">E387*G387</f>
        <v>0</v>
      </c>
      <c r="J387" s="1291"/>
    </row>
    <row r="388" spans="1:11" ht="30" hidden="1" customHeight="1" x14ac:dyDescent="0.25">
      <c r="A388" s="356" t="s">
        <v>641</v>
      </c>
      <c r="B388" s="1017" t="s">
        <v>645</v>
      </c>
      <c r="C388" s="1018"/>
      <c r="D388" s="1019"/>
      <c r="E388" s="713">
        <v>10</v>
      </c>
      <c r="F388" s="713" t="s">
        <v>300</v>
      </c>
      <c r="G388" s="1044">
        <v>0</v>
      </c>
      <c r="H388" s="1045"/>
      <c r="I388" s="1261">
        <f t="shared" si="23"/>
        <v>0</v>
      </c>
      <c r="J388" s="1262"/>
    </row>
    <row r="389" spans="1:11" ht="30" hidden="1" customHeight="1" x14ac:dyDescent="0.25">
      <c r="A389" s="356" t="s">
        <v>1097</v>
      </c>
      <c r="B389" s="1017" t="s">
        <v>703</v>
      </c>
      <c r="C389" s="1018"/>
      <c r="D389" s="1019"/>
      <c r="E389" s="713">
        <v>1</v>
      </c>
      <c r="F389" s="713" t="s">
        <v>300</v>
      </c>
      <c r="G389" s="1044">
        <v>0</v>
      </c>
      <c r="H389" s="1045"/>
      <c r="I389" s="1261">
        <f t="shared" si="23"/>
        <v>0</v>
      </c>
      <c r="J389" s="1262"/>
    </row>
    <row r="390" spans="1:11" ht="30" hidden="1" customHeight="1" x14ac:dyDescent="0.25">
      <c r="A390" s="356" t="s">
        <v>1132</v>
      </c>
      <c r="B390" s="1017" t="s">
        <v>647</v>
      </c>
      <c r="C390" s="1018"/>
      <c r="D390" s="1019"/>
      <c r="E390" s="713">
        <v>2</v>
      </c>
      <c r="F390" s="713" t="s">
        <v>300</v>
      </c>
      <c r="G390" s="1044">
        <v>0</v>
      </c>
      <c r="H390" s="1045"/>
      <c r="I390" s="1261">
        <f t="shared" si="23"/>
        <v>0</v>
      </c>
      <c r="J390" s="1262"/>
    </row>
    <row r="391" spans="1:11" ht="30" hidden="1" customHeight="1" x14ac:dyDescent="0.25">
      <c r="A391" s="356" t="s">
        <v>1133</v>
      </c>
      <c r="B391" s="1017" t="s">
        <v>648</v>
      </c>
      <c r="C391" s="1018"/>
      <c r="D391" s="1019"/>
      <c r="E391" s="713">
        <v>1</v>
      </c>
      <c r="F391" s="713" t="s">
        <v>300</v>
      </c>
      <c r="G391" s="1044">
        <v>0</v>
      </c>
      <c r="H391" s="1045"/>
      <c r="I391" s="1261">
        <f t="shared" si="23"/>
        <v>0</v>
      </c>
      <c r="J391" s="1262"/>
    </row>
    <row r="392" spans="1:11" ht="17.25" customHeight="1" x14ac:dyDescent="0.25">
      <c r="A392" s="676"/>
      <c r="B392" s="1014" t="s">
        <v>13</v>
      </c>
      <c r="C392" s="1014"/>
      <c r="D392" s="1014"/>
      <c r="E392" s="1304" t="s">
        <v>74</v>
      </c>
      <c r="F392" s="1305"/>
      <c r="G392" s="1053" t="s">
        <v>14</v>
      </c>
      <c r="H392" s="1053"/>
      <c r="I392" s="1266">
        <f>I364</f>
        <v>1200000</v>
      </c>
      <c r="J392" s="1266"/>
    </row>
    <row r="393" spans="1:11" ht="21.75" customHeight="1" x14ac:dyDescent="0.25">
      <c r="A393" s="1313" t="s">
        <v>377</v>
      </c>
      <c r="B393" s="1313"/>
      <c r="C393" s="1313"/>
      <c r="D393" s="1313"/>
      <c r="E393" s="1313"/>
      <c r="F393" s="1313"/>
      <c r="G393" s="1313"/>
      <c r="H393" s="1313"/>
      <c r="I393" s="1313"/>
      <c r="J393" s="1313"/>
    </row>
    <row r="394" spans="1:11" ht="21.75" customHeight="1" x14ac:dyDescent="0.25">
      <c r="A394" s="1055" t="s">
        <v>489</v>
      </c>
      <c r="B394" s="1055"/>
      <c r="C394" s="1055"/>
      <c r="D394" s="1055"/>
      <c r="E394" s="1055"/>
      <c r="F394" s="1055"/>
      <c r="G394" s="1055"/>
      <c r="H394" s="1055"/>
      <c r="I394" s="1055"/>
      <c r="J394" s="1055"/>
    </row>
    <row r="395" spans="1:11" ht="21.75" customHeight="1" x14ac:dyDescent="0.25">
      <c r="A395" s="681" t="s">
        <v>1</v>
      </c>
      <c r="B395" s="1015" t="s">
        <v>15</v>
      </c>
      <c r="C395" s="1015"/>
      <c r="D395" s="1015"/>
      <c r="E395" s="1015" t="s">
        <v>58</v>
      </c>
      <c r="F395" s="1015"/>
      <c r="G395" s="1015" t="s">
        <v>66</v>
      </c>
      <c r="H395" s="1015"/>
      <c r="I395" s="1015" t="s">
        <v>260</v>
      </c>
      <c r="J395" s="1015"/>
      <c r="K395" s="1021" t="s">
        <v>623</v>
      </c>
    </row>
    <row r="396" spans="1:11" ht="21.75" customHeight="1" x14ac:dyDescent="0.25">
      <c r="A396" s="681">
        <v>1</v>
      </c>
      <c r="B396" s="1015">
        <v>2</v>
      </c>
      <c r="C396" s="1015"/>
      <c r="D396" s="1015"/>
      <c r="E396" s="1015">
        <v>3</v>
      </c>
      <c r="F396" s="1015"/>
      <c r="G396" s="1015">
        <v>4</v>
      </c>
      <c r="H396" s="1015"/>
      <c r="I396" s="1015">
        <v>5</v>
      </c>
      <c r="J396" s="1015"/>
      <c r="K396" s="1021"/>
    </row>
    <row r="397" spans="1:11" ht="39.75" customHeight="1" x14ac:dyDescent="0.25">
      <c r="A397" s="679" t="s">
        <v>70</v>
      </c>
      <c r="B397" s="1041" t="s">
        <v>172</v>
      </c>
      <c r="C397" s="1042"/>
      <c r="D397" s="1043"/>
      <c r="E397" s="389"/>
      <c r="F397" s="389"/>
      <c r="G397" s="1031"/>
      <c r="H397" s="1033"/>
      <c r="I397" s="1292">
        <f>SUM(I398:J399)</f>
        <v>15000</v>
      </c>
      <c r="J397" s="1301"/>
      <c r="K397" s="1028" t="s">
        <v>1128</v>
      </c>
    </row>
    <row r="398" spans="1:11" ht="35.25" customHeight="1" x14ac:dyDescent="0.25">
      <c r="A398" s="676" t="s">
        <v>27</v>
      </c>
      <c r="B398" s="1245" t="s">
        <v>173</v>
      </c>
      <c r="C398" s="1245"/>
      <c r="D398" s="1245"/>
      <c r="E398" s="713" t="s">
        <v>301</v>
      </c>
      <c r="F398" s="705"/>
      <c r="G398" s="1196" t="s">
        <v>256</v>
      </c>
      <c r="H398" s="1196"/>
      <c r="I398" s="1240">
        <v>15000</v>
      </c>
      <c r="J398" s="1133"/>
      <c r="K398" s="1029"/>
    </row>
    <row r="399" spans="1:11" ht="21.75" hidden="1" customHeight="1" x14ac:dyDescent="0.25">
      <c r="A399" s="356" t="s">
        <v>27</v>
      </c>
      <c r="B399" s="1263"/>
      <c r="C399" s="1264"/>
      <c r="D399" s="1265"/>
      <c r="E399" s="713"/>
      <c r="F399" s="357"/>
      <c r="G399" s="1196"/>
      <c r="H399" s="1196"/>
      <c r="I399" s="1240"/>
      <c r="J399" s="1133"/>
      <c r="K399" s="1029"/>
    </row>
    <row r="400" spans="1:11" ht="21.75" customHeight="1" x14ac:dyDescent="0.25">
      <c r="A400" s="676"/>
      <c r="B400" s="1014" t="s">
        <v>13</v>
      </c>
      <c r="C400" s="1014"/>
      <c r="D400" s="1014"/>
      <c r="E400" s="1243" t="s">
        <v>74</v>
      </c>
      <c r="F400" s="1244"/>
      <c r="G400" s="1053" t="s">
        <v>14</v>
      </c>
      <c r="H400" s="1053"/>
      <c r="I400" s="1054">
        <f>I397</f>
        <v>15000</v>
      </c>
      <c r="J400" s="1071"/>
      <c r="K400" s="1030"/>
    </row>
    <row r="401" spans="1:12" x14ac:dyDescent="0.25">
      <c r="A401" s="1300" t="s">
        <v>490</v>
      </c>
      <c r="B401" s="1300"/>
      <c r="C401" s="1300"/>
      <c r="D401" s="1300"/>
      <c r="E401" s="1300"/>
      <c r="F401" s="1300"/>
      <c r="G401" s="1300"/>
      <c r="H401" s="1300"/>
      <c r="I401" s="1300"/>
      <c r="J401" s="1300"/>
    </row>
    <row r="402" spans="1:12" ht="15" customHeight="1" x14ac:dyDescent="0.25">
      <c r="A402" s="681" t="s">
        <v>1</v>
      </c>
      <c r="B402" s="1015" t="s">
        <v>15</v>
      </c>
      <c r="C402" s="1015"/>
      <c r="D402" s="1015"/>
      <c r="E402" s="1015" t="s">
        <v>58</v>
      </c>
      <c r="F402" s="1015"/>
      <c r="G402" s="1015" t="s">
        <v>66</v>
      </c>
      <c r="H402" s="1015"/>
      <c r="I402" s="1015" t="s">
        <v>260</v>
      </c>
      <c r="J402" s="1015"/>
    </row>
    <row r="403" spans="1:12" x14ac:dyDescent="0.25">
      <c r="A403" s="681">
        <v>1</v>
      </c>
      <c r="B403" s="1015">
        <v>2</v>
      </c>
      <c r="C403" s="1015"/>
      <c r="D403" s="1015"/>
      <c r="E403" s="1015">
        <v>3</v>
      </c>
      <c r="F403" s="1015"/>
      <c r="G403" s="1015">
        <v>4</v>
      </c>
      <c r="H403" s="1015"/>
      <c r="I403" s="1015">
        <v>5</v>
      </c>
      <c r="J403" s="1015"/>
    </row>
    <row r="404" spans="1:12" ht="30.75" hidden="1" customHeight="1" x14ac:dyDescent="0.25">
      <c r="A404" s="676" t="s">
        <v>70</v>
      </c>
      <c r="B404" s="1017" t="s">
        <v>172</v>
      </c>
      <c r="C404" s="1018"/>
      <c r="D404" s="1019"/>
      <c r="E404" s="713"/>
      <c r="F404" s="713"/>
      <c r="G404" s="1026"/>
      <c r="H404" s="1027"/>
      <c r="I404" s="1240">
        <f>SUM(I405:J406)</f>
        <v>0</v>
      </c>
      <c r="J404" s="1133"/>
      <c r="K404" s="306"/>
      <c r="L404" s="290"/>
    </row>
    <row r="405" spans="1:12" hidden="1" x14ac:dyDescent="0.25">
      <c r="A405" s="676" t="s">
        <v>27</v>
      </c>
      <c r="B405" s="1245" t="s">
        <v>173</v>
      </c>
      <c r="C405" s="1245"/>
      <c r="D405" s="1245"/>
      <c r="E405" s="713" t="s">
        <v>301</v>
      </c>
      <c r="F405" s="705"/>
      <c r="G405" s="1196" t="s">
        <v>256</v>
      </c>
      <c r="H405" s="1196"/>
      <c r="I405" s="1240"/>
      <c r="J405" s="1133"/>
      <c r="K405" s="306"/>
      <c r="L405" s="290"/>
    </row>
    <row r="406" spans="1:12" hidden="1" x14ac:dyDescent="0.25">
      <c r="A406" s="356" t="s">
        <v>27</v>
      </c>
      <c r="B406" s="1263"/>
      <c r="C406" s="1264"/>
      <c r="D406" s="1265"/>
      <c r="E406" s="713"/>
      <c r="F406" s="357"/>
      <c r="G406" s="1196"/>
      <c r="H406" s="1196"/>
      <c r="I406" s="1240"/>
      <c r="J406" s="1133"/>
    </row>
    <row r="407" spans="1:12" s="363" customFormat="1" ht="15" customHeight="1" x14ac:dyDescent="0.25">
      <c r="A407" s="676"/>
      <c r="B407" s="1014" t="s">
        <v>13</v>
      </c>
      <c r="C407" s="1014"/>
      <c r="D407" s="1014"/>
      <c r="E407" s="1243" t="s">
        <v>74</v>
      </c>
      <c r="F407" s="1244"/>
      <c r="G407" s="1053" t="s">
        <v>14</v>
      </c>
      <c r="H407" s="1053"/>
      <c r="I407" s="1016">
        <f>I404</f>
        <v>0</v>
      </c>
      <c r="J407" s="1053"/>
      <c r="K407" s="362"/>
    </row>
    <row r="408" spans="1:12" s="363" customFormat="1" ht="15" customHeight="1" x14ac:dyDescent="0.25">
      <c r="A408" s="1055" t="s">
        <v>491</v>
      </c>
      <c r="B408" s="1055"/>
      <c r="C408" s="1055"/>
      <c r="D408" s="1055"/>
      <c r="E408" s="1055"/>
      <c r="F408" s="1055"/>
      <c r="G408" s="1055"/>
      <c r="H408" s="1055"/>
      <c r="I408" s="1055"/>
      <c r="J408" s="1055"/>
      <c r="K408" s="362"/>
    </row>
    <row r="409" spans="1:12" s="363" customFormat="1" ht="15" customHeight="1" x14ac:dyDescent="0.2">
      <c r="A409" s="681" t="s">
        <v>1</v>
      </c>
      <c r="B409" s="1015" t="s">
        <v>15</v>
      </c>
      <c r="C409" s="1015"/>
      <c r="D409" s="1015"/>
      <c r="E409" s="1015" t="s">
        <v>58</v>
      </c>
      <c r="F409" s="1015"/>
      <c r="G409" s="1015" t="s">
        <v>66</v>
      </c>
      <c r="H409" s="1015"/>
      <c r="I409" s="1015" t="s">
        <v>260</v>
      </c>
      <c r="J409" s="1015"/>
      <c r="K409" s="1298" t="s">
        <v>654</v>
      </c>
    </row>
    <row r="410" spans="1:12" s="363" customFormat="1" ht="15" customHeight="1" x14ac:dyDescent="0.2">
      <c r="A410" s="681">
        <v>1</v>
      </c>
      <c r="B410" s="1015">
        <v>2</v>
      </c>
      <c r="C410" s="1015"/>
      <c r="D410" s="1015"/>
      <c r="E410" s="1015">
        <v>3</v>
      </c>
      <c r="F410" s="1015"/>
      <c r="G410" s="1015">
        <v>4</v>
      </c>
      <c r="H410" s="1015"/>
      <c r="I410" s="1015">
        <v>5</v>
      </c>
      <c r="J410" s="1015"/>
      <c r="K410" s="1298"/>
    </row>
    <row r="411" spans="1:12" s="363" customFormat="1" ht="39.75" customHeight="1" x14ac:dyDescent="0.25">
      <c r="A411" s="676" t="s">
        <v>70</v>
      </c>
      <c r="B411" s="1017" t="s">
        <v>172</v>
      </c>
      <c r="C411" s="1018"/>
      <c r="D411" s="1019"/>
      <c r="E411" s="713"/>
      <c r="F411" s="713"/>
      <c r="G411" s="1026"/>
      <c r="H411" s="1027"/>
      <c r="I411" s="1240">
        <f>SUM(I412:J413)</f>
        <v>10000</v>
      </c>
      <c r="J411" s="1133"/>
      <c r="K411" s="1314" t="s">
        <v>1089</v>
      </c>
    </row>
    <row r="412" spans="1:12" s="363" customFormat="1" ht="51" customHeight="1" x14ac:dyDescent="0.25">
      <c r="A412" s="676" t="s">
        <v>27</v>
      </c>
      <c r="B412" s="1245" t="s">
        <v>493</v>
      </c>
      <c r="C412" s="1245"/>
      <c r="D412" s="1245"/>
      <c r="E412" s="675" t="s">
        <v>1164</v>
      </c>
      <c r="F412" s="705">
        <v>3</v>
      </c>
      <c r="G412" s="1196" t="s">
        <v>256</v>
      </c>
      <c r="H412" s="1196"/>
      <c r="I412" s="1240">
        <v>10000</v>
      </c>
      <c r="J412" s="1133"/>
      <c r="K412" s="1315"/>
    </row>
    <row r="413" spans="1:12" s="364" customFormat="1" ht="15" hidden="1" customHeight="1" x14ac:dyDescent="0.25">
      <c r="A413" s="356" t="s">
        <v>27</v>
      </c>
      <c r="B413" s="1263"/>
      <c r="C413" s="1264"/>
      <c r="D413" s="1265"/>
      <c r="E413" s="713"/>
      <c r="F413" s="357"/>
      <c r="G413" s="1196"/>
      <c r="H413" s="1196"/>
      <c r="I413" s="1240"/>
      <c r="J413" s="1133"/>
      <c r="K413" s="1315"/>
    </row>
    <row r="414" spans="1:12" s="363" customFormat="1" ht="18" customHeight="1" x14ac:dyDescent="0.25">
      <c r="A414" s="676"/>
      <c r="B414" s="1014" t="s">
        <v>13</v>
      </c>
      <c r="C414" s="1014"/>
      <c r="D414" s="1014"/>
      <c r="E414" s="1243" t="s">
        <v>74</v>
      </c>
      <c r="F414" s="1244"/>
      <c r="G414" s="1053" t="s">
        <v>14</v>
      </c>
      <c r="H414" s="1053"/>
      <c r="I414" s="1054">
        <f>I411</f>
        <v>10000</v>
      </c>
      <c r="J414" s="1071"/>
      <c r="K414" s="1316"/>
    </row>
    <row r="415" spans="1:12" s="364" customFormat="1" ht="15" customHeight="1" x14ac:dyDescent="0.25">
      <c r="A415" s="1300" t="s">
        <v>492</v>
      </c>
      <c r="B415" s="1300"/>
      <c r="C415" s="1300"/>
      <c r="D415" s="1300"/>
      <c r="E415" s="1300"/>
      <c r="F415" s="1300"/>
      <c r="G415" s="1300"/>
      <c r="H415" s="1300"/>
      <c r="I415" s="1300"/>
      <c r="J415" s="1300"/>
      <c r="K415" s="362"/>
    </row>
    <row r="416" spans="1:12" s="364" customFormat="1" ht="15" customHeight="1" x14ac:dyDescent="0.25">
      <c r="A416" s="681" t="s">
        <v>1</v>
      </c>
      <c r="B416" s="1015" t="s">
        <v>15</v>
      </c>
      <c r="C416" s="1015"/>
      <c r="D416" s="1015"/>
      <c r="E416" s="1015" t="s">
        <v>58</v>
      </c>
      <c r="F416" s="1015"/>
      <c r="G416" s="1015" t="s">
        <v>66</v>
      </c>
      <c r="H416" s="1015"/>
      <c r="I416" s="1015" t="s">
        <v>260</v>
      </c>
      <c r="J416" s="1015"/>
      <c r="K416" s="1310" t="s">
        <v>653</v>
      </c>
    </row>
    <row r="417" spans="1:11" s="364" customFormat="1" ht="15" customHeight="1" x14ac:dyDescent="0.25">
      <c r="A417" s="681">
        <v>1</v>
      </c>
      <c r="B417" s="1015">
        <v>2</v>
      </c>
      <c r="C417" s="1015"/>
      <c r="D417" s="1015"/>
      <c r="E417" s="1015">
        <v>3</v>
      </c>
      <c r="F417" s="1015"/>
      <c r="G417" s="1015">
        <v>4</v>
      </c>
      <c r="H417" s="1015"/>
      <c r="I417" s="1015">
        <v>5</v>
      </c>
      <c r="J417" s="1015"/>
      <c r="K417" s="1310"/>
    </row>
    <row r="418" spans="1:11" s="364" customFormat="1" ht="38.25" hidden="1" customHeight="1" x14ac:dyDescent="0.25">
      <c r="A418" s="676" t="s">
        <v>70</v>
      </c>
      <c r="B418" s="1017" t="s">
        <v>172</v>
      </c>
      <c r="C418" s="1018"/>
      <c r="D418" s="1019"/>
      <c r="E418" s="713"/>
      <c r="F418" s="713"/>
      <c r="G418" s="1026"/>
      <c r="H418" s="1027"/>
      <c r="I418" s="1240">
        <f>SUM(I419:J420)</f>
        <v>0</v>
      </c>
      <c r="J418" s="1133"/>
      <c r="K418" s="1299" t="s">
        <v>624</v>
      </c>
    </row>
    <row r="419" spans="1:11" s="364" customFormat="1" ht="38.25" hidden="1" customHeight="1" x14ac:dyDescent="0.25">
      <c r="A419" s="676" t="s">
        <v>27</v>
      </c>
      <c r="B419" s="1245" t="s">
        <v>625</v>
      </c>
      <c r="C419" s="1245"/>
      <c r="D419" s="1245"/>
      <c r="E419" s="713" t="s">
        <v>301</v>
      </c>
      <c r="F419" s="705">
        <v>812</v>
      </c>
      <c r="G419" s="1196" t="s">
        <v>256</v>
      </c>
      <c r="H419" s="1196"/>
      <c r="I419" s="1240">
        <v>0</v>
      </c>
      <c r="J419" s="1133"/>
      <c r="K419" s="1299"/>
    </row>
    <row r="420" spans="1:11" s="364" customFormat="1" ht="15" hidden="1" customHeight="1" x14ac:dyDescent="0.25">
      <c r="A420" s="356" t="s">
        <v>27</v>
      </c>
      <c r="B420" s="1263"/>
      <c r="C420" s="1264"/>
      <c r="D420" s="1265"/>
      <c r="E420" s="713"/>
      <c r="F420" s="357"/>
      <c r="G420" s="1196"/>
      <c r="H420" s="1196"/>
      <c r="I420" s="1240"/>
      <c r="J420" s="1133"/>
      <c r="K420" s="1299"/>
    </row>
    <row r="421" spans="1:11" s="364" customFormat="1" ht="15" customHeight="1" x14ac:dyDescent="0.25">
      <c r="A421" s="676"/>
      <c r="B421" s="1014" t="s">
        <v>13</v>
      </c>
      <c r="C421" s="1014"/>
      <c r="D421" s="1014"/>
      <c r="E421" s="1243" t="s">
        <v>74</v>
      </c>
      <c r="F421" s="1244"/>
      <c r="G421" s="1053" t="s">
        <v>14</v>
      </c>
      <c r="H421" s="1053"/>
      <c r="I421" s="1016">
        <f>I418</f>
        <v>0</v>
      </c>
      <c r="J421" s="1053"/>
      <c r="K421" s="362"/>
    </row>
    <row r="422" spans="1:11" s="364" customFormat="1" ht="15" customHeight="1" x14ac:dyDescent="0.25">
      <c r="A422" s="1055" t="s">
        <v>495</v>
      </c>
      <c r="B422" s="1055"/>
      <c r="C422" s="1055"/>
      <c r="D422" s="1055"/>
      <c r="E422" s="1055"/>
      <c r="F422" s="1055"/>
      <c r="G422" s="1055"/>
      <c r="H422" s="1055"/>
      <c r="I422" s="1055"/>
      <c r="J422" s="1055"/>
      <c r="K422" s="362"/>
    </row>
    <row r="423" spans="1:11" s="364" customFormat="1" ht="15" customHeight="1" x14ac:dyDescent="0.25">
      <c r="A423" s="681" t="s">
        <v>1</v>
      </c>
      <c r="B423" s="1015" t="s">
        <v>15</v>
      </c>
      <c r="C423" s="1015"/>
      <c r="D423" s="1015"/>
      <c r="E423" s="1015" t="s">
        <v>58</v>
      </c>
      <c r="F423" s="1015"/>
      <c r="G423" s="1015" t="s">
        <v>66</v>
      </c>
      <c r="H423" s="1015"/>
      <c r="I423" s="1015" t="s">
        <v>260</v>
      </c>
      <c r="J423" s="1015"/>
      <c r="K423" s="1298" t="s">
        <v>654</v>
      </c>
    </row>
    <row r="424" spans="1:11" s="364" customFormat="1" ht="15" customHeight="1" x14ac:dyDescent="0.25">
      <c r="A424" s="681">
        <v>1</v>
      </c>
      <c r="B424" s="1015">
        <v>2</v>
      </c>
      <c r="C424" s="1015"/>
      <c r="D424" s="1015"/>
      <c r="E424" s="1015">
        <v>3</v>
      </c>
      <c r="F424" s="1015"/>
      <c r="G424" s="1015">
        <v>4</v>
      </c>
      <c r="H424" s="1015"/>
      <c r="I424" s="1015">
        <v>5</v>
      </c>
      <c r="J424" s="1015"/>
      <c r="K424" s="1298"/>
    </row>
    <row r="425" spans="1:11" s="364" customFormat="1" ht="36" customHeight="1" x14ac:dyDescent="0.25">
      <c r="A425" s="676" t="s">
        <v>70</v>
      </c>
      <c r="B425" s="1017" t="s">
        <v>172</v>
      </c>
      <c r="C425" s="1018"/>
      <c r="D425" s="1019"/>
      <c r="E425" s="713"/>
      <c r="F425" s="713"/>
      <c r="G425" s="1026"/>
      <c r="H425" s="1027"/>
      <c r="I425" s="1240">
        <v>53000</v>
      </c>
      <c r="J425" s="1133"/>
      <c r="K425" s="1299" t="s">
        <v>1094</v>
      </c>
    </row>
    <row r="426" spans="1:11" s="364" customFormat="1" ht="18.75" customHeight="1" x14ac:dyDescent="0.25">
      <c r="A426" s="676" t="s">
        <v>27</v>
      </c>
      <c r="B426" s="1245" t="s">
        <v>494</v>
      </c>
      <c r="C426" s="1245"/>
      <c r="D426" s="1245"/>
      <c r="E426" s="713" t="s">
        <v>301</v>
      </c>
      <c r="F426" s="705"/>
      <c r="G426" s="1196" t="s">
        <v>256</v>
      </c>
      <c r="H426" s="1196"/>
      <c r="I426" s="1289">
        <f>I425</f>
        <v>53000</v>
      </c>
      <c r="J426" s="1312"/>
      <c r="K426" s="1299"/>
    </row>
    <row r="427" spans="1:11" s="364" customFormat="1" ht="15" hidden="1" x14ac:dyDescent="0.25">
      <c r="A427" s="356" t="s">
        <v>27</v>
      </c>
      <c r="B427" s="1263" t="s">
        <v>649</v>
      </c>
      <c r="C427" s="1264"/>
      <c r="D427" s="1265"/>
      <c r="E427" s="713"/>
      <c r="F427" s="357"/>
      <c r="G427" s="1196"/>
      <c r="H427" s="1196"/>
      <c r="I427" s="1240">
        <v>0</v>
      </c>
      <c r="J427" s="1133"/>
      <c r="K427" s="1299"/>
    </row>
    <row r="428" spans="1:11" s="363" customFormat="1" x14ac:dyDescent="0.25">
      <c r="A428" s="1056" t="s">
        <v>496</v>
      </c>
      <c r="B428" s="1056"/>
      <c r="C428" s="1056"/>
      <c r="D428" s="1056"/>
      <c r="E428" s="1056"/>
      <c r="F428" s="1056"/>
      <c r="G428" s="1056"/>
      <c r="H428" s="1056"/>
      <c r="I428" s="1056"/>
      <c r="J428" s="1056"/>
      <c r="K428" s="362"/>
    </row>
    <row r="429" spans="1:11" s="363" customFormat="1" ht="12.75" x14ac:dyDescent="0.2">
      <c r="A429" s="681" t="s">
        <v>1</v>
      </c>
      <c r="B429" s="1015" t="s">
        <v>15</v>
      </c>
      <c r="C429" s="1015"/>
      <c r="D429" s="1015"/>
      <c r="E429" s="1015" t="s">
        <v>58</v>
      </c>
      <c r="F429" s="1015"/>
      <c r="G429" s="1015" t="s">
        <v>66</v>
      </c>
      <c r="H429" s="1015"/>
      <c r="I429" s="1015" t="s">
        <v>260</v>
      </c>
      <c r="J429" s="1015"/>
      <c r="K429" s="1298" t="s">
        <v>655</v>
      </c>
    </row>
    <row r="430" spans="1:11" s="363" customFormat="1" ht="12.75" x14ac:dyDescent="0.2">
      <c r="A430" s="681">
        <v>1</v>
      </c>
      <c r="B430" s="1015">
        <v>2</v>
      </c>
      <c r="C430" s="1015"/>
      <c r="D430" s="1015"/>
      <c r="E430" s="1015">
        <v>3</v>
      </c>
      <c r="F430" s="1015"/>
      <c r="G430" s="1015">
        <v>4</v>
      </c>
      <c r="H430" s="1015"/>
      <c r="I430" s="1015">
        <v>5</v>
      </c>
      <c r="J430" s="1015"/>
      <c r="K430" s="1298"/>
    </row>
    <row r="431" spans="1:11" s="363" customFormat="1" ht="46.5" customHeight="1" x14ac:dyDescent="0.25">
      <c r="A431" s="679">
        <v>1</v>
      </c>
      <c r="B431" s="1041" t="s">
        <v>172</v>
      </c>
      <c r="C431" s="1042"/>
      <c r="D431" s="1043"/>
      <c r="E431" s="389"/>
      <c r="F431" s="389"/>
      <c r="G431" s="1031"/>
      <c r="H431" s="1033"/>
      <c r="I431" s="1229">
        <f>I432+I433+I435+I434+I453</f>
        <v>280000</v>
      </c>
      <c r="J431" s="1230"/>
      <c r="K431" s="583" t="s">
        <v>657</v>
      </c>
    </row>
    <row r="432" spans="1:11" s="363" customFormat="1" ht="20.25" customHeight="1" x14ac:dyDescent="0.25">
      <c r="A432" s="676" t="s">
        <v>27</v>
      </c>
      <c r="B432" s="1245" t="s">
        <v>497</v>
      </c>
      <c r="C432" s="1245"/>
      <c r="D432" s="1245"/>
      <c r="E432" s="713" t="s">
        <v>301</v>
      </c>
      <c r="F432" s="705"/>
      <c r="G432" s="1196"/>
      <c r="H432" s="1196"/>
      <c r="I432" s="1222">
        <v>110000</v>
      </c>
      <c r="J432" s="1132"/>
      <c r="K432" s="583"/>
    </row>
    <row r="433" spans="1:12" s="363" customFormat="1" ht="21.75" customHeight="1" x14ac:dyDescent="0.25">
      <c r="A433" s="676" t="s">
        <v>29</v>
      </c>
      <c r="B433" s="1245" t="s">
        <v>498</v>
      </c>
      <c r="C433" s="1245"/>
      <c r="D433" s="1245"/>
      <c r="E433" s="713" t="s">
        <v>301</v>
      </c>
      <c r="F433" s="705"/>
      <c r="G433" s="1196"/>
      <c r="H433" s="1196"/>
      <c r="I433" s="1222">
        <v>120000</v>
      </c>
      <c r="J433" s="1132"/>
      <c r="K433" s="583"/>
    </row>
    <row r="434" spans="1:12" s="363" customFormat="1" ht="15" customHeight="1" x14ac:dyDescent="0.25">
      <c r="A434" s="676" t="s">
        <v>31</v>
      </c>
      <c r="B434" s="1263" t="s">
        <v>646</v>
      </c>
      <c r="C434" s="1264"/>
      <c r="D434" s="1265"/>
      <c r="E434" s="713"/>
      <c r="F434" s="705"/>
      <c r="G434" s="1044"/>
      <c r="H434" s="1045"/>
      <c r="I434" s="1291">
        <f>10000-10000</f>
        <v>0</v>
      </c>
      <c r="J434" s="1261"/>
      <c r="K434" s="583"/>
    </row>
    <row r="435" spans="1:12" s="363" customFormat="1" ht="15" customHeight="1" x14ac:dyDescent="0.25">
      <c r="A435" s="676" t="s">
        <v>264</v>
      </c>
      <c r="B435" s="1263" t="s">
        <v>1140</v>
      </c>
      <c r="C435" s="1264"/>
      <c r="D435" s="1265"/>
      <c r="E435" s="713"/>
      <c r="F435" s="705"/>
      <c r="G435" s="1044"/>
      <c r="H435" s="1045"/>
      <c r="I435" s="1291">
        <v>50000</v>
      </c>
      <c r="J435" s="1261"/>
      <c r="K435" s="583"/>
    </row>
    <row r="436" spans="1:12" s="363" customFormat="1" ht="28.5" customHeight="1" x14ac:dyDescent="0.25">
      <c r="A436" s="388" t="s">
        <v>75</v>
      </c>
      <c r="B436" s="1041" t="s">
        <v>187</v>
      </c>
      <c r="C436" s="1042"/>
      <c r="D436" s="1043"/>
      <c r="E436" s="389"/>
      <c r="F436" s="377"/>
      <c r="G436" s="1294"/>
      <c r="H436" s="1294"/>
      <c r="I436" s="1229">
        <f>I437+I438</f>
        <v>800000</v>
      </c>
      <c r="J436" s="1230"/>
      <c r="K436" s="583"/>
    </row>
    <row r="437" spans="1:12" s="363" customFormat="1" ht="48.75" customHeight="1" x14ac:dyDescent="0.25">
      <c r="A437" s="356" t="s">
        <v>34</v>
      </c>
      <c r="B437" s="1295" t="s">
        <v>499</v>
      </c>
      <c r="C437" s="1296"/>
      <c r="D437" s="1297"/>
      <c r="E437" s="713" t="s">
        <v>301</v>
      </c>
      <c r="F437" s="705"/>
      <c r="G437" s="1196"/>
      <c r="H437" s="1196"/>
      <c r="I437" s="1222">
        <v>300000</v>
      </c>
      <c r="J437" s="1132"/>
      <c r="K437" s="583"/>
    </row>
    <row r="438" spans="1:12" s="363" customFormat="1" ht="58.5" customHeight="1" x14ac:dyDescent="0.25">
      <c r="A438" s="356" t="s">
        <v>36</v>
      </c>
      <c r="B438" s="1295" t="s">
        <v>500</v>
      </c>
      <c r="C438" s="1296"/>
      <c r="D438" s="1297"/>
      <c r="E438" s="713" t="s">
        <v>301</v>
      </c>
      <c r="F438" s="705"/>
      <c r="G438" s="1196"/>
      <c r="H438" s="1196"/>
      <c r="I438" s="1222">
        <v>500000</v>
      </c>
      <c r="J438" s="1132"/>
      <c r="K438" s="583"/>
    </row>
    <row r="439" spans="1:12" s="363" customFormat="1" ht="25.5" hidden="1" customHeight="1" x14ac:dyDescent="0.25">
      <c r="A439" s="679" t="s">
        <v>77</v>
      </c>
      <c r="B439" s="1041" t="s">
        <v>479</v>
      </c>
      <c r="C439" s="1042"/>
      <c r="D439" s="1042"/>
      <c r="E439" s="1042"/>
      <c r="F439" s="1042"/>
      <c r="G439" s="1042"/>
      <c r="H439" s="1042"/>
      <c r="I439" s="1042"/>
      <c r="J439" s="1043"/>
      <c r="K439" s="583"/>
    </row>
    <row r="440" spans="1:12" s="363" customFormat="1" ht="48" hidden="1" customHeight="1" x14ac:dyDescent="0.25">
      <c r="A440" s="356" t="s">
        <v>374</v>
      </c>
      <c r="B440" s="1099"/>
      <c r="C440" s="1100"/>
      <c r="D440" s="1101"/>
      <c r="E440" s="713"/>
      <c r="F440" s="705"/>
      <c r="G440" s="1044"/>
      <c r="H440" s="1045"/>
      <c r="I440" s="1291"/>
      <c r="J440" s="1261"/>
      <c r="K440" s="583"/>
    </row>
    <row r="441" spans="1:12" ht="32.25" customHeight="1" x14ac:dyDescent="0.25">
      <c r="A441" s="679" t="s">
        <v>77</v>
      </c>
      <c r="B441" s="1031" t="s">
        <v>532</v>
      </c>
      <c r="C441" s="1032"/>
      <c r="D441" s="1032"/>
      <c r="E441" s="1032"/>
      <c r="F441" s="1032"/>
      <c r="G441" s="1032"/>
      <c r="H441" s="1032"/>
      <c r="I441" s="1032"/>
      <c r="J441" s="1033"/>
      <c r="K441" s="583"/>
    </row>
    <row r="442" spans="1:12" s="276" customFormat="1" ht="18.75" customHeight="1" x14ac:dyDescent="0.25">
      <c r="A442" s="356" t="s">
        <v>374</v>
      </c>
      <c r="B442" s="1295" t="s">
        <v>670</v>
      </c>
      <c r="C442" s="1296"/>
      <c r="D442" s="1297"/>
      <c r="E442" s="713" t="s">
        <v>301</v>
      </c>
      <c r="F442" s="705"/>
      <c r="G442" s="1196" t="s">
        <v>256</v>
      </c>
      <c r="H442" s="1196"/>
      <c r="I442" s="1222">
        <v>70000</v>
      </c>
      <c r="J442" s="1132"/>
      <c r="K442" s="583"/>
      <c r="L442" s="363"/>
    </row>
    <row r="443" spans="1:12" s="276" customFormat="1" ht="30" hidden="1" customHeight="1" x14ac:dyDescent="0.25">
      <c r="A443" s="356" t="s">
        <v>503</v>
      </c>
      <c r="B443" s="1263" t="s">
        <v>547</v>
      </c>
      <c r="C443" s="1264"/>
      <c r="D443" s="1265"/>
      <c r="E443" s="682"/>
      <c r="F443" s="693"/>
      <c r="G443" s="1044"/>
      <c r="H443" s="1045"/>
      <c r="I443" s="1291">
        <f>SUM(I444:J444)</f>
        <v>0</v>
      </c>
      <c r="J443" s="1261"/>
      <c r="K443" s="583"/>
      <c r="L443" s="363"/>
    </row>
    <row r="444" spans="1:12" s="276" customFormat="1" ht="30" hidden="1" customHeight="1" x14ac:dyDescent="0.25">
      <c r="A444" s="356" t="s">
        <v>619</v>
      </c>
      <c r="B444" s="1263" t="s">
        <v>549</v>
      </c>
      <c r="C444" s="1264"/>
      <c r="D444" s="1265"/>
      <c r="E444" s="682"/>
      <c r="F444" s="693"/>
      <c r="G444" s="1044"/>
      <c r="H444" s="1045"/>
      <c r="I444" s="1291">
        <v>0</v>
      </c>
      <c r="J444" s="1261"/>
      <c r="K444" s="583"/>
      <c r="L444" s="363"/>
    </row>
    <row r="445" spans="1:12" s="480" customFormat="1" ht="24" customHeight="1" x14ac:dyDescent="0.25">
      <c r="A445" s="388" t="s">
        <v>86</v>
      </c>
      <c r="B445" s="1031" t="s">
        <v>782</v>
      </c>
      <c r="C445" s="1032"/>
      <c r="D445" s="1032"/>
      <c r="E445" s="1032"/>
      <c r="F445" s="1032"/>
      <c r="G445" s="1032"/>
      <c r="H445" s="1032"/>
      <c r="I445" s="1032"/>
      <c r="J445" s="1033"/>
      <c r="K445" s="583"/>
      <c r="L445" s="479"/>
    </row>
    <row r="446" spans="1:12" ht="15.75" customHeight="1" x14ac:dyDescent="0.25">
      <c r="A446" s="356" t="s">
        <v>473</v>
      </c>
      <c r="B446" s="1295" t="s">
        <v>781</v>
      </c>
      <c r="C446" s="1296"/>
      <c r="D446" s="1297"/>
      <c r="E446" s="713" t="s">
        <v>301</v>
      </c>
      <c r="F446" s="705">
        <v>812</v>
      </c>
      <c r="G446" s="1196"/>
      <c r="H446" s="1196"/>
      <c r="I446" s="1291">
        <v>0</v>
      </c>
      <c r="J446" s="1261"/>
      <c r="K446" s="583"/>
    </row>
    <row r="447" spans="1:12" ht="15.75" customHeight="1" x14ac:dyDescent="0.25">
      <c r="A447" s="1293" t="s">
        <v>501</v>
      </c>
      <c r="B447" s="1293"/>
      <c r="C447" s="1293"/>
      <c r="D447" s="1293"/>
      <c r="E447" s="1293"/>
      <c r="F447" s="1293"/>
      <c r="G447" s="1293"/>
      <c r="H447" s="1293"/>
      <c r="I447" s="1293"/>
      <c r="J447" s="1293"/>
      <c r="K447" s="392"/>
    </row>
    <row r="448" spans="1:12" ht="25.5" customHeight="1" x14ac:dyDescent="0.25">
      <c r="A448" s="681" t="s">
        <v>1</v>
      </c>
      <c r="B448" s="1015" t="s">
        <v>15</v>
      </c>
      <c r="C448" s="1015"/>
      <c r="D448" s="1015"/>
      <c r="E448" s="1015" t="s">
        <v>58</v>
      </c>
      <c r="F448" s="1015"/>
      <c r="G448" s="1015" t="s">
        <v>66</v>
      </c>
      <c r="H448" s="1015"/>
      <c r="I448" s="1015" t="s">
        <v>260</v>
      </c>
      <c r="J448" s="1024"/>
      <c r="K448" s="392"/>
    </row>
    <row r="449" spans="1:13" ht="15" customHeight="1" x14ac:dyDescent="0.25">
      <c r="A449" s="681">
        <v>1</v>
      </c>
      <c r="B449" s="1015">
        <v>2</v>
      </c>
      <c r="C449" s="1015"/>
      <c r="D449" s="1015"/>
      <c r="E449" s="1015">
        <v>3</v>
      </c>
      <c r="F449" s="1015"/>
      <c r="G449" s="1015">
        <v>4</v>
      </c>
      <c r="H449" s="1015"/>
      <c r="I449" s="1015">
        <v>5</v>
      </c>
      <c r="J449" s="1024"/>
      <c r="K449" s="392"/>
    </row>
    <row r="450" spans="1:13" ht="36.75" customHeight="1" x14ac:dyDescent="0.25">
      <c r="A450" s="388" t="s">
        <v>70</v>
      </c>
      <c r="B450" s="1041" t="s">
        <v>187</v>
      </c>
      <c r="C450" s="1042"/>
      <c r="D450" s="1043"/>
      <c r="E450" s="1243"/>
      <c r="F450" s="1244"/>
      <c r="G450" s="1294"/>
      <c r="H450" s="1294"/>
      <c r="I450" s="1292">
        <f>I451</f>
        <v>40000</v>
      </c>
      <c r="J450" s="1292"/>
      <c r="K450" s="392"/>
    </row>
    <row r="451" spans="1:13" ht="15" customHeight="1" x14ac:dyDescent="0.25">
      <c r="A451" s="356" t="s">
        <v>27</v>
      </c>
      <c r="B451" s="1245" t="s">
        <v>502</v>
      </c>
      <c r="C451" s="1245"/>
      <c r="D451" s="1245"/>
      <c r="E451" s="1022"/>
      <c r="F451" s="1023"/>
      <c r="G451" s="1196"/>
      <c r="H451" s="1196"/>
      <c r="I451" s="1290">
        <v>40000</v>
      </c>
      <c r="J451" s="1290"/>
      <c r="K451" s="392" t="s">
        <v>1174</v>
      </c>
    </row>
    <row r="452" spans="1:13" ht="15" hidden="1" customHeight="1" x14ac:dyDescent="0.25">
      <c r="A452" s="356"/>
      <c r="B452" s="1026"/>
      <c r="C452" s="1052"/>
      <c r="D452" s="1027"/>
      <c r="E452" s="1022"/>
      <c r="F452" s="1023"/>
      <c r="G452" s="1044"/>
      <c r="H452" s="1045"/>
      <c r="I452" s="707"/>
      <c r="J452" s="451"/>
      <c r="K452" s="392"/>
    </row>
    <row r="453" spans="1:13" ht="44.25" hidden="1" customHeight="1" x14ac:dyDescent="0.25">
      <c r="A453" s="356" t="s">
        <v>31</v>
      </c>
      <c r="B453" s="1017"/>
      <c r="C453" s="1018"/>
      <c r="D453" s="1019"/>
      <c r="E453" s="713" t="s">
        <v>301</v>
      </c>
      <c r="F453" s="705">
        <v>852</v>
      </c>
      <c r="G453" s="677"/>
      <c r="H453" s="678"/>
      <c r="I453" s="1306"/>
      <c r="J453" s="1307"/>
      <c r="K453" s="392" t="s">
        <v>1138</v>
      </c>
    </row>
    <row r="454" spans="1:13" ht="17.25" customHeight="1" x14ac:dyDescent="0.25">
      <c r="A454" s="356"/>
      <c r="B454" s="1014" t="s">
        <v>538</v>
      </c>
      <c r="C454" s="1014"/>
      <c r="D454" s="1014"/>
      <c r="E454" s="1022"/>
      <c r="F454" s="1023"/>
      <c r="G454" s="1196"/>
      <c r="H454" s="1196"/>
      <c r="I454" s="1289">
        <f>I397+I404+I411+I418+I425+I431+I436+I439+I450+I441+I443+I446+I442</f>
        <v>1268000</v>
      </c>
      <c r="J454" s="1289"/>
      <c r="K454" s="393"/>
    </row>
    <row r="455" spans="1:13" hidden="1" x14ac:dyDescent="0.25">
      <c r="A455" s="1288" t="s">
        <v>378</v>
      </c>
      <c r="B455" s="1288"/>
      <c r="C455" s="1288"/>
      <c r="D455" s="1288"/>
      <c r="E455" s="1288"/>
      <c r="F455" s="1288"/>
      <c r="G455" s="1288"/>
      <c r="H455" s="1288"/>
      <c r="I455" s="1288"/>
      <c r="J455" s="1288"/>
    </row>
    <row r="456" spans="1:13" hidden="1" x14ac:dyDescent="0.25">
      <c r="A456" s="1075" t="s">
        <v>1</v>
      </c>
      <c r="B456" s="1134" t="s">
        <v>15</v>
      </c>
      <c r="C456" s="1135"/>
      <c r="D456" s="1136"/>
      <c r="E456" s="1134" t="s">
        <v>64</v>
      </c>
      <c r="F456" s="1136"/>
      <c r="G456" s="1015" t="s">
        <v>65</v>
      </c>
      <c r="H456" s="1015"/>
      <c r="I456" s="1015"/>
      <c r="J456" s="1015"/>
    </row>
    <row r="457" spans="1:13" hidden="1" x14ac:dyDescent="0.25">
      <c r="A457" s="1076"/>
      <c r="B457" s="1137"/>
      <c r="C457" s="1138"/>
      <c r="D457" s="1139"/>
      <c r="E457" s="1137"/>
      <c r="F457" s="1139"/>
      <c r="G457" s="681" t="s">
        <v>298</v>
      </c>
      <c r="H457" s="681" t="s">
        <v>295</v>
      </c>
      <c r="I457" s="681" t="s">
        <v>296</v>
      </c>
      <c r="J457" s="445" t="s">
        <v>297</v>
      </c>
    </row>
    <row r="458" spans="1:13" hidden="1" x14ac:dyDescent="0.25">
      <c r="A458" s="681">
        <v>1</v>
      </c>
      <c r="B458" s="1015">
        <v>2</v>
      </c>
      <c r="C458" s="1015"/>
      <c r="D458" s="1015"/>
      <c r="E458" s="1024">
        <v>3</v>
      </c>
      <c r="F458" s="1025"/>
      <c r="G458" s="1015">
        <v>4</v>
      </c>
      <c r="H458" s="1015"/>
      <c r="I458" s="1015"/>
      <c r="J458" s="1015"/>
    </row>
    <row r="459" spans="1:13" hidden="1" x14ac:dyDescent="0.25">
      <c r="A459" s="676" t="s">
        <v>70</v>
      </c>
      <c r="B459" s="1040" t="s">
        <v>339</v>
      </c>
      <c r="C459" s="1040"/>
      <c r="D459" s="1040"/>
      <c r="E459" s="1026">
        <v>1</v>
      </c>
      <c r="F459" s="1027"/>
      <c r="G459" s="676" t="s">
        <v>299</v>
      </c>
      <c r="H459" s="676">
        <v>1</v>
      </c>
      <c r="I459" s="161"/>
      <c r="J459" s="446">
        <v>0</v>
      </c>
    </row>
    <row r="460" spans="1:13" hidden="1" x14ac:dyDescent="0.25">
      <c r="A460" s="676" t="s">
        <v>75</v>
      </c>
      <c r="B460" s="1040" t="s">
        <v>340</v>
      </c>
      <c r="C460" s="1040"/>
      <c r="D460" s="1040"/>
      <c r="E460" s="1026">
        <v>1</v>
      </c>
      <c r="F460" s="1027"/>
      <c r="G460" s="676" t="s">
        <v>299</v>
      </c>
      <c r="H460" s="676">
        <v>1</v>
      </c>
      <c r="I460" s="161"/>
      <c r="J460" s="446">
        <f t="shared" ref="J460:J461" si="24">H460*I460</f>
        <v>0</v>
      </c>
    </row>
    <row r="461" spans="1:13" hidden="1" x14ac:dyDescent="0.25">
      <c r="A461" s="676" t="s">
        <v>77</v>
      </c>
      <c r="B461" s="1040" t="s">
        <v>335</v>
      </c>
      <c r="C461" s="1040"/>
      <c r="D461" s="1040"/>
      <c r="E461" s="1026">
        <v>1</v>
      </c>
      <c r="F461" s="1027"/>
      <c r="G461" s="676" t="s">
        <v>299</v>
      </c>
      <c r="H461" s="705">
        <v>1</v>
      </c>
      <c r="I461" s="161"/>
      <c r="J461" s="446">
        <f t="shared" si="24"/>
        <v>0</v>
      </c>
    </row>
    <row r="462" spans="1:13" hidden="1" x14ac:dyDescent="0.25">
      <c r="A462" s="293"/>
      <c r="B462" s="1283" t="s">
        <v>13</v>
      </c>
      <c r="C462" s="1283"/>
      <c r="D462" s="1283"/>
      <c r="E462" s="1268" t="s">
        <v>14</v>
      </c>
      <c r="F462" s="1269"/>
      <c r="G462" s="1284">
        <f>SUM(J459:J461)</f>
        <v>0</v>
      </c>
      <c r="H462" s="1285"/>
      <c r="I462" s="1285"/>
      <c r="J462" s="1285"/>
    </row>
    <row r="463" spans="1:13" x14ac:dyDescent="0.25">
      <c r="A463" s="325"/>
      <c r="B463" s="325"/>
      <c r="C463" s="325"/>
      <c r="D463" s="325"/>
      <c r="E463" s="325"/>
      <c r="F463" s="325"/>
      <c r="G463" s="325"/>
      <c r="H463" s="325"/>
      <c r="I463" s="325"/>
      <c r="J463" s="441"/>
    </row>
    <row r="464" spans="1:13" ht="32.25" customHeight="1" x14ac:dyDescent="0.25">
      <c r="A464" s="325"/>
      <c r="B464" s="325"/>
      <c r="C464" s="325"/>
      <c r="D464" s="325"/>
      <c r="E464" s="325"/>
      <c r="F464" s="325"/>
      <c r="G464" s="325"/>
      <c r="H464" s="358" t="s">
        <v>212</v>
      </c>
      <c r="I464" s="1286">
        <f>J94+I101+I117+I122+I158+I177+I188+I205+I219+G304+G353+I454+I392+I263+I358</f>
        <v>175704860.00199994</v>
      </c>
      <c r="J464" s="1286"/>
      <c r="K464" s="303">
        <f>I117+I188+I205+I219+I250+I262+G304+G353+I358+I392+I400+I414+I426+I431</f>
        <v>41366460.002000004</v>
      </c>
      <c r="L464" s="282">
        <f>I466+I467+I472</f>
        <v>145097860.00199994</v>
      </c>
      <c r="M464" s="291"/>
    </row>
    <row r="465" spans="1:13" x14ac:dyDescent="0.25">
      <c r="A465" s="325"/>
      <c r="B465" s="325"/>
      <c r="C465" s="325"/>
      <c r="D465" s="325"/>
      <c r="E465" s="325"/>
      <c r="F465" s="325"/>
      <c r="G465" s="325"/>
      <c r="H465" s="359" t="s">
        <v>248</v>
      </c>
      <c r="I465" s="325"/>
      <c r="J465" s="441"/>
    </row>
    <row r="466" spans="1:13" ht="18" x14ac:dyDescent="0.4">
      <c r="A466" s="325"/>
      <c r="B466" s="325"/>
      <c r="C466" s="325"/>
      <c r="D466" s="325"/>
      <c r="E466" s="325"/>
      <c r="F466" s="325"/>
      <c r="G466" s="325"/>
      <c r="H466" s="359" t="s">
        <v>82</v>
      </c>
      <c r="I466" s="1287">
        <f>I108+I109+I111+I183+I184+I187+I203+I212+I250+I262+G304+J309+I397+I414+I426+I431</f>
        <v>10425000.002</v>
      </c>
      <c r="J466" s="1287"/>
      <c r="L466" s="291"/>
      <c r="M466" s="291"/>
    </row>
    <row r="467" spans="1:13" ht="18" x14ac:dyDescent="0.4">
      <c r="A467" s="325"/>
      <c r="B467" s="325"/>
      <c r="C467" s="325"/>
      <c r="D467" s="325"/>
      <c r="E467" s="325"/>
      <c r="F467" s="325"/>
      <c r="G467" s="325"/>
      <c r="H467" s="359" t="s">
        <v>249</v>
      </c>
      <c r="I467" s="1242">
        <f>J73+I100+I139+I218+I364+I436+I450+J341+I99</f>
        <v>134505999.99999994</v>
      </c>
      <c r="J467" s="1242"/>
      <c r="L467" s="291"/>
    </row>
    <row r="468" spans="1:13" ht="18" x14ac:dyDescent="0.4">
      <c r="A468" s="325"/>
      <c r="B468" s="325"/>
      <c r="C468" s="325"/>
      <c r="D468" s="325"/>
      <c r="E468" s="325"/>
      <c r="F468" s="325"/>
      <c r="G468" s="325"/>
      <c r="H468" s="359" t="s">
        <v>666</v>
      </c>
      <c r="I468" s="1242">
        <f>J338+I177+J339+J340</f>
        <v>25187600</v>
      </c>
      <c r="J468" s="1242"/>
      <c r="L468" s="164">
        <f>2401741+15643600+2935418</f>
        <v>20980759</v>
      </c>
      <c r="M468" s="282">
        <f>L468-I468</f>
        <v>-4206841</v>
      </c>
    </row>
    <row r="469" spans="1:13" ht="18" x14ac:dyDescent="0.4">
      <c r="A469" s="325"/>
      <c r="B469" s="325"/>
      <c r="C469" s="325"/>
      <c r="D469" s="325"/>
      <c r="E469" s="325"/>
      <c r="F469" s="325"/>
      <c r="G469" s="325"/>
      <c r="H469" s="359" t="s">
        <v>783</v>
      </c>
      <c r="I469" s="1242">
        <f>I156+I204+J351+I440+I115+J75+I446</f>
        <v>0</v>
      </c>
      <c r="J469" s="1242"/>
      <c r="K469" s="303"/>
      <c r="L469" s="282"/>
    </row>
    <row r="470" spans="1:13" ht="18" x14ac:dyDescent="0.4">
      <c r="A470" s="325"/>
      <c r="B470" s="325"/>
      <c r="C470" s="325"/>
      <c r="D470" s="325"/>
      <c r="E470" s="325"/>
      <c r="F470" s="325"/>
      <c r="G470" s="325"/>
      <c r="H470" s="359" t="s">
        <v>784</v>
      </c>
      <c r="I470" s="1242">
        <f>J349</f>
        <v>0</v>
      </c>
      <c r="J470" s="1242"/>
      <c r="L470" s="282"/>
    </row>
    <row r="471" spans="1:13" ht="18" x14ac:dyDescent="0.4">
      <c r="A471" s="325"/>
      <c r="B471" s="325"/>
      <c r="C471" s="325"/>
      <c r="D471" s="325"/>
      <c r="E471" s="325"/>
      <c r="F471" s="325"/>
      <c r="G471" s="325"/>
      <c r="H471" s="359" t="s">
        <v>785</v>
      </c>
      <c r="I471" s="1242">
        <f>J350</f>
        <v>0</v>
      </c>
      <c r="J471" s="1242"/>
      <c r="K471" s="303"/>
    </row>
    <row r="472" spans="1:13" ht="18" x14ac:dyDescent="0.4">
      <c r="A472" s="325"/>
      <c r="B472" s="325"/>
      <c r="C472" s="325"/>
      <c r="D472" s="325"/>
      <c r="E472" s="325"/>
      <c r="F472" s="325"/>
      <c r="G472" s="325"/>
      <c r="H472" s="359" t="s">
        <v>505</v>
      </c>
      <c r="I472" s="1242">
        <f>J346+J74+I116+I157+I442</f>
        <v>166860</v>
      </c>
      <c r="J472" s="1242"/>
    </row>
    <row r="473" spans="1:13" ht="18" x14ac:dyDescent="0.4">
      <c r="A473" s="325"/>
      <c r="B473" s="325"/>
      <c r="C473" s="325"/>
      <c r="D473" s="325"/>
      <c r="E473" s="325"/>
      <c r="F473" s="325"/>
      <c r="G473" s="325"/>
      <c r="H473" s="359" t="s">
        <v>1166</v>
      </c>
      <c r="I473" s="1242">
        <f>J93+I155</f>
        <v>300000</v>
      </c>
      <c r="J473" s="1242"/>
    </row>
    <row r="474" spans="1:13" ht="24.75" customHeight="1" x14ac:dyDescent="0.4">
      <c r="A474" s="325"/>
      <c r="B474" s="325"/>
      <c r="C474" s="325"/>
      <c r="D474" s="325"/>
      <c r="E474" s="325"/>
      <c r="F474" s="325"/>
      <c r="G474" s="325"/>
      <c r="H474" s="359" t="s">
        <v>530</v>
      </c>
      <c r="I474" s="1242">
        <f>J333</f>
        <v>5119400</v>
      </c>
      <c r="J474" s="1242"/>
      <c r="K474" s="755">
        <f>I474+I468</f>
        <v>30307000</v>
      </c>
      <c r="L474" s="282">
        <f>I474+I468</f>
        <v>30307000</v>
      </c>
    </row>
    <row r="475" spans="1:13" x14ac:dyDescent="0.25">
      <c r="A475" s="325"/>
      <c r="B475" s="325"/>
      <c r="C475" s="325"/>
      <c r="D475" s="325"/>
      <c r="E475" s="325"/>
      <c r="F475" s="325"/>
      <c r="G475" s="325"/>
      <c r="H475" s="359" t="s">
        <v>548</v>
      </c>
      <c r="I475" s="1259">
        <v>0</v>
      </c>
      <c r="J475" s="1260"/>
    </row>
    <row r="476" spans="1:13" ht="8.25" customHeight="1" x14ac:dyDescent="0.25">
      <c r="A476" s="325"/>
      <c r="B476" s="325"/>
      <c r="C476" s="325"/>
      <c r="D476" s="325"/>
      <c r="E476" s="325"/>
      <c r="F476" s="1227"/>
      <c r="G476" s="1227"/>
      <c r="H476" s="1227"/>
      <c r="I476" s="360"/>
      <c r="J476" s="452"/>
    </row>
    <row r="477" spans="1:13" x14ac:dyDescent="0.25">
      <c r="A477" s="325"/>
      <c r="B477" s="325"/>
      <c r="C477" s="325"/>
      <c r="D477" s="325"/>
      <c r="E477" s="325"/>
      <c r="F477" s="1227"/>
      <c r="G477" s="1227"/>
      <c r="H477" s="1227"/>
      <c r="I477" s="360"/>
      <c r="J477" s="452"/>
    </row>
    <row r="478" spans="1:13" x14ac:dyDescent="0.25">
      <c r="A478" s="1238" t="s">
        <v>211</v>
      </c>
      <c r="B478" s="1238"/>
      <c r="C478" s="1238"/>
      <c r="D478" s="367"/>
      <c r="E478" s="367"/>
      <c r="F478" s="368" t="s">
        <v>416</v>
      </c>
      <c r="G478" s="368"/>
      <c r="H478" s="368"/>
      <c r="I478" s="368"/>
      <c r="J478" s="455"/>
      <c r="L478" s="282">
        <f>I468+I474</f>
        <v>30307000</v>
      </c>
    </row>
    <row r="479" spans="1:13" x14ac:dyDescent="0.25">
      <c r="A479" s="727"/>
      <c r="B479" s="571"/>
      <c r="C479" s="571"/>
      <c r="D479" s="1236" t="s">
        <v>272</v>
      </c>
      <c r="E479" s="1236"/>
      <c r="F479" s="1237" t="s">
        <v>273</v>
      </c>
      <c r="G479" s="1237"/>
      <c r="H479" s="1237"/>
      <c r="I479" s="1237"/>
      <c r="J479" s="454"/>
    </row>
    <row r="480" spans="1:13" x14ac:dyDescent="0.25">
      <c r="A480" s="1238" t="s">
        <v>415</v>
      </c>
      <c r="B480" s="1238"/>
      <c r="C480" s="1238"/>
      <c r="D480" s="367"/>
      <c r="E480" s="367"/>
      <c r="F480" s="368" t="s">
        <v>417</v>
      </c>
      <c r="G480" s="368"/>
      <c r="H480" s="368"/>
      <c r="I480" s="368"/>
      <c r="J480" s="455"/>
    </row>
    <row r="481" spans="1:10" x14ac:dyDescent="0.25">
      <c r="A481" s="706"/>
      <c r="B481" s="706"/>
      <c r="C481" s="706"/>
      <c r="D481" s="1241" t="s">
        <v>272</v>
      </c>
      <c r="E481" s="1241"/>
      <c r="F481" s="1258" t="s">
        <v>273</v>
      </c>
      <c r="G481" s="1258"/>
      <c r="H481" s="1258"/>
      <c r="I481" s="1258"/>
      <c r="J481" s="454"/>
    </row>
    <row r="482" spans="1:10" x14ac:dyDescent="0.25">
      <c r="A482" s="706"/>
      <c r="B482" s="706"/>
      <c r="C482" s="706"/>
      <c r="D482" s="706"/>
      <c r="E482" s="706"/>
      <c r="F482" s="706"/>
      <c r="G482" s="363"/>
      <c r="H482" s="363"/>
      <c r="I482" s="363"/>
      <c r="J482" s="454"/>
    </row>
    <row r="483" spans="1:10" x14ac:dyDescent="0.25">
      <c r="A483" s="1239" t="s">
        <v>1098</v>
      </c>
      <c r="B483" s="1239"/>
      <c r="C483" s="706"/>
      <c r="D483" s="706"/>
      <c r="E483" s="706"/>
      <c r="F483" s="706"/>
      <c r="G483" s="363"/>
      <c r="H483" s="363"/>
      <c r="I483" s="363"/>
      <c r="J483" s="454"/>
    </row>
    <row r="484" spans="1:10" x14ac:dyDescent="0.25">
      <c r="A484" s="706"/>
      <c r="B484" s="706"/>
      <c r="C484" s="706"/>
      <c r="D484" s="706"/>
      <c r="E484" s="706"/>
      <c r="F484" s="706"/>
      <c r="G484" s="363"/>
      <c r="H484" s="363"/>
      <c r="I484" s="363"/>
      <c r="J484" s="454"/>
    </row>
    <row r="485" spans="1:10" x14ac:dyDescent="0.25">
      <c r="A485" s="1235"/>
      <c r="B485" s="1235"/>
      <c r="C485" s="706"/>
      <c r="D485" s="706"/>
      <c r="E485" s="706"/>
      <c r="F485" s="706"/>
      <c r="G485" s="363"/>
      <c r="H485" s="363"/>
      <c r="I485" s="363"/>
      <c r="J485" s="454"/>
    </row>
    <row r="488" spans="1:10" x14ac:dyDescent="0.25">
      <c r="G488" s="164" t="s">
        <v>1187</v>
      </c>
      <c r="J488" s="456">
        <f>J340</f>
        <v>2257700</v>
      </c>
    </row>
    <row r="489" spans="1:10" x14ac:dyDescent="0.25">
      <c r="G489" s="164" t="s">
        <v>1188</v>
      </c>
      <c r="J489" s="456">
        <f>J339</f>
        <v>3683600</v>
      </c>
    </row>
    <row r="490" spans="1:10" x14ac:dyDescent="0.25">
      <c r="G490" s="164" t="s">
        <v>1189</v>
      </c>
      <c r="J490" s="456">
        <f>J334+J335</f>
        <v>5119400</v>
      </c>
    </row>
    <row r="491" spans="1:10" x14ac:dyDescent="0.25">
      <c r="G491" s="164" t="s">
        <v>1190</v>
      </c>
      <c r="J491" s="456">
        <f>J338+I174</f>
        <v>19246300</v>
      </c>
    </row>
  </sheetData>
  <mergeCells count="1052">
    <mergeCell ref="K271:K273"/>
    <mergeCell ref="G273:J273"/>
    <mergeCell ref="B275:D275"/>
    <mergeCell ref="A276:A277"/>
    <mergeCell ref="B276:D277"/>
    <mergeCell ref="E276:E277"/>
    <mergeCell ref="F276:F277"/>
    <mergeCell ref="G276:G277"/>
    <mergeCell ref="B301:D301"/>
    <mergeCell ref="B279:D279"/>
    <mergeCell ref="B300:D300"/>
    <mergeCell ref="H276:H277"/>
    <mergeCell ref="I276:I277"/>
    <mergeCell ref="A478:C478"/>
    <mergeCell ref="D479:E479"/>
    <mergeCell ref="F479:I479"/>
    <mergeCell ref="A480:C480"/>
    <mergeCell ref="B452:D452"/>
    <mergeCell ref="E452:F452"/>
    <mergeCell ref="G452:H452"/>
    <mergeCell ref="B440:D440"/>
    <mergeCell ref="G440:H440"/>
    <mergeCell ref="I442:J442"/>
    <mergeCell ref="B442:D442"/>
    <mergeCell ref="I438:J438"/>
    <mergeCell ref="I440:J440"/>
    <mergeCell ref="G442:H442"/>
    <mergeCell ref="B443:D443"/>
    <mergeCell ref="G443:H443"/>
    <mergeCell ref="I443:J443"/>
    <mergeCell ref="G438:H438"/>
    <mergeCell ref="B438:D438"/>
    <mergeCell ref="D481:E481"/>
    <mergeCell ref="F481:I481"/>
    <mergeCell ref="A483:B483"/>
    <mergeCell ref="A485:B485"/>
    <mergeCell ref="G454:H454"/>
    <mergeCell ref="I454:J454"/>
    <mergeCell ref="A455:J455"/>
    <mergeCell ref="A456:A457"/>
    <mergeCell ref="B456:D457"/>
    <mergeCell ref="E456:F457"/>
    <mergeCell ref="G456:J456"/>
    <mergeCell ref="B459:D459"/>
    <mergeCell ref="E459:F459"/>
    <mergeCell ref="B460:D460"/>
    <mergeCell ref="E460:F460"/>
    <mergeCell ref="B461:D461"/>
    <mergeCell ref="E461:F461"/>
    <mergeCell ref="B462:D462"/>
    <mergeCell ref="E462:F462"/>
    <mergeCell ref="G462:J462"/>
    <mergeCell ref="I472:J472"/>
    <mergeCell ref="B454:D454"/>
    <mergeCell ref="E454:F454"/>
    <mergeCell ref="B458:D458"/>
    <mergeCell ref="E458:F458"/>
    <mergeCell ref="G458:J458"/>
    <mergeCell ref="I466:J466"/>
    <mergeCell ref="I467:J467"/>
    <mergeCell ref="I468:J468"/>
    <mergeCell ref="I469:J469"/>
    <mergeCell ref="I464:J464"/>
    <mergeCell ref="I470:J470"/>
    <mergeCell ref="I449:J449"/>
    <mergeCell ref="B451:D451"/>
    <mergeCell ref="B446:D446"/>
    <mergeCell ref="G446:H446"/>
    <mergeCell ref="I446:J446"/>
    <mergeCell ref="B444:D444"/>
    <mergeCell ref="G444:H444"/>
    <mergeCell ref="I444:J444"/>
    <mergeCell ref="B425:D425"/>
    <mergeCell ref="B427:D427"/>
    <mergeCell ref="I432:J432"/>
    <mergeCell ref="I433:J433"/>
    <mergeCell ref="I434:J434"/>
    <mergeCell ref="I435:J435"/>
    <mergeCell ref="I436:J436"/>
    <mergeCell ref="G432:H432"/>
    <mergeCell ref="B433:D433"/>
    <mergeCell ref="G433:H433"/>
    <mergeCell ref="B434:D434"/>
    <mergeCell ref="E451:F451"/>
    <mergeCell ref="G451:H451"/>
    <mergeCell ref="I451:J451"/>
    <mergeCell ref="B426:D426"/>
    <mergeCell ref="G426:H426"/>
    <mergeCell ref="I426:J426"/>
    <mergeCell ref="B432:D432"/>
    <mergeCell ref="G435:H435"/>
    <mergeCell ref="B431:D431"/>
    <mergeCell ref="G431:H431"/>
    <mergeCell ref="B429:D429"/>
    <mergeCell ref="G429:H429"/>
    <mergeCell ref="B437:D437"/>
    <mergeCell ref="G414:H414"/>
    <mergeCell ref="I414:J414"/>
    <mergeCell ref="B421:D421"/>
    <mergeCell ref="G421:H421"/>
    <mergeCell ref="I421:J421"/>
    <mergeCell ref="B418:D418"/>
    <mergeCell ref="G418:H418"/>
    <mergeCell ref="B416:D416"/>
    <mergeCell ref="K409:K410"/>
    <mergeCell ref="I418:J418"/>
    <mergeCell ref="I419:J419"/>
    <mergeCell ref="B419:D419"/>
    <mergeCell ref="G419:H419"/>
    <mergeCell ref="I409:J409"/>
    <mergeCell ref="G412:H412"/>
    <mergeCell ref="B414:D414"/>
    <mergeCell ref="E409:F409"/>
    <mergeCell ref="B413:D413"/>
    <mergeCell ref="G413:H413"/>
    <mergeCell ref="I413:J413"/>
    <mergeCell ref="K411:K414"/>
    <mergeCell ref="E414:F414"/>
    <mergeCell ref="A415:J415"/>
    <mergeCell ref="K416:K417"/>
    <mergeCell ref="B417:D417"/>
    <mergeCell ref="E417:F417"/>
    <mergeCell ref="G417:H417"/>
    <mergeCell ref="I417:J417"/>
    <mergeCell ref="K418:K420"/>
    <mergeCell ref="E421:F421"/>
    <mergeCell ref="I392:J392"/>
    <mergeCell ref="G389:H389"/>
    <mergeCell ref="I389:J389"/>
    <mergeCell ref="I367:J367"/>
    <mergeCell ref="G386:H386"/>
    <mergeCell ref="I386:J386"/>
    <mergeCell ref="B383:D383"/>
    <mergeCell ref="G383:H383"/>
    <mergeCell ref="I383:J383"/>
    <mergeCell ref="B370:D370"/>
    <mergeCell ref="B366:D366"/>
    <mergeCell ref="I371:J371"/>
    <mergeCell ref="B390:D390"/>
    <mergeCell ref="G390:H390"/>
    <mergeCell ref="I390:J390"/>
    <mergeCell ref="B387:D387"/>
    <mergeCell ref="I369:J369"/>
    <mergeCell ref="G382:H382"/>
    <mergeCell ref="I375:J375"/>
    <mergeCell ref="I376:J376"/>
    <mergeCell ref="B374:D374"/>
    <mergeCell ref="G374:H374"/>
    <mergeCell ref="B381:D381"/>
    <mergeCell ref="B384:D384"/>
    <mergeCell ref="G384:H384"/>
    <mergeCell ref="B378:D378"/>
    <mergeCell ref="I384:J384"/>
    <mergeCell ref="I370:J370"/>
    <mergeCell ref="B377:D377"/>
    <mergeCell ref="G377:H377"/>
    <mergeCell ref="B391:D391"/>
    <mergeCell ref="G391:H391"/>
    <mergeCell ref="I391:J391"/>
    <mergeCell ref="G358:H358"/>
    <mergeCell ref="I358:J358"/>
    <mergeCell ref="B368:D368"/>
    <mergeCell ref="B356:D356"/>
    <mergeCell ref="E353:F353"/>
    <mergeCell ref="I377:J377"/>
    <mergeCell ref="B380:D380"/>
    <mergeCell ref="G380:H380"/>
    <mergeCell ref="I380:J380"/>
    <mergeCell ref="B379:D379"/>
    <mergeCell ref="G379:H379"/>
    <mergeCell ref="I379:J379"/>
    <mergeCell ref="B372:D372"/>
    <mergeCell ref="G372:H372"/>
    <mergeCell ref="G376:H376"/>
    <mergeCell ref="B367:D367"/>
    <mergeCell ref="B389:D389"/>
    <mergeCell ref="B357:D357"/>
    <mergeCell ref="G357:H357"/>
    <mergeCell ref="I357:J357"/>
    <mergeCell ref="B358:D358"/>
    <mergeCell ref="G365:H365"/>
    <mergeCell ref="G387:H387"/>
    <mergeCell ref="I387:J387"/>
    <mergeCell ref="I378:J378"/>
    <mergeCell ref="E383:F383"/>
    <mergeCell ref="B385:D385"/>
    <mergeCell ref="G385:H385"/>
    <mergeCell ref="I385:J385"/>
    <mergeCell ref="I374:J374"/>
    <mergeCell ref="G378:H378"/>
    <mergeCell ref="I405:J405"/>
    <mergeCell ref="B402:D402"/>
    <mergeCell ref="G402:H402"/>
    <mergeCell ref="B404:D404"/>
    <mergeCell ref="G404:H404"/>
    <mergeCell ref="B407:D407"/>
    <mergeCell ref="G407:H407"/>
    <mergeCell ref="B409:D409"/>
    <mergeCell ref="I411:J411"/>
    <mergeCell ref="I412:J412"/>
    <mergeCell ref="E407:F407"/>
    <mergeCell ref="A408:J408"/>
    <mergeCell ref="B410:D410"/>
    <mergeCell ref="E410:F410"/>
    <mergeCell ref="E402:F402"/>
    <mergeCell ref="B406:D406"/>
    <mergeCell ref="G406:H406"/>
    <mergeCell ref="I406:J406"/>
    <mergeCell ref="B405:D405"/>
    <mergeCell ref="G405:H405"/>
    <mergeCell ref="I404:J404"/>
    <mergeCell ref="I402:J402"/>
    <mergeCell ref="I407:J407"/>
    <mergeCell ref="G410:H410"/>
    <mergeCell ref="I410:J410"/>
    <mergeCell ref="G409:H409"/>
    <mergeCell ref="B411:D411"/>
    <mergeCell ref="G411:H411"/>
    <mergeCell ref="B412:D412"/>
    <mergeCell ref="A71:I71"/>
    <mergeCell ref="A89:I89"/>
    <mergeCell ref="E103:F103"/>
    <mergeCell ref="I103:J103"/>
    <mergeCell ref="B311:D311"/>
    <mergeCell ref="E311:F311"/>
    <mergeCell ref="B308:D308"/>
    <mergeCell ref="B309:D309"/>
    <mergeCell ref="E308:F308"/>
    <mergeCell ref="E309:F309"/>
    <mergeCell ref="E310:F310"/>
    <mergeCell ref="I241:J241"/>
    <mergeCell ref="F260:G260"/>
    <mergeCell ref="B261:D261"/>
    <mergeCell ref="F261:G261"/>
    <mergeCell ref="I261:J261"/>
    <mergeCell ref="B287:D287"/>
    <mergeCell ref="B290:D290"/>
    <mergeCell ref="B265:D265"/>
    <mergeCell ref="B266:D266"/>
    <mergeCell ref="B278:D278"/>
    <mergeCell ref="E265:F265"/>
    <mergeCell ref="G265:H265"/>
    <mergeCell ref="B274:D274"/>
    <mergeCell ref="I266:J266"/>
    <mergeCell ref="B298:D298"/>
    <mergeCell ref="B286:D286"/>
    <mergeCell ref="B283:D283"/>
    <mergeCell ref="B297:D297"/>
    <mergeCell ref="B284:D284"/>
    <mergeCell ref="B291:D291"/>
    <mergeCell ref="I132:J132"/>
    <mergeCell ref="A52:J52"/>
    <mergeCell ref="A1:J1"/>
    <mergeCell ref="A2:J2"/>
    <mergeCell ref="A3:J3"/>
    <mergeCell ref="A5:J5"/>
    <mergeCell ref="A8:J8"/>
    <mergeCell ref="A9:A11"/>
    <mergeCell ref="B9:B11"/>
    <mergeCell ref="C9:C11"/>
    <mergeCell ref="D9:G9"/>
    <mergeCell ref="H9:H11"/>
    <mergeCell ref="A22:J22"/>
    <mergeCell ref="A23:J23"/>
    <mergeCell ref="I9:I11"/>
    <mergeCell ref="J9:J11"/>
    <mergeCell ref="D10:D11"/>
    <mergeCell ref="E10:G10"/>
    <mergeCell ref="A13:J13"/>
    <mergeCell ref="A14:J14"/>
    <mergeCell ref="A37:J37"/>
    <mergeCell ref="B129:F129"/>
    <mergeCell ref="G129:H129"/>
    <mergeCell ref="I129:J129"/>
    <mergeCell ref="B130:F130"/>
    <mergeCell ref="G130:H130"/>
    <mergeCell ref="I130:J130"/>
    <mergeCell ref="I119:J119"/>
    <mergeCell ref="I120:J120"/>
    <mergeCell ref="E121:F121"/>
    <mergeCell ref="B103:D103"/>
    <mergeCell ref="I116:J116"/>
    <mergeCell ref="I114:J114"/>
    <mergeCell ref="B113:D113"/>
    <mergeCell ref="E113:F113"/>
    <mergeCell ref="I113:J113"/>
    <mergeCell ref="B114:D114"/>
    <mergeCell ref="E114:F114"/>
    <mergeCell ref="B115:D115"/>
    <mergeCell ref="E115:F115"/>
    <mergeCell ref="B116:D116"/>
    <mergeCell ref="E116:F116"/>
    <mergeCell ref="B108:D108"/>
    <mergeCell ref="E108:F108"/>
    <mergeCell ref="I115:J115"/>
    <mergeCell ref="G124:H124"/>
    <mergeCell ref="I124:J124"/>
    <mergeCell ref="B125:F125"/>
    <mergeCell ref="G125:H125"/>
    <mergeCell ref="I125:J125"/>
    <mergeCell ref="B126:F126"/>
    <mergeCell ref="B124:F124"/>
    <mergeCell ref="B140:F140"/>
    <mergeCell ref="G140:H140"/>
    <mergeCell ref="I140:J140"/>
    <mergeCell ref="B137:F137"/>
    <mergeCell ref="G137:H137"/>
    <mergeCell ref="I137:J137"/>
    <mergeCell ref="B138:F138"/>
    <mergeCell ref="G138:H138"/>
    <mergeCell ref="I138:J138"/>
    <mergeCell ref="G139:H139"/>
    <mergeCell ref="I139:J139"/>
    <mergeCell ref="G152:H152"/>
    <mergeCell ref="I152:J152"/>
    <mergeCell ref="B145:F145"/>
    <mergeCell ref="G145:H145"/>
    <mergeCell ref="I145:J145"/>
    <mergeCell ref="B146:F146"/>
    <mergeCell ref="I146:J146"/>
    <mergeCell ref="B147:F147"/>
    <mergeCell ref="G147:H147"/>
    <mergeCell ref="I147:J147"/>
    <mergeCell ref="B150:F150"/>
    <mergeCell ref="G150:H150"/>
    <mergeCell ref="I150:J150"/>
    <mergeCell ref="B151:F151"/>
    <mergeCell ref="G151:H151"/>
    <mergeCell ref="I151:J151"/>
    <mergeCell ref="B152:F152"/>
    <mergeCell ref="B172:D172"/>
    <mergeCell ref="E172:F172"/>
    <mergeCell ref="G172:H172"/>
    <mergeCell ref="I172:J172"/>
    <mergeCell ref="B173:D173"/>
    <mergeCell ref="E173:F173"/>
    <mergeCell ref="G173:H173"/>
    <mergeCell ref="I173:J173"/>
    <mergeCell ref="I165:J165"/>
    <mergeCell ref="A159:J159"/>
    <mergeCell ref="B163:D163"/>
    <mergeCell ref="B164:D164"/>
    <mergeCell ref="B155:F155"/>
    <mergeCell ref="B156:F156"/>
    <mergeCell ref="E163:F163"/>
    <mergeCell ref="G163:H163"/>
    <mergeCell ref="I163:J163"/>
    <mergeCell ref="B176:D176"/>
    <mergeCell ref="E176:F176"/>
    <mergeCell ref="G176:H176"/>
    <mergeCell ref="I176:J176"/>
    <mergeCell ref="B181:D181"/>
    <mergeCell ref="E181:F181"/>
    <mergeCell ref="G181:H181"/>
    <mergeCell ref="I181:J181"/>
    <mergeCell ref="E182:F182"/>
    <mergeCell ref="G182:H182"/>
    <mergeCell ref="I182:J182"/>
    <mergeCell ref="E183:F183"/>
    <mergeCell ref="G183:H183"/>
    <mergeCell ref="I183:J183"/>
    <mergeCell ref="A178:J178"/>
    <mergeCell ref="D180:H180"/>
    <mergeCell ref="B174:D174"/>
    <mergeCell ref="B175:D175"/>
    <mergeCell ref="I204:J204"/>
    <mergeCell ref="B205:D205"/>
    <mergeCell ref="E205:F205"/>
    <mergeCell ref="G205:H205"/>
    <mergeCell ref="I205:J205"/>
    <mergeCell ref="A206:J206"/>
    <mergeCell ref="A209:J209"/>
    <mergeCell ref="B185:D185"/>
    <mergeCell ref="E185:F185"/>
    <mergeCell ref="G185:H185"/>
    <mergeCell ref="I185:J185"/>
    <mergeCell ref="B186:D186"/>
    <mergeCell ref="E186:F186"/>
    <mergeCell ref="E202:F202"/>
    <mergeCell ref="G202:H202"/>
    <mergeCell ref="I202:J202"/>
    <mergeCell ref="B195:D195"/>
    <mergeCell ref="G195:H195"/>
    <mergeCell ref="I195:J195"/>
    <mergeCell ref="E195:F195"/>
    <mergeCell ref="B193:D193"/>
    <mergeCell ref="G193:H193"/>
    <mergeCell ref="I193:J193"/>
    <mergeCell ref="B194:D194"/>
    <mergeCell ref="G194:H194"/>
    <mergeCell ref="I194:J194"/>
    <mergeCell ref="E193:F193"/>
    <mergeCell ref="E194:F194"/>
    <mergeCell ref="G186:H186"/>
    <mergeCell ref="I186:J186"/>
    <mergeCell ref="B187:D187"/>
    <mergeCell ref="E187:F187"/>
    <mergeCell ref="B230:D230"/>
    <mergeCell ref="F230:G230"/>
    <mergeCell ref="I216:J216"/>
    <mergeCell ref="B217:D217"/>
    <mergeCell ref="I217:J217"/>
    <mergeCell ref="B214:D214"/>
    <mergeCell ref="I214:J214"/>
    <mergeCell ref="B215:D215"/>
    <mergeCell ref="I215:J215"/>
    <mergeCell ref="G214:H214"/>
    <mergeCell ref="G215:H215"/>
    <mergeCell ref="G216:H216"/>
    <mergeCell ref="G217:H217"/>
    <mergeCell ref="B218:D218"/>
    <mergeCell ref="I218:J218"/>
    <mergeCell ref="G218:H218"/>
    <mergeCell ref="I203:J203"/>
    <mergeCell ref="B204:D204"/>
    <mergeCell ref="E204:F204"/>
    <mergeCell ref="B212:D212"/>
    <mergeCell ref="I212:J212"/>
    <mergeCell ref="B213:D213"/>
    <mergeCell ref="I213:J213"/>
    <mergeCell ref="B210:D210"/>
    <mergeCell ref="I210:J210"/>
    <mergeCell ref="B211:D211"/>
    <mergeCell ref="I211:J211"/>
    <mergeCell ref="G212:H212"/>
    <mergeCell ref="G213:H213"/>
    <mergeCell ref="G210:H210"/>
    <mergeCell ref="G211:H211"/>
    <mergeCell ref="G204:H204"/>
    <mergeCell ref="G222:H222"/>
    <mergeCell ref="E223:F223"/>
    <mergeCell ref="G223:H223"/>
    <mergeCell ref="E224:F224"/>
    <mergeCell ref="G224:H224"/>
    <mergeCell ref="B227:D227"/>
    <mergeCell ref="F227:G227"/>
    <mergeCell ref="I227:J227"/>
    <mergeCell ref="B228:D228"/>
    <mergeCell ref="F228:G228"/>
    <mergeCell ref="I228:J228"/>
    <mergeCell ref="B229:D229"/>
    <mergeCell ref="F229:G229"/>
    <mergeCell ref="I229:J229"/>
    <mergeCell ref="B224:D224"/>
    <mergeCell ref="I224:J224"/>
    <mergeCell ref="B222:D222"/>
    <mergeCell ref="I222:J222"/>
    <mergeCell ref="B223:D223"/>
    <mergeCell ref="I223:J223"/>
    <mergeCell ref="E222:F222"/>
    <mergeCell ref="G134:H134"/>
    <mergeCell ref="I134:J134"/>
    <mergeCell ref="E165:F165"/>
    <mergeCell ref="G133:H133"/>
    <mergeCell ref="I133:J133"/>
    <mergeCell ref="B127:F127"/>
    <mergeCell ref="G127:H127"/>
    <mergeCell ref="I127:J127"/>
    <mergeCell ref="B128:F128"/>
    <mergeCell ref="G128:H128"/>
    <mergeCell ref="G126:H126"/>
    <mergeCell ref="I126:J126"/>
    <mergeCell ref="B312:D312"/>
    <mergeCell ref="G154:H154"/>
    <mergeCell ref="I154:J154"/>
    <mergeCell ref="B153:F153"/>
    <mergeCell ref="B154:F154"/>
    <mergeCell ref="B242:D242"/>
    <mergeCell ref="F238:G238"/>
    <mergeCell ref="I238:J238"/>
    <mergeCell ref="I259:J259"/>
    <mergeCell ref="I260:J260"/>
    <mergeCell ref="B252:D252"/>
    <mergeCell ref="F252:G252"/>
    <mergeCell ref="I252:J252"/>
    <mergeCell ref="F253:G253"/>
    <mergeCell ref="F254:G254"/>
    <mergeCell ref="F255:G255"/>
    <mergeCell ref="I239:J239"/>
    <mergeCell ref="F240:G240"/>
    <mergeCell ref="I240:J240"/>
    <mergeCell ref="B241:D241"/>
    <mergeCell ref="I230:J230"/>
    <mergeCell ref="B203:D203"/>
    <mergeCell ref="E203:F203"/>
    <mergeCell ref="G203:H203"/>
    <mergeCell ref="B166:D166"/>
    <mergeCell ref="E166:F166"/>
    <mergeCell ref="G166:H166"/>
    <mergeCell ref="I166:J166"/>
    <mergeCell ref="B167:D167"/>
    <mergeCell ref="E167:F167"/>
    <mergeCell ref="G167:H167"/>
    <mergeCell ref="I167:J167"/>
    <mergeCell ref="B165:D165"/>
    <mergeCell ref="B260:D260"/>
    <mergeCell ref="F242:G242"/>
    <mergeCell ref="I242:J242"/>
    <mergeCell ref="F243:G243"/>
    <mergeCell ref="I243:J243"/>
    <mergeCell ref="F248:G248"/>
    <mergeCell ref="I248:J248"/>
    <mergeCell ref="F249:G249"/>
    <mergeCell ref="I249:J249"/>
    <mergeCell ref="I253:J253"/>
    <mergeCell ref="F232:G232"/>
    <mergeCell ref="F236:G236"/>
    <mergeCell ref="I236:J236"/>
    <mergeCell ref="B235:D235"/>
    <mergeCell ref="F235:G235"/>
    <mergeCell ref="I235:J235"/>
    <mergeCell ref="B238:D238"/>
    <mergeCell ref="B239:D239"/>
    <mergeCell ref="B240:D240"/>
    <mergeCell ref="E313:F313"/>
    <mergeCell ref="E314:F314"/>
    <mergeCell ref="E315:F315"/>
    <mergeCell ref="B248:D248"/>
    <mergeCell ref="B249:D249"/>
    <mergeCell ref="B247:D247"/>
    <mergeCell ref="B310:D310"/>
    <mergeCell ref="I265:J265"/>
    <mergeCell ref="E266:F266"/>
    <mergeCell ref="G266:H266"/>
    <mergeCell ref="F262:G262"/>
    <mergeCell ref="I262:J262"/>
    <mergeCell ref="B267:D267"/>
    <mergeCell ref="E267:F267"/>
    <mergeCell ref="G267:H267"/>
    <mergeCell ref="I267:J267"/>
    <mergeCell ref="B257:D257"/>
    <mergeCell ref="I257:J257"/>
    <mergeCell ref="B255:D255"/>
    <mergeCell ref="B262:D262"/>
    <mergeCell ref="B294:D294"/>
    <mergeCell ref="B295:D295"/>
    <mergeCell ref="B296:D296"/>
    <mergeCell ref="A270:J270"/>
    <mergeCell ref="A271:A272"/>
    <mergeCell ref="B271:D272"/>
    <mergeCell ref="E271:E272"/>
    <mergeCell ref="F271:F272"/>
    <mergeCell ref="G271:J271"/>
    <mergeCell ref="B273:D273"/>
    <mergeCell ref="B313:D313"/>
    <mergeCell ref="E312:F312"/>
    <mergeCell ref="L128:M128"/>
    <mergeCell ref="G146:H146"/>
    <mergeCell ref="B148:F148"/>
    <mergeCell ref="G148:H148"/>
    <mergeCell ref="I148:J148"/>
    <mergeCell ref="B149:F149"/>
    <mergeCell ref="G149:H149"/>
    <mergeCell ref="I149:J149"/>
    <mergeCell ref="B143:F143"/>
    <mergeCell ref="G143:H143"/>
    <mergeCell ref="I143:J143"/>
    <mergeCell ref="B144:F144"/>
    <mergeCell ref="G144:H144"/>
    <mergeCell ref="I144:J144"/>
    <mergeCell ref="B141:F141"/>
    <mergeCell ref="G141:H141"/>
    <mergeCell ref="I141:J141"/>
    <mergeCell ref="B142:F142"/>
    <mergeCell ref="G142:H142"/>
    <mergeCell ref="B135:F135"/>
    <mergeCell ref="G135:H135"/>
    <mergeCell ref="I135:J135"/>
    <mergeCell ref="B136:F136"/>
    <mergeCell ref="G136:H136"/>
    <mergeCell ref="I136:J136"/>
    <mergeCell ref="B133:F133"/>
    <mergeCell ref="B134:F134"/>
    <mergeCell ref="I131:J131"/>
    <mergeCell ref="B132:F132"/>
    <mergeCell ref="I128:J128"/>
    <mergeCell ref="I142:J142"/>
    <mergeCell ref="G132:H132"/>
    <mergeCell ref="B216:D216"/>
    <mergeCell ref="B355:D355"/>
    <mergeCell ref="G355:H355"/>
    <mergeCell ref="I355:J355"/>
    <mergeCell ref="B353:D353"/>
    <mergeCell ref="I254:J254"/>
    <mergeCell ref="I255:J255"/>
    <mergeCell ref="B254:D254"/>
    <mergeCell ref="B285:D285"/>
    <mergeCell ref="B292:D292"/>
    <mergeCell ref="B293:D293"/>
    <mergeCell ref="B333:D333"/>
    <mergeCell ref="E338:F338"/>
    <mergeCell ref="B334:D334"/>
    <mergeCell ref="E334:F334"/>
    <mergeCell ref="B347:D347"/>
    <mergeCell ref="B351:D351"/>
    <mergeCell ref="E335:F335"/>
    <mergeCell ref="E346:F346"/>
    <mergeCell ref="B258:D258"/>
    <mergeCell ref="E332:F332"/>
    <mergeCell ref="E333:F333"/>
    <mergeCell ref="B331:D331"/>
    <mergeCell ref="B336:D336"/>
    <mergeCell ref="E331:F331"/>
    <mergeCell ref="B329:D329"/>
    <mergeCell ref="B231:D231"/>
    <mergeCell ref="I231:J231"/>
    <mergeCell ref="I258:J258"/>
    <mergeCell ref="B259:D259"/>
    <mergeCell ref="F241:G241"/>
    <mergeCell ref="B245:D245"/>
    <mergeCell ref="E318:F318"/>
    <mergeCell ref="E339:F339"/>
    <mergeCell ref="B348:D348"/>
    <mergeCell ref="B339:D339"/>
    <mergeCell ref="B345:D345"/>
    <mergeCell ref="B324:D324"/>
    <mergeCell ref="E324:F324"/>
    <mergeCell ref="B321:D321"/>
    <mergeCell ref="B322:D322"/>
    <mergeCell ref="E321:F321"/>
    <mergeCell ref="E322:F322"/>
    <mergeCell ref="E348:F348"/>
    <mergeCell ref="B344:D344"/>
    <mergeCell ref="E344:F344"/>
    <mergeCell ref="B343:D343"/>
    <mergeCell ref="B314:D314"/>
    <mergeCell ref="B315:D315"/>
    <mergeCell ref="E328:F328"/>
    <mergeCell ref="E329:F329"/>
    <mergeCell ref="B330:D330"/>
    <mergeCell ref="E330:F330"/>
    <mergeCell ref="B325:D325"/>
    <mergeCell ref="E325:F325"/>
    <mergeCell ref="B328:D328"/>
    <mergeCell ref="B323:D323"/>
    <mergeCell ref="E323:F323"/>
    <mergeCell ref="B327:D327"/>
    <mergeCell ref="E327:F327"/>
    <mergeCell ref="B319:D319"/>
    <mergeCell ref="E319:F319"/>
    <mergeCell ref="B316:D316"/>
    <mergeCell ref="E316:F316"/>
    <mergeCell ref="E343:F343"/>
    <mergeCell ref="E347:F347"/>
    <mergeCell ref="G364:H364"/>
    <mergeCell ref="B332:D332"/>
    <mergeCell ref="B337:D337"/>
    <mergeCell ref="B335:D335"/>
    <mergeCell ref="E345:F345"/>
    <mergeCell ref="B341:D341"/>
    <mergeCell ref="E340:F340"/>
    <mergeCell ref="E341:F341"/>
    <mergeCell ref="B350:D350"/>
    <mergeCell ref="I361:J361"/>
    <mergeCell ref="G361:H361"/>
    <mergeCell ref="B362:D362"/>
    <mergeCell ref="G362:H362"/>
    <mergeCell ref="I362:J362"/>
    <mergeCell ref="E351:F351"/>
    <mergeCell ref="E352:F352"/>
    <mergeCell ref="E342:F342"/>
    <mergeCell ref="I364:J364"/>
    <mergeCell ref="G371:H371"/>
    <mergeCell ref="G375:H375"/>
    <mergeCell ref="B376:D376"/>
    <mergeCell ref="G370:H370"/>
    <mergeCell ref="G367:H367"/>
    <mergeCell ref="B365:D365"/>
    <mergeCell ref="G366:H366"/>
    <mergeCell ref="I366:J366"/>
    <mergeCell ref="B369:D369"/>
    <mergeCell ref="G369:H369"/>
    <mergeCell ref="E350:F350"/>
    <mergeCell ref="A354:J354"/>
    <mergeCell ref="E355:F355"/>
    <mergeCell ref="E356:F356"/>
    <mergeCell ref="E357:F357"/>
    <mergeCell ref="G360:H360"/>
    <mergeCell ref="I360:J360"/>
    <mergeCell ref="F257:G257"/>
    <mergeCell ref="F258:G258"/>
    <mergeCell ref="F259:G259"/>
    <mergeCell ref="F247:G247"/>
    <mergeCell ref="I247:J247"/>
    <mergeCell ref="G392:H392"/>
    <mergeCell ref="B386:D386"/>
    <mergeCell ref="I382:J382"/>
    <mergeCell ref="B371:D371"/>
    <mergeCell ref="B342:D342"/>
    <mergeCell ref="E336:F336"/>
    <mergeCell ref="E337:F337"/>
    <mergeCell ref="B340:D340"/>
    <mergeCell ref="B338:D338"/>
    <mergeCell ref="I365:J365"/>
    <mergeCell ref="B361:D361"/>
    <mergeCell ref="B346:D346"/>
    <mergeCell ref="B352:D352"/>
    <mergeCell ref="J276:J277"/>
    <mergeCell ref="A305:J305"/>
    <mergeCell ref="A306:A307"/>
    <mergeCell ref="B306:D307"/>
    <mergeCell ref="E306:F307"/>
    <mergeCell ref="G306:J306"/>
    <mergeCell ref="I368:J368"/>
    <mergeCell ref="I372:J372"/>
    <mergeCell ref="I373:J373"/>
    <mergeCell ref="B373:D373"/>
    <mergeCell ref="G381:H381"/>
    <mergeCell ref="I381:J381"/>
    <mergeCell ref="G373:H373"/>
    <mergeCell ref="B364:D364"/>
    <mergeCell ref="I471:J471"/>
    <mergeCell ref="I473:J473"/>
    <mergeCell ref="I474:J474"/>
    <mergeCell ref="I475:J475"/>
    <mergeCell ref="F476:H476"/>
    <mergeCell ref="F477:H477"/>
    <mergeCell ref="A58:J58"/>
    <mergeCell ref="A68:I68"/>
    <mergeCell ref="A69:B69"/>
    <mergeCell ref="A73:I73"/>
    <mergeCell ref="A76:I76"/>
    <mergeCell ref="A78:A80"/>
    <mergeCell ref="B78:B80"/>
    <mergeCell ref="C78:C80"/>
    <mergeCell ref="D78:G78"/>
    <mergeCell ref="H78:H80"/>
    <mergeCell ref="I78:I80"/>
    <mergeCell ref="J78:J80"/>
    <mergeCell ref="D79:D80"/>
    <mergeCell ref="E79:G79"/>
    <mergeCell ref="A82:J82"/>
    <mergeCell ref="A91:I91"/>
    <mergeCell ref="A92:J92"/>
    <mergeCell ref="A70:I70"/>
    <mergeCell ref="A72:I72"/>
    <mergeCell ref="A75:I75"/>
    <mergeCell ref="A90:I90"/>
    <mergeCell ref="A93:B93"/>
    <mergeCell ref="A94:I94"/>
    <mergeCell ref="A96:J96"/>
    <mergeCell ref="B101:D101"/>
    <mergeCell ref="E101:F101"/>
    <mergeCell ref="G101:H101"/>
    <mergeCell ref="I101:J101"/>
    <mergeCell ref="A102:J102"/>
    <mergeCell ref="K103:K107"/>
    <mergeCell ref="B104:D104"/>
    <mergeCell ref="E104:F104"/>
    <mergeCell ref="I104:J104"/>
    <mergeCell ref="A105:J105"/>
    <mergeCell ref="B106:D106"/>
    <mergeCell ref="E106:F106"/>
    <mergeCell ref="I106:J106"/>
    <mergeCell ref="A107:J107"/>
    <mergeCell ref="E100:F100"/>
    <mergeCell ref="G100:H100"/>
    <mergeCell ref="I100:J100"/>
    <mergeCell ref="B97:D97"/>
    <mergeCell ref="B100:D100"/>
    <mergeCell ref="B98:D98"/>
    <mergeCell ref="E98:F98"/>
    <mergeCell ref="I99:J99"/>
    <mergeCell ref="I98:J98"/>
    <mergeCell ref="B99:D99"/>
    <mergeCell ref="E99:F99"/>
    <mergeCell ref="E97:F97"/>
    <mergeCell ref="G97:H97"/>
    <mergeCell ref="I97:J97"/>
    <mergeCell ref="G98:H98"/>
    <mergeCell ref="G99:H99"/>
    <mergeCell ref="K108:K109"/>
    <mergeCell ref="B109:D109"/>
    <mergeCell ref="E109:F109"/>
    <mergeCell ref="I109:J109"/>
    <mergeCell ref="A110:J110"/>
    <mergeCell ref="B111:D111"/>
    <mergeCell ref="E111:F111"/>
    <mergeCell ref="I111:J111"/>
    <mergeCell ref="A112:J112"/>
    <mergeCell ref="B117:D117"/>
    <mergeCell ref="E117:F117"/>
    <mergeCell ref="I117:J117"/>
    <mergeCell ref="A118:J118"/>
    <mergeCell ref="B122:D122"/>
    <mergeCell ref="E122:F122"/>
    <mergeCell ref="I122:J122"/>
    <mergeCell ref="A123:J123"/>
    <mergeCell ref="B119:D119"/>
    <mergeCell ref="E119:F119"/>
    <mergeCell ref="B120:D120"/>
    <mergeCell ref="E120:F120"/>
    <mergeCell ref="I108:J108"/>
    <mergeCell ref="I121:J121"/>
    <mergeCell ref="B121:D121"/>
    <mergeCell ref="L129:M129"/>
    <mergeCell ref="G155:H155"/>
    <mergeCell ref="B158:F158"/>
    <mergeCell ref="G158:H158"/>
    <mergeCell ref="I158:J158"/>
    <mergeCell ref="A160:J160"/>
    <mergeCell ref="B168:D168"/>
    <mergeCell ref="E168:F168"/>
    <mergeCell ref="G168:H168"/>
    <mergeCell ref="I168:J168"/>
    <mergeCell ref="A169:J169"/>
    <mergeCell ref="D171:J171"/>
    <mergeCell ref="E174:F174"/>
    <mergeCell ref="G174:H174"/>
    <mergeCell ref="I174:J174"/>
    <mergeCell ref="B177:D177"/>
    <mergeCell ref="E177:F177"/>
    <mergeCell ref="G177:H177"/>
    <mergeCell ref="I177:J177"/>
    <mergeCell ref="B131:F131"/>
    <mergeCell ref="G131:H131"/>
    <mergeCell ref="G165:H165"/>
    <mergeCell ref="E164:F164"/>
    <mergeCell ref="I157:J157"/>
    <mergeCell ref="G164:H164"/>
    <mergeCell ref="I164:J164"/>
    <mergeCell ref="B157:F157"/>
    <mergeCell ref="B139:F139"/>
    <mergeCell ref="I155:J155"/>
    <mergeCell ref="I156:J156"/>
    <mergeCell ref="G153:H153"/>
    <mergeCell ref="I153:J153"/>
    <mergeCell ref="K181:K182"/>
    <mergeCell ref="B182:D182"/>
    <mergeCell ref="A183:A184"/>
    <mergeCell ref="B183:C184"/>
    <mergeCell ref="B188:D188"/>
    <mergeCell ref="E188:F188"/>
    <mergeCell ref="G188:H188"/>
    <mergeCell ref="I188:J188"/>
    <mergeCell ref="A190:J190"/>
    <mergeCell ref="B196:D196"/>
    <mergeCell ref="E196:F196"/>
    <mergeCell ref="G196:H196"/>
    <mergeCell ref="I196:J196"/>
    <mergeCell ref="A197:J197"/>
    <mergeCell ref="A200:J200"/>
    <mergeCell ref="K200:K201"/>
    <mergeCell ref="K202:K203"/>
    <mergeCell ref="A189:J189"/>
    <mergeCell ref="I201:J201"/>
    <mergeCell ref="B202:D202"/>
    <mergeCell ref="B201:D201"/>
    <mergeCell ref="E201:F201"/>
    <mergeCell ref="G201:H201"/>
    <mergeCell ref="E184:F184"/>
    <mergeCell ref="G184:H184"/>
    <mergeCell ref="I184:J184"/>
    <mergeCell ref="G187:H187"/>
    <mergeCell ref="I187:J187"/>
    <mergeCell ref="B219:D219"/>
    <mergeCell ref="G219:H219"/>
    <mergeCell ref="I219:J219"/>
    <mergeCell ref="A221:J221"/>
    <mergeCell ref="K221:K222"/>
    <mergeCell ref="K223:K225"/>
    <mergeCell ref="B225:D225"/>
    <mergeCell ref="E225:F225"/>
    <mergeCell ref="G225:H225"/>
    <mergeCell ref="I225:J225"/>
    <mergeCell ref="A226:J226"/>
    <mergeCell ref="K227:K228"/>
    <mergeCell ref="K229:K232"/>
    <mergeCell ref="A230:A232"/>
    <mergeCell ref="K233:K236"/>
    <mergeCell ref="A234:A236"/>
    <mergeCell ref="K237:K240"/>
    <mergeCell ref="A238:A240"/>
    <mergeCell ref="F231:G231"/>
    <mergeCell ref="B233:D233"/>
    <mergeCell ref="I233:J233"/>
    <mergeCell ref="B234:D234"/>
    <mergeCell ref="I234:J234"/>
    <mergeCell ref="F233:G233"/>
    <mergeCell ref="F234:G234"/>
    <mergeCell ref="B236:D236"/>
    <mergeCell ref="B237:D237"/>
    <mergeCell ref="F237:G237"/>
    <mergeCell ref="I237:J237"/>
    <mergeCell ref="B232:D232"/>
    <mergeCell ref="I232:J232"/>
    <mergeCell ref="F239:G239"/>
    <mergeCell ref="K241:K244"/>
    <mergeCell ref="A242:A244"/>
    <mergeCell ref="K246:K249"/>
    <mergeCell ref="B250:D250"/>
    <mergeCell ref="F250:G250"/>
    <mergeCell ref="I250:J250"/>
    <mergeCell ref="A251:J251"/>
    <mergeCell ref="K252:K253"/>
    <mergeCell ref="K254:K257"/>
    <mergeCell ref="A255:A256"/>
    <mergeCell ref="K258:K261"/>
    <mergeCell ref="B263:D263"/>
    <mergeCell ref="F263:G263"/>
    <mergeCell ref="I263:J263"/>
    <mergeCell ref="A264:J264"/>
    <mergeCell ref="B268:D268"/>
    <mergeCell ref="E268:F268"/>
    <mergeCell ref="G268:H268"/>
    <mergeCell ref="I268:J268"/>
    <mergeCell ref="B246:D246"/>
    <mergeCell ref="F244:G244"/>
    <mergeCell ref="B253:D253"/>
    <mergeCell ref="F246:G246"/>
    <mergeCell ref="I246:J246"/>
    <mergeCell ref="B243:D243"/>
    <mergeCell ref="B244:D244"/>
    <mergeCell ref="I244:J244"/>
    <mergeCell ref="F245:G245"/>
    <mergeCell ref="I245:J245"/>
    <mergeCell ref="B256:D256"/>
    <mergeCell ref="F256:G256"/>
    <mergeCell ref="I256:J256"/>
    <mergeCell ref="K276:K277"/>
    <mergeCell ref="B280:D280"/>
    <mergeCell ref="A281:A282"/>
    <mergeCell ref="B281:D282"/>
    <mergeCell ref="E281:E282"/>
    <mergeCell ref="F281:F282"/>
    <mergeCell ref="G281:G282"/>
    <mergeCell ref="H281:H282"/>
    <mergeCell ref="I281:I282"/>
    <mergeCell ref="J281:J282"/>
    <mergeCell ref="K281:K282"/>
    <mergeCell ref="B299:D299"/>
    <mergeCell ref="B302:D302"/>
    <mergeCell ref="B303:D303"/>
    <mergeCell ref="B304:D304"/>
    <mergeCell ref="G304:J304"/>
    <mergeCell ref="B288:D288"/>
    <mergeCell ref="B289:D289"/>
    <mergeCell ref="K306:K309"/>
    <mergeCell ref="G308:J308"/>
    <mergeCell ref="B349:D349"/>
    <mergeCell ref="E349:F349"/>
    <mergeCell ref="G353:J353"/>
    <mergeCell ref="E358:F358"/>
    <mergeCell ref="A359:J359"/>
    <mergeCell ref="E360:F360"/>
    <mergeCell ref="E361:F361"/>
    <mergeCell ref="E362:F362"/>
    <mergeCell ref="E371:F371"/>
    <mergeCell ref="E392:F392"/>
    <mergeCell ref="B388:D388"/>
    <mergeCell ref="G388:H388"/>
    <mergeCell ref="I388:J388"/>
    <mergeCell ref="B375:D375"/>
    <mergeCell ref="B392:D392"/>
    <mergeCell ref="G356:H356"/>
    <mergeCell ref="I356:J356"/>
    <mergeCell ref="B326:D326"/>
    <mergeCell ref="E326:F326"/>
    <mergeCell ref="B360:D360"/>
    <mergeCell ref="B320:D320"/>
    <mergeCell ref="E320:F320"/>
    <mergeCell ref="B317:D317"/>
    <mergeCell ref="E317:F317"/>
    <mergeCell ref="B318:D318"/>
    <mergeCell ref="B382:D382"/>
    <mergeCell ref="B363:D363"/>
    <mergeCell ref="G363:H363"/>
    <mergeCell ref="I363:J363"/>
    <mergeCell ref="G368:H368"/>
    <mergeCell ref="A393:J393"/>
    <mergeCell ref="A394:J394"/>
    <mergeCell ref="B395:D395"/>
    <mergeCell ref="E395:F395"/>
    <mergeCell ref="G395:H395"/>
    <mergeCell ref="I395:J395"/>
    <mergeCell ref="K395:K396"/>
    <mergeCell ref="B396:D396"/>
    <mergeCell ref="E396:F396"/>
    <mergeCell ref="G396:H396"/>
    <mergeCell ref="I396:J396"/>
    <mergeCell ref="K397:K400"/>
    <mergeCell ref="E400:F400"/>
    <mergeCell ref="A401:J401"/>
    <mergeCell ref="B403:D403"/>
    <mergeCell ref="E403:F403"/>
    <mergeCell ref="G403:H403"/>
    <mergeCell ref="I403:J403"/>
    <mergeCell ref="G400:H400"/>
    <mergeCell ref="I400:J400"/>
    <mergeCell ref="B399:D399"/>
    <mergeCell ref="G399:H399"/>
    <mergeCell ref="I399:J399"/>
    <mergeCell ref="B397:D397"/>
    <mergeCell ref="G397:H397"/>
    <mergeCell ref="I397:J397"/>
    <mergeCell ref="B400:D400"/>
    <mergeCell ref="G398:H398"/>
    <mergeCell ref="I398:J398"/>
    <mergeCell ref="B398:D398"/>
    <mergeCell ref="A422:J422"/>
    <mergeCell ref="K423:K424"/>
    <mergeCell ref="B424:D424"/>
    <mergeCell ref="E424:F424"/>
    <mergeCell ref="G424:H424"/>
    <mergeCell ref="I424:J424"/>
    <mergeCell ref="B423:D423"/>
    <mergeCell ref="G423:H423"/>
    <mergeCell ref="I423:J423"/>
    <mergeCell ref="G416:H416"/>
    <mergeCell ref="I416:J416"/>
    <mergeCell ref="B420:D420"/>
    <mergeCell ref="G420:H420"/>
    <mergeCell ref="I420:J420"/>
    <mergeCell ref="E423:F423"/>
    <mergeCell ref="E416:F416"/>
    <mergeCell ref="K425:K427"/>
    <mergeCell ref="G425:H425"/>
    <mergeCell ref="I425:J425"/>
    <mergeCell ref="G427:H427"/>
    <mergeCell ref="I427:J427"/>
    <mergeCell ref="A428:J428"/>
    <mergeCell ref="E429:F429"/>
    <mergeCell ref="K429:K430"/>
    <mergeCell ref="B430:D430"/>
    <mergeCell ref="E430:F430"/>
    <mergeCell ref="G430:H430"/>
    <mergeCell ref="I430:J430"/>
    <mergeCell ref="B439:J439"/>
    <mergeCell ref="B441:J441"/>
    <mergeCell ref="B445:J445"/>
    <mergeCell ref="A447:J447"/>
    <mergeCell ref="B448:D448"/>
    <mergeCell ref="E448:F448"/>
    <mergeCell ref="G448:H448"/>
    <mergeCell ref="I448:J448"/>
    <mergeCell ref="I453:J453"/>
    <mergeCell ref="B453:D453"/>
    <mergeCell ref="G449:H449"/>
    <mergeCell ref="G450:H450"/>
    <mergeCell ref="I450:J450"/>
    <mergeCell ref="B449:D449"/>
    <mergeCell ref="E449:F449"/>
    <mergeCell ref="B450:D450"/>
    <mergeCell ref="E450:F450"/>
    <mergeCell ref="I429:J429"/>
    <mergeCell ref="G434:H434"/>
    <mergeCell ref="B435:D435"/>
    <mergeCell ref="G437:H437"/>
    <mergeCell ref="I437:J437"/>
    <mergeCell ref="G436:H436"/>
    <mergeCell ref="B436:D436"/>
    <mergeCell ref="I431:J431"/>
  </mergeCells>
  <pageMargins left="0.70866141732283472" right="0.70866141732283472" top="0.74803149606299213" bottom="0.74803149606299213" header="0.31496062992125984" footer="0.31496062992125984"/>
  <pageSetup paperSize="9" scale="27" fitToHeight="7"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430"/>
  <sheetViews>
    <sheetView workbookViewId="0">
      <selection activeCell="A426" sqref="A1:J426"/>
    </sheetView>
  </sheetViews>
  <sheetFormatPr defaultColWidth="9.140625" defaultRowHeight="15" x14ac:dyDescent="0.25"/>
  <cols>
    <col min="1" max="1" width="5.140625" style="1" customWidth="1"/>
    <col min="2" max="2" width="25" style="1" customWidth="1"/>
    <col min="3" max="3" width="9.140625" style="1"/>
    <col min="4" max="4" width="17.140625" style="1" customWidth="1"/>
    <col min="5" max="5" width="16.42578125" style="1" customWidth="1"/>
    <col min="6" max="6" width="10.7109375" style="1" customWidth="1"/>
    <col min="7" max="7" width="12.28515625" style="1" customWidth="1"/>
    <col min="8" max="8" width="10.7109375" style="1" customWidth="1"/>
    <col min="9" max="9" width="11.5703125" style="1" customWidth="1"/>
    <col min="10" max="10" width="24.85546875" style="1" customWidth="1"/>
    <col min="11" max="11" width="16.42578125" style="1" customWidth="1"/>
    <col min="12" max="12" width="18.140625" style="1" customWidth="1"/>
    <col min="13" max="13" width="9.7109375" style="1" customWidth="1"/>
    <col min="14" max="14" width="14" style="1" customWidth="1"/>
    <col min="15" max="16384" width="9.140625" style="1"/>
  </cols>
  <sheetData>
    <row r="1" spans="1:11" ht="26.25" customHeight="1" x14ac:dyDescent="0.25">
      <c r="A1" s="1585" t="s">
        <v>68</v>
      </c>
      <c r="B1" s="1585"/>
      <c r="C1" s="1585"/>
      <c r="D1" s="1585"/>
      <c r="E1" s="1585"/>
      <c r="F1" s="1585"/>
      <c r="G1" s="1585"/>
      <c r="H1" s="1585"/>
      <c r="I1" s="1585"/>
      <c r="J1" s="1585"/>
    </row>
    <row r="2" spans="1:11" ht="17.25" customHeight="1" x14ac:dyDescent="0.25">
      <c r="A2" s="1585" t="s">
        <v>419</v>
      </c>
      <c r="B2" s="1585"/>
      <c r="C2" s="1585"/>
      <c r="D2" s="1585"/>
      <c r="E2" s="1585"/>
      <c r="F2" s="1585"/>
      <c r="G2" s="1585"/>
      <c r="H2" s="1585"/>
      <c r="I2" s="1585"/>
      <c r="J2" s="1585"/>
    </row>
    <row r="3" spans="1:11" ht="62.25" customHeight="1" x14ac:dyDescent="0.25">
      <c r="A3" s="1585" t="s">
        <v>742</v>
      </c>
      <c r="B3" s="1585"/>
      <c r="C3" s="1585"/>
      <c r="D3" s="1585"/>
      <c r="E3" s="1585"/>
      <c r="F3" s="1585"/>
      <c r="G3" s="1585"/>
      <c r="H3" s="1585"/>
      <c r="I3" s="1585"/>
      <c r="J3" s="1585"/>
    </row>
    <row r="4" spans="1:11" ht="15.75" x14ac:dyDescent="0.25">
      <c r="A4" s="80"/>
      <c r="B4" s="81"/>
      <c r="C4" s="81"/>
      <c r="D4" s="82" t="s">
        <v>263</v>
      </c>
      <c r="E4" s="457" t="s">
        <v>1179</v>
      </c>
      <c r="F4" s="83" t="s">
        <v>584</v>
      </c>
      <c r="G4" s="81"/>
      <c r="H4" s="81"/>
      <c r="I4" s="81"/>
      <c r="J4" s="81"/>
    </row>
    <row r="5" spans="1:11" ht="15.75" x14ac:dyDescent="0.25">
      <c r="A5" s="1446" t="s">
        <v>0</v>
      </c>
      <c r="B5" s="1446"/>
      <c r="C5" s="1446"/>
      <c r="D5" s="1446"/>
      <c r="E5" s="1446"/>
      <c r="F5" s="1446"/>
      <c r="G5" s="1446"/>
      <c r="H5" s="1446"/>
      <c r="I5" s="1446"/>
      <c r="J5" s="1446"/>
    </row>
    <row r="6" spans="1:11" ht="19.5" customHeight="1" x14ac:dyDescent="0.25">
      <c r="A6" s="80" t="s">
        <v>80</v>
      </c>
      <c r="B6" s="81"/>
      <c r="C6" s="307">
        <v>111</v>
      </c>
      <c r="D6" s="307">
        <v>112</v>
      </c>
      <c r="E6" s="307">
        <v>119</v>
      </c>
      <c r="F6" s="85"/>
      <c r="G6" s="85"/>
      <c r="H6" s="85"/>
      <c r="I6" s="85"/>
      <c r="J6" s="85"/>
    </row>
    <row r="7" spans="1:11" ht="22.5" customHeight="1" x14ac:dyDescent="0.25">
      <c r="A7" s="80" t="s">
        <v>81</v>
      </c>
      <c r="B7" s="81"/>
      <c r="C7" s="81"/>
      <c r="D7" s="81"/>
      <c r="E7" s="86" t="s">
        <v>82</v>
      </c>
      <c r="F7" s="87"/>
      <c r="G7" s="86"/>
      <c r="H7" s="87"/>
      <c r="I7" s="86" t="s">
        <v>744</v>
      </c>
      <c r="J7" s="87"/>
    </row>
    <row r="8" spans="1:11" ht="21" customHeight="1" x14ac:dyDescent="0.25">
      <c r="A8" s="1384" t="s">
        <v>350</v>
      </c>
      <c r="B8" s="1384"/>
      <c r="C8" s="1384"/>
      <c r="D8" s="1384"/>
      <c r="E8" s="1384"/>
      <c r="F8" s="1384"/>
      <c r="G8" s="1384"/>
      <c r="H8" s="1384"/>
      <c r="I8" s="1384"/>
      <c r="J8" s="1384"/>
    </row>
    <row r="9" spans="1:11" x14ac:dyDescent="0.25">
      <c r="A9" s="1574" t="s">
        <v>1</v>
      </c>
      <c r="B9" s="1579" t="s">
        <v>2</v>
      </c>
      <c r="C9" s="1579" t="s">
        <v>3</v>
      </c>
      <c r="D9" s="1574" t="s">
        <v>4</v>
      </c>
      <c r="E9" s="1574"/>
      <c r="F9" s="1574"/>
      <c r="G9" s="1574"/>
      <c r="H9" s="1574" t="s">
        <v>5</v>
      </c>
      <c r="I9" s="1579" t="s">
        <v>6</v>
      </c>
      <c r="J9" s="1579" t="s">
        <v>305</v>
      </c>
    </row>
    <row r="10" spans="1:11" ht="33" customHeight="1" x14ac:dyDescent="0.25">
      <c r="A10" s="1574"/>
      <c r="B10" s="1579"/>
      <c r="C10" s="1579"/>
      <c r="D10" s="1579" t="s">
        <v>8</v>
      </c>
      <c r="E10" s="1579" t="s">
        <v>9</v>
      </c>
      <c r="F10" s="1579"/>
      <c r="G10" s="1579"/>
      <c r="H10" s="1574"/>
      <c r="I10" s="1579"/>
      <c r="J10" s="1579"/>
    </row>
    <row r="11" spans="1:11" ht="75" x14ac:dyDescent="0.25">
      <c r="A11" s="1574"/>
      <c r="B11" s="1579"/>
      <c r="C11" s="1579"/>
      <c r="D11" s="1579"/>
      <c r="E11" s="628" t="s">
        <v>10</v>
      </c>
      <c r="F11" s="628" t="s">
        <v>11</v>
      </c>
      <c r="G11" s="628" t="s">
        <v>12</v>
      </c>
      <c r="H11" s="1574"/>
      <c r="I11" s="1579"/>
      <c r="J11" s="1579"/>
    </row>
    <row r="12" spans="1:11" ht="14.25" customHeight="1" x14ac:dyDescent="0.25">
      <c r="A12" s="665">
        <v>1</v>
      </c>
      <c r="B12" s="665">
        <v>2</v>
      </c>
      <c r="C12" s="665">
        <v>3</v>
      </c>
      <c r="D12" s="665">
        <v>4</v>
      </c>
      <c r="E12" s="665">
        <v>5</v>
      </c>
      <c r="F12" s="665">
        <v>6</v>
      </c>
      <c r="G12" s="665">
        <v>7</v>
      </c>
      <c r="H12" s="665">
        <v>8</v>
      </c>
      <c r="I12" s="665">
        <v>9</v>
      </c>
      <c r="J12" s="665">
        <v>10</v>
      </c>
    </row>
    <row r="13" spans="1:11" s="41" customFormat="1" x14ac:dyDescent="0.2">
      <c r="A13" s="1580" t="s">
        <v>351</v>
      </c>
      <c r="B13" s="1579"/>
      <c r="C13" s="1579"/>
      <c r="D13" s="1579"/>
      <c r="E13" s="1579"/>
      <c r="F13" s="1579"/>
      <c r="G13" s="1579"/>
      <c r="H13" s="1579"/>
      <c r="I13" s="1579"/>
      <c r="J13" s="1579"/>
    </row>
    <row r="14" spans="1:11" s="41" customFormat="1" hidden="1" x14ac:dyDescent="0.2">
      <c r="A14" s="1581" t="s">
        <v>420</v>
      </c>
      <c r="B14" s="1573"/>
      <c r="C14" s="1573"/>
      <c r="D14" s="1573"/>
      <c r="E14" s="1573"/>
      <c r="F14" s="1573"/>
      <c r="G14" s="1573"/>
      <c r="H14" s="1573"/>
      <c r="I14" s="1573"/>
      <c r="J14" s="1573"/>
    </row>
    <row r="15" spans="1:11" ht="20.25" hidden="1" customHeight="1" x14ac:dyDescent="0.25">
      <c r="A15" s="624">
        <v>1</v>
      </c>
      <c r="B15" s="102" t="s">
        <v>257</v>
      </c>
      <c r="C15" s="624">
        <v>1</v>
      </c>
      <c r="D15" s="103"/>
      <c r="E15" s="103">
        <v>75000</v>
      </c>
      <c r="F15" s="103">
        <v>0</v>
      </c>
      <c r="G15" s="103">
        <v>20000</v>
      </c>
      <c r="H15" s="104">
        <v>50</v>
      </c>
      <c r="I15" s="624">
        <v>1.7</v>
      </c>
      <c r="J15" s="105">
        <f>((C15*D15*(H15/100+I15))*12)</f>
        <v>0</v>
      </c>
      <c r="K15" s="128"/>
    </row>
    <row r="16" spans="1:11" ht="45" hidden="1" customHeight="1" x14ac:dyDescent="0.25">
      <c r="A16" s="624">
        <v>2</v>
      </c>
      <c r="B16" s="102" t="s">
        <v>421</v>
      </c>
      <c r="C16" s="624">
        <v>4</v>
      </c>
      <c r="D16" s="103"/>
      <c r="E16" s="103">
        <v>37800</v>
      </c>
      <c r="F16" s="103">
        <v>0</v>
      </c>
      <c r="G16" s="103">
        <v>6000</v>
      </c>
      <c r="H16" s="104">
        <v>50</v>
      </c>
      <c r="I16" s="624">
        <v>1.7</v>
      </c>
      <c r="J16" s="105">
        <f>((C16*D16*(H16/100+I16))*12)*1</f>
        <v>0</v>
      </c>
    </row>
    <row r="17" spans="1:12" ht="45" hidden="1" customHeight="1" x14ac:dyDescent="0.25">
      <c r="A17" s="624">
        <v>3</v>
      </c>
      <c r="B17" s="102" t="s">
        <v>422</v>
      </c>
      <c r="C17" s="624">
        <v>1</v>
      </c>
      <c r="D17" s="103"/>
      <c r="E17" s="103">
        <v>37800</v>
      </c>
      <c r="F17" s="103">
        <v>0</v>
      </c>
      <c r="G17" s="103">
        <v>6000</v>
      </c>
      <c r="H17" s="104">
        <v>50</v>
      </c>
      <c r="I17" s="624">
        <v>1.7</v>
      </c>
      <c r="J17" s="105">
        <f>((C17*D17*(H17/100+I17))*12)</f>
        <v>0</v>
      </c>
    </row>
    <row r="18" spans="1:12" ht="45" hidden="1" customHeight="1" x14ac:dyDescent="0.25">
      <c r="A18" s="624">
        <v>4</v>
      </c>
      <c r="B18" s="102" t="s">
        <v>423</v>
      </c>
      <c r="C18" s="624">
        <v>0.5</v>
      </c>
      <c r="D18" s="103"/>
      <c r="E18" s="103">
        <v>37800</v>
      </c>
      <c r="F18" s="103">
        <v>0</v>
      </c>
      <c r="G18" s="103">
        <v>6000</v>
      </c>
      <c r="H18" s="104">
        <v>50</v>
      </c>
      <c r="I18" s="624">
        <v>17</v>
      </c>
      <c r="J18" s="105">
        <v>0</v>
      </c>
      <c r="L18" s="1">
        <f>((C18*D18+(H18/100+I18)*12))</f>
        <v>210</v>
      </c>
    </row>
    <row r="19" spans="1:12" ht="49.5" hidden="1" customHeight="1" x14ac:dyDescent="0.25">
      <c r="A19" s="624">
        <v>5</v>
      </c>
      <c r="B19" s="102" t="s">
        <v>424</v>
      </c>
      <c r="C19" s="624">
        <v>1</v>
      </c>
      <c r="D19" s="103"/>
      <c r="E19" s="103">
        <v>37800</v>
      </c>
      <c r="F19" s="103">
        <v>0</v>
      </c>
      <c r="G19" s="103">
        <v>6000</v>
      </c>
      <c r="H19" s="104">
        <v>50</v>
      </c>
      <c r="I19" s="624">
        <v>1.7</v>
      </c>
      <c r="J19" s="105">
        <f>((C19*D19*(H19/100+I19))*12)</f>
        <v>0</v>
      </c>
    </row>
    <row r="20" spans="1:12" hidden="1" x14ac:dyDescent="0.25">
      <c r="A20" s="624">
        <v>6</v>
      </c>
      <c r="B20" s="102" t="s">
        <v>258</v>
      </c>
      <c r="C20" s="624">
        <v>1</v>
      </c>
      <c r="D20" s="103"/>
      <c r="E20" s="103">
        <v>37800</v>
      </c>
      <c r="F20" s="103">
        <v>0</v>
      </c>
      <c r="G20" s="103">
        <v>15000</v>
      </c>
      <c r="H20" s="104">
        <v>50</v>
      </c>
      <c r="I20" s="624">
        <v>1.7</v>
      </c>
      <c r="J20" s="105">
        <f t="shared" ref="J20" si="0">((C20*D20*(H20/100+I20))*12)</f>
        <v>0</v>
      </c>
    </row>
    <row r="21" spans="1:12" ht="28.5" hidden="1" x14ac:dyDescent="0.25">
      <c r="A21" s="106"/>
      <c r="B21" s="107" t="s">
        <v>425</v>
      </c>
      <c r="C21" s="108">
        <f>SUM(C15:C20)</f>
        <v>8.5</v>
      </c>
      <c r="D21" s="109">
        <f>SUM(D15:D20)</f>
        <v>0</v>
      </c>
      <c r="E21" s="108" t="s">
        <v>14</v>
      </c>
      <c r="F21" s="108" t="s">
        <v>14</v>
      </c>
      <c r="G21" s="108" t="s">
        <v>14</v>
      </c>
      <c r="H21" s="108" t="s">
        <v>14</v>
      </c>
      <c r="I21" s="108" t="s">
        <v>14</v>
      </c>
      <c r="J21" s="109">
        <f>SUM(J15:J20)</f>
        <v>0</v>
      </c>
      <c r="K21" s="129"/>
    </row>
    <row r="22" spans="1:12" hidden="1" x14ac:dyDescent="0.25">
      <c r="A22" s="1572" t="s">
        <v>426</v>
      </c>
      <c r="B22" s="1575"/>
      <c r="C22" s="1575"/>
      <c r="D22" s="1575"/>
      <c r="E22" s="1575"/>
      <c r="F22" s="1575"/>
      <c r="G22" s="1575"/>
      <c r="H22" s="1575"/>
      <c r="I22" s="1575"/>
      <c r="J22" s="1575"/>
    </row>
    <row r="23" spans="1:12" ht="18.75" hidden="1" customHeight="1" x14ac:dyDescent="0.25">
      <c r="A23" s="1576" t="s">
        <v>427</v>
      </c>
      <c r="B23" s="1577"/>
      <c r="C23" s="1577"/>
      <c r="D23" s="1577"/>
      <c r="E23" s="1577"/>
      <c r="F23" s="1577"/>
      <c r="G23" s="1577"/>
      <c r="H23" s="1577"/>
      <c r="I23" s="1577"/>
      <c r="J23" s="1578"/>
    </row>
    <row r="24" spans="1:12" hidden="1" x14ac:dyDescent="0.25">
      <c r="A24" s="624">
        <v>1</v>
      </c>
      <c r="B24" s="102" t="s">
        <v>428</v>
      </c>
      <c r="C24" s="624">
        <v>3.5</v>
      </c>
      <c r="D24" s="103"/>
      <c r="E24" s="127">
        <v>10200</v>
      </c>
      <c r="F24" s="103">
        <v>0</v>
      </c>
      <c r="G24" s="103">
        <f>E24*20%</f>
        <v>2040</v>
      </c>
      <c r="H24" s="104">
        <v>50</v>
      </c>
      <c r="I24" s="624">
        <v>1.7</v>
      </c>
      <c r="J24" s="132">
        <f>(C24*D24*(H24/100+I24))*13.8</f>
        <v>0</v>
      </c>
      <c r="K24" s="125"/>
    </row>
    <row r="25" spans="1:12" ht="75" hidden="1" x14ac:dyDescent="0.25">
      <c r="A25" s="624">
        <v>2</v>
      </c>
      <c r="B25" s="102" t="s">
        <v>429</v>
      </c>
      <c r="C25" s="624">
        <v>1</v>
      </c>
      <c r="D25" s="103"/>
      <c r="E25" s="127">
        <v>25000</v>
      </c>
      <c r="F25" s="103">
        <v>0</v>
      </c>
      <c r="G25" s="103">
        <v>5000</v>
      </c>
      <c r="H25" s="104">
        <v>50</v>
      </c>
      <c r="I25" s="624">
        <v>1.7</v>
      </c>
      <c r="J25" s="132">
        <f>(C25*D25*(H25/100+I25))*13</f>
        <v>0</v>
      </c>
    </row>
    <row r="26" spans="1:12" hidden="1" x14ac:dyDescent="0.25">
      <c r="A26" s="624">
        <v>3</v>
      </c>
      <c r="B26" s="102" t="s">
        <v>316</v>
      </c>
      <c r="C26" s="624">
        <v>1.5</v>
      </c>
      <c r="D26" s="103"/>
      <c r="E26" s="127">
        <v>31500</v>
      </c>
      <c r="F26" s="103">
        <v>0</v>
      </c>
      <c r="G26" s="103">
        <f t="shared" ref="G26:G48" si="1">E26*20%</f>
        <v>6300</v>
      </c>
      <c r="H26" s="104">
        <v>50</v>
      </c>
      <c r="I26" s="624">
        <v>1.7</v>
      </c>
      <c r="J26" s="132">
        <f>(C26*D26*(H26/100+I26))*11.4</f>
        <v>0</v>
      </c>
    </row>
    <row r="27" spans="1:12" hidden="1" x14ac:dyDescent="0.25">
      <c r="A27" s="624">
        <v>4</v>
      </c>
      <c r="B27" s="102" t="s">
        <v>430</v>
      </c>
      <c r="C27" s="624">
        <v>2</v>
      </c>
      <c r="D27" s="103"/>
      <c r="E27" s="127">
        <v>14500</v>
      </c>
      <c r="F27" s="103">
        <v>0</v>
      </c>
      <c r="G27" s="103">
        <f t="shared" si="1"/>
        <v>2900</v>
      </c>
      <c r="H27" s="104">
        <v>50</v>
      </c>
      <c r="I27" s="624">
        <v>1.7</v>
      </c>
      <c r="J27" s="132">
        <f>(C27*D27*(H27/100+I27))*14.6</f>
        <v>0</v>
      </c>
    </row>
    <row r="28" spans="1:12" hidden="1" x14ac:dyDescent="0.25">
      <c r="A28" s="624">
        <v>5</v>
      </c>
      <c r="B28" s="102" t="s">
        <v>317</v>
      </c>
      <c r="C28" s="624">
        <v>1</v>
      </c>
      <c r="D28" s="103"/>
      <c r="E28" s="127">
        <v>30000</v>
      </c>
      <c r="F28" s="103">
        <v>0</v>
      </c>
      <c r="G28" s="103">
        <f t="shared" si="1"/>
        <v>6000</v>
      </c>
      <c r="H28" s="104">
        <v>50</v>
      </c>
      <c r="I28" s="624">
        <v>1.7</v>
      </c>
      <c r="J28" s="132">
        <f t="shared" ref="J28" si="2">(C28*D28*(H28/100+I28))*14.6</f>
        <v>0</v>
      </c>
    </row>
    <row r="29" spans="1:12" hidden="1" x14ac:dyDescent="0.25">
      <c r="A29" s="624">
        <v>6</v>
      </c>
      <c r="B29" s="102" t="s">
        <v>315</v>
      </c>
      <c r="C29" s="624">
        <v>2</v>
      </c>
      <c r="D29" s="103"/>
      <c r="E29" s="127">
        <v>32500</v>
      </c>
      <c r="F29" s="103">
        <v>0</v>
      </c>
      <c r="G29" s="103">
        <f t="shared" si="1"/>
        <v>6500</v>
      </c>
      <c r="H29" s="104">
        <v>50</v>
      </c>
      <c r="I29" s="624">
        <v>1.7</v>
      </c>
      <c r="J29" s="132">
        <f>(C29*D29*(H29/100+I29))*13.2</f>
        <v>0</v>
      </c>
    </row>
    <row r="30" spans="1:12" hidden="1" x14ac:dyDescent="0.25">
      <c r="A30" s="624">
        <v>7</v>
      </c>
      <c r="B30" s="102" t="s">
        <v>314</v>
      </c>
      <c r="C30" s="624">
        <v>5</v>
      </c>
      <c r="D30" s="103"/>
      <c r="E30" s="127">
        <v>25000</v>
      </c>
      <c r="F30" s="103">
        <v>0</v>
      </c>
      <c r="G30" s="103">
        <f t="shared" si="1"/>
        <v>5000</v>
      </c>
      <c r="H30" s="104">
        <v>50</v>
      </c>
      <c r="I30" s="624">
        <v>1.7</v>
      </c>
      <c r="J30" s="132">
        <f>(C30*D30*(H30/100+I30))*13.2</f>
        <v>0</v>
      </c>
    </row>
    <row r="31" spans="1:12" ht="30" hidden="1" x14ac:dyDescent="0.25">
      <c r="A31" s="624">
        <v>6</v>
      </c>
      <c r="B31" s="102" t="s">
        <v>431</v>
      </c>
      <c r="C31" s="624">
        <v>7.83</v>
      </c>
      <c r="D31" s="103"/>
      <c r="E31" s="127">
        <v>12000</v>
      </c>
      <c r="F31" s="103">
        <v>0</v>
      </c>
      <c r="G31" s="103">
        <f t="shared" si="1"/>
        <v>2400</v>
      </c>
      <c r="H31" s="104">
        <v>50</v>
      </c>
      <c r="I31" s="624">
        <v>1.7</v>
      </c>
      <c r="J31" s="132">
        <f>(C31*D31*(H31/100+I31))*12.8</f>
        <v>0</v>
      </c>
      <c r="K31" s="77"/>
    </row>
    <row r="32" spans="1:12" hidden="1" x14ac:dyDescent="0.25">
      <c r="A32" s="624">
        <v>14</v>
      </c>
      <c r="B32" s="102" t="s">
        <v>317</v>
      </c>
      <c r="C32" s="624"/>
      <c r="D32" s="103"/>
      <c r="E32" s="127"/>
      <c r="F32" s="103"/>
      <c r="G32" s="103">
        <f t="shared" si="1"/>
        <v>0</v>
      </c>
      <c r="H32" s="104">
        <v>50</v>
      </c>
      <c r="I32" s="624">
        <v>1.7</v>
      </c>
      <c r="J32" s="132">
        <f t="shared" ref="J32" si="3">(C32*D32*(H32/100+I32))*12</f>
        <v>0</v>
      </c>
      <c r="K32" s="77"/>
    </row>
    <row r="33" spans="1:11" hidden="1" x14ac:dyDescent="0.25">
      <c r="A33" s="624">
        <v>7</v>
      </c>
      <c r="B33" s="102" t="s">
        <v>432</v>
      </c>
      <c r="C33" s="624">
        <v>79.83</v>
      </c>
      <c r="D33" s="103"/>
      <c r="E33" s="127">
        <v>10150</v>
      </c>
      <c r="F33" s="103">
        <v>0</v>
      </c>
      <c r="G33" s="103">
        <f t="shared" si="1"/>
        <v>2030</v>
      </c>
      <c r="H33" s="104">
        <v>50</v>
      </c>
      <c r="I33" s="624">
        <v>1.7</v>
      </c>
      <c r="J33" s="105">
        <f>((C33*D33*(H33/100+I33))*12)*1.2</f>
        <v>0</v>
      </c>
      <c r="K33" s="77"/>
    </row>
    <row r="34" spans="1:11" hidden="1" x14ac:dyDescent="0.25">
      <c r="A34" s="624">
        <v>8</v>
      </c>
      <c r="B34" s="102" t="s">
        <v>433</v>
      </c>
      <c r="C34" s="624"/>
      <c r="D34" s="103"/>
      <c r="E34" s="127"/>
      <c r="F34" s="103">
        <v>0</v>
      </c>
      <c r="G34" s="103">
        <f t="shared" si="1"/>
        <v>0</v>
      </c>
      <c r="H34" s="104">
        <v>50</v>
      </c>
      <c r="I34" s="624">
        <v>1.7</v>
      </c>
      <c r="J34" s="105">
        <f t="shared" ref="J34:J44" si="4">((C34*D34*(H34/100+I34))*12)*1.2</f>
        <v>0</v>
      </c>
      <c r="K34" s="77"/>
    </row>
    <row r="35" spans="1:11" s="206" customFormat="1" hidden="1" x14ac:dyDescent="0.25">
      <c r="A35" s="203"/>
      <c r="B35" s="204" t="s">
        <v>434</v>
      </c>
      <c r="C35" s="203">
        <f>SUM(C24:C34)</f>
        <v>103.66</v>
      </c>
      <c r="D35" s="203">
        <f t="shared" ref="D35:J35" si="5">SUM(D24:D34)</f>
        <v>0</v>
      </c>
      <c r="E35" s="203">
        <f t="shared" si="5"/>
        <v>190850</v>
      </c>
      <c r="F35" s="203">
        <f t="shared" si="5"/>
        <v>0</v>
      </c>
      <c r="G35" s="203">
        <f t="shared" si="5"/>
        <v>38170</v>
      </c>
      <c r="H35" s="203">
        <v>0</v>
      </c>
      <c r="I35" s="203">
        <v>0</v>
      </c>
      <c r="J35" s="203">
        <f t="shared" si="5"/>
        <v>0</v>
      </c>
      <c r="K35" s="205"/>
    </row>
    <row r="36" spans="1:11" hidden="1" x14ac:dyDescent="0.25">
      <c r="A36" s="1576" t="s">
        <v>435</v>
      </c>
      <c r="B36" s="1577"/>
      <c r="C36" s="1577"/>
      <c r="D36" s="1577"/>
      <c r="E36" s="1577"/>
      <c r="F36" s="1577"/>
      <c r="G36" s="1577"/>
      <c r="H36" s="1577"/>
      <c r="I36" s="1577"/>
      <c r="J36" s="1578"/>
      <c r="K36" s="77"/>
    </row>
    <row r="37" spans="1:11" hidden="1" x14ac:dyDescent="0.25">
      <c r="A37" s="624">
        <v>1</v>
      </c>
      <c r="B37" s="102" t="s">
        <v>441</v>
      </c>
      <c r="C37" s="624">
        <v>2</v>
      </c>
      <c r="D37" s="103"/>
      <c r="E37" s="127">
        <v>12600</v>
      </c>
      <c r="F37" s="103">
        <v>0</v>
      </c>
      <c r="G37" s="103">
        <f t="shared" ref="G37:G41" si="6">E37*20%</f>
        <v>2520</v>
      </c>
      <c r="H37" s="104">
        <v>50</v>
      </c>
      <c r="I37" s="624">
        <v>1.7</v>
      </c>
      <c r="J37" s="105">
        <f t="shared" ref="J37:J41" si="7">((C37*D37*(H37/100+I37))*12)*1.2</f>
        <v>0</v>
      </c>
      <c r="K37" s="77"/>
    </row>
    <row r="38" spans="1:11" hidden="1" x14ac:dyDescent="0.25">
      <c r="A38" s="624">
        <v>2</v>
      </c>
      <c r="B38" s="102" t="s">
        <v>440</v>
      </c>
      <c r="C38" s="624">
        <v>1.5</v>
      </c>
      <c r="D38" s="103"/>
      <c r="E38" s="127">
        <v>22000</v>
      </c>
      <c r="F38" s="103">
        <v>0</v>
      </c>
      <c r="G38" s="103">
        <f t="shared" si="6"/>
        <v>4400</v>
      </c>
      <c r="H38" s="104">
        <v>50</v>
      </c>
      <c r="I38" s="624">
        <v>1.7</v>
      </c>
      <c r="J38" s="105">
        <f t="shared" si="7"/>
        <v>0</v>
      </c>
      <c r="K38" s="77"/>
    </row>
    <row r="39" spans="1:11" hidden="1" x14ac:dyDescent="0.25">
      <c r="A39" s="624">
        <v>3</v>
      </c>
      <c r="B39" s="102" t="s">
        <v>439</v>
      </c>
      <c r="C39" s="624">
        <v>1.25</v>
      </c>
      <c r="D39" s="103"/>
      <c r="E39" s="127">
        <v>18000</v>
      </c>
      <c r="F39" s="103">
        <v>0</v>
      </c>
      <c r="G39" s="103">
        <f t="shared" si="6"/>
        <v>3600</v>
      </c>
      <c r="H39" s="104">
        <v>50</v>
      </c>
      <c r="I39" s="624">
        <v>1.7</v>
      </c>
      <c r="J39" s="105">
        <f t="shared" si="7"/>
        <v>0</v>
      </c>
      <c r="K39" s="77"/>
    </row>
    <row r="40" spans="1:11" hidden="1" x14ac:dyDescent="0.25">
      <c r="A40" s="624">
        <v>4</v>
      </c>
      <c r="B40" s="102" t="s">
        <v>319</v>
      </c>
      <c r="C40" s="624">
        <v>1.25</v>
      </c>
      <c r="D40" s="103"/>
      <c r="E40" s="127">
        <v>13000</v>
      </c>
      <c r="F40" s="103">
        <v>0</v>
      </c>
      <c r="G40" s="103">
        <f t="shared" si="6"/>
        <v>2600</v>
      </c>
      <c r="H40" s="104">
        <v>50</v>
      </c>
      <c r="I40" s="624">
        <v>1.7</v>
      </c>
      <c r="J40" s="105">
        <f t="shared" si="7"/>
        <v>0</v>
      </c>
      <c r="K40" s="77"/>
    </row>
    <row r="41" spans="1:11" hidden="1" x14ac:dyDescent="0.25">
      <c r="A41" s="624">
        <v>5</v>
      </c>
      <c r="B41" s="102" t="s">
        <v>320</v>
      </c>
      <c r="C41" s="624">
        <v>1</v>
      </c>
      <c r="D41" s="103"/>
      <c r="E41" s="127">
        <v>13000</v>
      </c>
      <c r="F41" s="103">
        <v>0</v>
      </c>
      <c r="G41" s="103">
        <f t="shared" si="6"/>
        <v>2600</v>
      </c>
      <c r="H41" s="104">
        <v>50</v>
      </c>
      <c r="I41" s="624">
        <v>1.7</v>
      </c>
      <c r="J41" s="105">
        <f t="shared" si="7"/>
        <v>0</v>
      </c>
      <c r="K41" s="77"/>
    </row>
    <row r="42" spans="1:11" hidden="1" x14ac:dyDescent="0.25">
      <c r="A42" s="624">
        <v>6</v>
      </c>
      <c r="B42" s="102" t="s">
        <v>438</v>
      </c>
      <c r="C42" s="624">
        <v>1</v>
      </c>
      <c r="D42" s="103"/>
      <c r="E42" s="127">
        <v>11000</v>
      </c>
      <c r="F42" s="103">
        <v>0</v>
      </c>
      <c r="G42" s="103">
        <f t="shared" si="1"/>
        <v>2200</v>
      </c>
      <c r="H42" s="104">
        <v>50</v>
      </c>
      <c r="I42" s="624">
        <v>1.7</v>
      </c>
      <c r="J42" s="105">
        <f t="shared" si="4"/>
        <v>0</v>
      </c>
      <c r="K42" s="77"/>
    </row>
    <row r="43" spans="1:11" ht="30" hidden="1" x14ac:dyDescent="0.25">
      <c r="A43" s="624">
        <v>7</v>
      </c>
      <c r="B43" s="102" t="s">
        <v>437</v>
      </c>
      <c r="C43" s="624">
        <v>1</v>
      </c>
      <c r="D43" s="103"/>
      <c r="E43" s="127">
        <v>12000</v>
      </c>
      <c r="F43" s="103">
        <v>0</v>
      </c>
      <c r="G43" s="103">
        <f t="shared" si="1"/>
        <v>2400</v>
      </c>
      <c r="H43" s="104">
        <v>50</v>
      </c>
      <c r="I43" s="624">
        <v>1.7</v>
      </c>
      <c r="J43" s="105">
        <f t="shared" si="4"/>
        <v>0</v>
      </c>
      <c r="K43" s="77"/>
    </row>
    <row r="44" spans="1:11" ht="30" hidden="1" x14ac:dyDescent="0.25">
      <c r="A44" s="624">
        <v>8</v>
      </c>
      <c r="B44" s="102" t="s">
        <v>436</v>
      </c>
      <c r="C44" s="624">
        <v>1</v>
      </c>
      <c r="D44" s="103"/>
      <c r="E44" s="127">
        <v>22000</v>
      </c>
      <c r="F44" s="103">
        <v>0</v>
      </c>
      <c r="G44" s="103">
        <f t="shared" si="1"/>
        <v>4400</v>
      </c>
      <c r="H44" s="104">
        <v>50</v>
      </c>
      <c r="I44" s="624">
        <v>1.7</v>
      </c>
      <c r="J44" s="105">
        <f t="shared" si="4"/>
        <v>0</v>
      </c>
      <c r="K44" s="77"/>
    </row>
    <row r="45" spans="1:11" ht="30" hidden="1" x14ac:dyDescent="0.25">
      <c r="A45" s="624">
        <v>9</v>
      </c>
      <c r="B45" s="102" t="s">
        <v>318</v>
      </c>
      <c r="C45" s="624">
        <v>1</v>
      </c>
      <c r="D45" s="103"/>
      <c r="E45" s="127">
        <v>14000</v>
      </c>
      <c r="F45" s="103">
        <v>0</v>
      </c>
      <c r="G45" s="103">
        <f t="shared" si="1"/>
        <v>2800</v>
      </c>
      <c r="H45" s="104">
        <v>50</v>
      </c>
      <c r="I45" s="624">
        <v>1.7</v>
      </c>
      <c r="J45" s="105">
        <f>((C45*D45*(H45/100+I45))*12)*1.2</f>
        <v>0</v>
      </c>
      <c r="K45" s="128"/>
    </row>
    <row r="46" spans="1:11" hidden="1" x14ac:dyDescent="0.25">
      <c r="A46" s="624">
        <v>10</v>
      </c>
      <c r="B46" s="102" t="s">
        <v>442</v>
      </c>
      <c r="C46" s="624">
        <v>1</v>
      </c>
      <c r="D46" s="103"/>
      <c r="E46" s="127">
        <v>13000</v>
      </c>
      <c r="F46" s="103">
        <v>0</v>
      </c>
      <c r="G46" s="103">
        <f t="shared" si="1"/>
        <v>2600</v>
      </c>
      <c r="H46" s="104">
        <v>50</v>
      </c>
      <c r="I46" s="624">
        <v>1.7</v>
      </c>
      <c r="J46" s="105">
        <f>((C46*D46*(H46/100+I46))*12)*1</f>
        <v>0</v>
      </c>
    </row>
    <row r="47" spans="1:11" hidden="1" x14ac:dyDescent="0.25">
      <c r="A47" s="624">
        <v>11</v>
      </c>
      <c r="B47" s="102" t="s">
        <v>443</v>
      </c>
      <c r="C47" s="624">
        <v>1</v>
      </c>
      <c r="D47" s="103"/>
      <c r="E47" s="127">
        <v>12000</v>
      </c>
      <c r="F47" s="103">
        <v>0</v>
      </c>
      <c r="G47" s="103">
        <f t="shared" si="1"/>
        <v>2400</v>
      </c>
      <c r="H47" s="104">
        <v>50</v>
      </c>
      <c r="I47" s="624">
        <v>1.7</v>
      </c>
      <c r="J47" s="105">
        <f>((C47*D47*(H47/100+I47))*12)*1.4</f>
        <v>0</v>
      </c>
    </row>
    <row r="48" spans="1:11" hidden="1" x14ac:dyDescent="0.25">
      <c r="A48" s="624">
        <v>12</v>
      </c>
      <c r="B48" s="102" t="s">
        <v>444</v>
      </c>
      <c r="C48" s="624">
        <v>2</v>
      </c>
      <c r="D48" s="103"/>
      <c r="E48" s="127">
        <v>14000</v>
      </c>
      <c r="F48" s="103">
        <v>0</v>
      </c>
      <c r="G48" s="103">
        <f t="shared" si="1"/>
        <v>2800</v>
      </c>
      <c r="H48" s="104">
        <v>50</v>
      </c>
      <c r="I48" s="624">
        <v>1.7</v>
      </c>
      <c r="J48" s="105">
        <f>((C48*D48*(H48/100+I48))*12)*1.3</f>
        <v>0</v>
      </c>
    </row>
    <row r="49" spans="1:11" s="206" customFormat="1" hidden="1" x14ac:dyDescent="0.25">
      <c r="A49" s="203"/>
      <c r="B49" s="204" t="s">
        <v>445</v>
      </c>
      <c r="C49" s="203">
        <f>SUM(C37:C48)</f>
        <v>15</v>
      </c>
      <c r="D49" s="203"/>
      <c r="E49" s="203">
        <f t="shared" ref="E49:J49" si="8">SUM(E37:E48)</f>
        <v>176600</v>
      </c>
      <c r="F49" s="203">
        <f t="shared" si="8"/>
        <v>0</v>
      </c>
      <c r="G49" s="203">
        <f t="shared" si="8"/>
        <v>35320</v>
      </c>
      <c r="H49" s="203">
        <v>0</v>
      </c>
      <c r="I49" s="203">
        <v>0</v>
      </c>
      <c r="J49" s="203">
        <f t="shared" si="8"/>
        <v>0</v>
      </c>
    </row>
    <row r="50" spans="1:11" ht="28.5" hidden="1" x14ac:dyDescent="0.25">
      <c r="A50" s="106"/>
      <c r="B50" s="107" t="s">
        <v>446</v>
      </c>
      <c r="C50" s="108">
        <f>C35+C49</f>
        <v>118.66</v>
      </c>
      <c r="D50" s="108">
        <f>D35+D49</f>
        <v>0</v>
      </c>
      <c r="E50" s="108" t="s">
        <v>14</v>
      </c>
      <c r="F50" s="108" t="s">
        <v>14</v>
      </c>
      <c r="G50" s="108" t="s">
        <v>14</v>
      </c>
      <c r="H50" s="108" t="s">
        <v>14</v>
      </c>
      <c r="I50" s="108" t="s">
        <v>14</v>
      </c>
      <c r="J50" s="108">
        <f>J35+J49</f>
        <v>0</v>
      </c>
    </row>
    <row r="51" spans="1:11" hidden="1" x14ac:dyDescent="0.25">
      <c r="A51" s="1572" t="s">
        <v>450</v>
      </c>
      <c r="B51" s="1575"/>
      <c r="C51" s="1575"/>
      <c r="D51" s="1575"/>
      <c r="E51" s="1575"/>
      <c r="F51" s="1575"/>
      <c r="G51" s="1575"/>
      <c r="H51" s="1575"/>
      <c r="I51" s="1575"/>
      <c r="J51" s="1575"/>
    </row>
    <row r="52" spans="1:11" hidden="1" x14ac:dyDescent="0.25">
      <c r="A52" s="624">
        <v>1</v>
      </c>
      <c r="B52" s="102" t="s">
        <v>321</v>
      </c>
      <c r="C52" s="624">
        <v>1</v>
      </c>
      <c r="D52" s="103"/>
      <c r="E52" s="127">
        <v>10000</v>
      </c>
      <c r="F52" s="103">
        <v>0</v>
      </c>
      <c r="G52" s="103">
        <f>E52*20%</f>
        <v>2000</v>
      </c>
      <c r="H52" s="104">
        <v>50</v>
      </c>
      <c r="I52" s="624">
        <v>1.7</v>
      </c>
      <c r="J52" s="105">
        <f>((C52*D52*(H52/100+I52))*12)*1.37</f>
        <v>0</v>
      </c>
      <c r="K52" s="128"/>
    </row>
    <row r="53" spans="1:11" hidden="1" x14ac:dyDescent="0.25">
      <c r="A53" s="624">
        <v>2</v>
      </c>
      <c r="B53" s="102" t="s">
        <v>448</v>
      </c>
      <c r="C53" s="624">
        <v>1</v>
      </c>
      <c r="D53" s="103"/>
      <c r="E53" s="127">
        <v>9500</v>
      </c>
      <c r="F53" s="103">
        <v>0</v>
      </c>
      <c r="G53" s="103"/>
      <c r="H53" s="104">
        <v>50</v>
      </c>
      <c r="I53" s="624">
        <v>1.7</v>
      </c>
      <c r="J53" s="105">
        <f>((C53*D53*(H53/100+I53))*12)*1.37</f>
        <v>0</v>
      </c>
      <c r="K53" s="128"/>
    </row>
    <row r="54" spans="1:11" ht="30" hidden="1" x14ac:dyDescent="0.25">
      <c r="A54" s="624">
        <v>3</v>
      </c>
      <c r="B54" s="102" t="s">
        <v>449</v>
      </c>
      <c r="C54" s="624">
        <v>0.17</v>
      </c>
      <c r="D54" s="103"/>
      <c r="E54" s="127">
        <v>8500</v>
      </c>
      <c r="F54" s="103">
        <v>0</v>
      </c>
      <c r="G54" s="103">
        <f>E54*20%</f>
        <v>1700</v>
      </c>
      <c r="H54" s="104">
        <v>50</v>
      </c>
      <c r="I54" s="624">
        <v>1.7</v>
      </c>
      <c r="J54" s="105">
        <f>((C54*D54*(H54/100+I54))*12)*1.22</f>
        <v>0</v>
      </c>
    </row>
    <row r="55" spans="1:11" ht="28.5" hidden="1" x14ac:dyDescent="0.25">
      <c r="A55" s="106"/>
      <c r="B55" s="107" t="s">
        <v>447</v>
      </c>
      <c r="C55" s="108">
        <f>SUM(C52:C54)</f>
        <v>2.17</v>
      </c>
      <c r="D55" s="110">
        <f>SUM(D52:D54)</f>
        <v>0</v>
      </c>
      <c r="E55" s="108" t="s">
        <v>14</v>
      </c>
      <c r="F55" s="108" t="s">
        <v>14</v>
      </c>
      <c r="G55" s="108" t="s">
        <v>14</v>
      </c>
      <c r="H55" s="108" t="s">
        <v>14</v>
      </c>
      <c r="I55" s="108" t="s">
        <v>14</v>
      </c>
      <c r="J55" s="111">
        <f>SUM(J52:J54)</f>
        <v>0</v>
      </c>
    </row>
    <row r="56" spans="1:11" hidden="1" x14ac:dyDescent="0.25">
      <c r="A56" s="1572" t="s">
        <v>451</v>
      </c>
      <c r="B56" s="1573"/>
      <c r="C56" s="1573"/>
      <c r="D56" s="1573"/>
      <c r="E56" s="1573"/>
      <c r="F56" s="1573"/>
      <c r="G56" s="1573"/>
      <c r="H56" s="1573"/>
      <c r="I56" s="1573"/>
      <c r="J56" s="1573"/>
    </row>
    <row r="57" spans="1:11" ht="30" hidden="1" x14ac:dyDescent="0.25">
      <c r="A57" s="624">
        <v>1</v>
      </c>
      <c r="B57" s="102" t="s">
        <v>309</v>
      </c>
      <c r="C57" s="624">
        <v>14</v>
      </c>
      <c r="D57" s="103"/>
      <c r="E57" s="127">
        <v>12500</v>
      </c>
      <c r="F57" s="103">
        <f>E57*2%</f>
        <v>250</v>
      </c>
      <c r="G57" s="103">
        <f>E57*18%</f>
        <v>2250</v>
      </c>
      <c r="H57" s="104">
        <v>50</v>
      </c>
      <c r="I57" s="624">
        <v>1.7</v>
      </c>
      <c r="J57" s="105">
        <f>((C57*D57*(H57/100+I57))*12)*1.2</f>
        <v>0</v>
      </c>
      <c r="K57" s="128"/>
    </row>
    <row r="58" spans="1:11" hidden="1" x14ac:dyDescent="0.25">
      <c r="A58" s="624">
        <v>2</v>
      </c>
      <c r="B58" s="102" t="s">
        <v>452</v>
      </c>
      <c r="C58" s="624">
        <v>1</v>
      </c>
      <c r="D58" s="103"/>
      <c r="E58" s="127">
        <v>12000</v>
      </c>
      <c r="F58" s="103">
        <v>0</v>
      </c>
      <c r="G58" s="103">
        <f>E58*20%</f>
        <v>2400</v>
      </c>
      <c r="H58" s="104">
        <v>50</v>
      </c>
      <c r="I58" s="624">
        <v>1.7</v>
      </c>
      <c r="J58" s="105">
        <f>((C58*D58*(H58/100+I58))*12)*1.2</f>
        <v>0</v>
      </c>
      <c r="K58" s="128"/>
    </row>
    <row r="59" spans="1:11" ht="45" hidden="1" x14ac:dyDescent="0.25">
      <c r="A59" s="624">
        <v>3</v>
      </c>
      <c r="B59" s="102" t="s">
        <v>307</v>
      </c>
      <c r="C59" s="624">
        <v>1.5</v>
      </c>
      <c r="D59" s="103"/>
      <c r="E59" s="127">
        <v>11000</v>
      </c>
      <c r="F59" s="103">
        <v>0</v>
      </c>
      <c r="G59" s="103">
        <f>E59*20%</f>
        <v>2200</v>
      </c>
      <c r="H59" s="104">
        <v>50</v>
      </c>
      <c r="I59" s="624">
        <v>1.7</v>
      </c>
      <c r="J59" s="105">
        <f>((C59*D59*(H59/100+I59))*12)*1.13</f>
        <v>0</v>
      </c>
    </row>
    <row r="60" spans="1:11" hidden="1" x14ac:dyDescent="0.25">
      <c r="A60" s="624">
        <v>4</v>
      </c>
      <c r="B60" s="102" t="s">
        <v>310</v>
      </c>
      <c r="C60" s="624">
        <v>3</v>
      </c>
      <c r="D60" s="103"/>
      <c r="E60" s="127">
        <v>12000</v>
      </c>
      <c r="F60" s="103">
        <v>0</v>
      </c>
      <c r="G60" s="103">
        <f t="shared" ref="G60:G63" si="9">E60*20%</f>
        <v>2400</v>
      </c>
      <c r="H60" s="104">
        <v>50</v>
      </c>
      <c r="I60" s="624">
        <v>1.7</v>
      </c>
      <c r="J60" s="105">
        <f t="shared" ref="J60:J63" si="10">((C60*D60*(H60/100+I60))*12)*1.13</f>
        <v>0</v>
      </c>
    </row>
    <row r="61" spans="1:11" hidden="1" x14ac:dyDescent="0.25">
      <c r="A61" s="624">
        <v>5</v>
      </c>
      <c r="B61" s="102" t="s">
        <v>453</v>
      </c>
      <c r="C61" s="624">
        <v>2</v>
      </c>
      <c r="D61" s="103"/>
      <c r="E61" s="127">
        <v>8000</v>
      </c>
      <c r="F61" s="103">
        <v>0</v>
      </c>
      <c r="G61" s="103">
        <f t="shared" si="9"/>
        <v>1600</v>
      </c>
      <c r="H61" s="104">
        <v>50</v>
      </c>
      <c r="I61" s="624">
        <v>1.7</v>
      </c>
      <c r="J61" s="105">
        <f t="shared" si="10"/>
        <v>0</v>
      </c>
    </row>
    <row r="62" spans="1:11" hidden="1" x14ac:dyDescent="0.25">
      <c r="A62" s="624">
        <v>6</v>
      </c>
      <c r="B62" s="102" t="s">
        <v>308</v>
      </c>
      <c r="C62" s="624">
        <v>1</v>
      </c>
      <c r="D62" s="103"/>
      <c r="E62" s="127">
        <v>10000</v>
      </c>
      <c r="F62" s="103">
        <v>0</v>
      </c>
      <c r="G62" s="103">
        <f t="shared" si="9"/>
        <v>2000</v>
      </c>
      <c r="H62" s="104">
        <v>50</v>
      </c>
      <c r="I62" s="624">
        <v>1.7</v>
      </c>
      <c r="J62" s="105">
        <f t="shared" si="10"/>
        <v>0</v>
      </c>
    </row>
    <row r="63" spans="1:11" hidden="1" x14ac:dyDescent="0.25">
      <c r="A63" s="624">
        <v>7</v>
      </c>
      <c r="B63" s="102" t="s">
        <v>311</v>
      </c>
      <c r="C63" s="624">
        <v>2</v>
      </c>
      <c r="D63" s="103"/>
      <c r="E63" s="127">
        <v>10000</v>
      </c>
      <c r="F63" s="103">
        <v>0</v>
      </c>
      <c r="G63" s="103">
        <f t="shared" si="9"/>
        <v>2000</v>
      </c>
      <c r="H63" s="104">
        <v>50</v>
      </c>
      <c r="I63" s="624">
        <v>1.7</v>
      </c>
      <c r="J63" s="105">
        <f t="shared" si="10"/>
        <v>0</v>
      </c>
    </row>
    <row r="64" spans="1:11" ht="28.5" hidden="1" x14ac:dyDescent="0.25">
      <c r="A64" s="106"/>
      <c r="B64" s="107" t="s">
        <v>454</v>
      </c>
      <c r="C64" s="108">
        <f>SUM(C57:C63)</f>
        <v>24.5</v>
      </c>
      <c r="D64" s="110">
        <f>SUM(D57:D63)</f>
        <v>0</v>
      </c>
      <c r="E64" s="108" t="s">
        <v>14</v>
      </c>
      <c r="F64" s="108" t="s">
        <v>14</v>
      </c>
      <c r="G64" s="108" t="s">
        <v>14</v>
      </c>
      <c r="H64" s="108" t="s">
        <v>14</v>
      </c>
      <c r="I64" s="108" t="s">
        <v>14</v>
      </c>
      <c r="J64" s="111">
        <f>SUM(J57:J63)</f>
        <v>0</v>
      </c>
      <c r="K64" s="129"/>
    </row>
    <row r="65" spans="1:12" s="41" customFormat="1" hidden="1" x14ac:dyDescent="0.2">
      <c r="A65" s="1582" t="s">
        <v>313</v>
      </c>
      <c r="B65" s="1583"/>
      <c r="C65" s="1583"/>
      <c r="D65" s="1583"/>
      <c r="E65" s="1583"/>
      <c r="F65" s="1583"/>
      <c r="G65" s="1583"/>
      <c r="H65" s="1583"/>
      <c r="I65" s="1583"/>
      <c r="J65" s="120"/>
    </row>
    <row r="66" spans="1:12" hidden="1" x14ac:dyDescent="0.25">
      <c r="A66" s="1584" t="s">
        <v>324</v>
      </c>
      <c r="B66" s="1584"/>
      <c r="C66" s="78">
        <f>C21+C50+C55+C64</f>
        <v>153.82999999999998</v>
      </c>
      <c r="D66" s="79">
        <f>D21+D50+D55+D64</f>
        <v>0</v>
      </c>
      <c r="E66" s="78" t="s">
        <v>14</v>
      </c>
      <c r="F66" s="78" t="s">
        <v>14</v>
      </c>
      <c r="G66" s="78" t="s">
        <v>14</v>
      </c>
      <c r="H66" s="78" t="s">
        <v>14</v>
      </c>
      <c r="I66" s="78" t="s">
        <v>14</v>
      </c>
      <c r="J66" s="144">
        <f>J21+J50+J55+J64</f>
        <v>0</v>
      </c>
      <c r="L66" s="77"/>
    </row>
    <row r="67" spans="1:12" ht="68.25" customHeight="1" x14ac:dyDescent="0.25">
      <c r="A67" s="1574" t="s">
        <v>743</v>
      </c>
      <c r="B67" s="1574"/>
      <c r="C67" s="627">
        <v>35</v>
      </c>
      <c r="D67" s="627">
        <f>SUM(E67:G67)</f>
        <v>5000</v>
      </c>
      <c r="E67" s="627">
        <v>5000</v>
      </c>
      <c r="F67" s="627">
        <v>0</v>
      </c>
      <c r="G67" s="627">
        <v>0</v>
      </c>
      <c r="H67" s="627">
        <v>0.5</v>
      </c>
      <c r="I67" s="627">
        <v>1.5</v>
      </c>
      <c r="J67" s="554">
        <f>C67*D67*(H67+I67)*12</f>
        <v>4200000</v>
      </c>
      <c r="L67" s="77"/>
    </row>
    <row r="68" spans="1:12" ht="21.75" customHeight="1" x14ac:dyDescent="0.25">
      <c r="A68" s="1586" t="s">
        <v>617</v>
      </c>
      <c r="B68" s="1587"/>
      <c r="C68" s="1587"/>
      <c r="D68" s="1587"/>
      <c r="E68" s="1587"/>
      <c r="F68" s="1587"/>
      <c r="G68" s="1587"/>
      <c r="H68" s="1587"/>
      <c r="I68" s="1588"/>
      <c r="J68" s="210">
        <f>J66+J67</f>
        <v>4200000</v>
      </c>
      <c r="L68" s="77"/>
    </row>
    <row r="69" spans="1:12" ht="39.75" hidden="1" customHeight="1" x14ac:dyDescent="0.25">
      <c r="A69" s="629"/>
      <c r="B69" s="654"/>
      <c r="C69" s="654"/>
      <c r="D69" s="654"/>
      <c r="E69" s="654"/>
      <c r="F69" s="654"/>
      <c r="G69" s="654"/>
      <c r="H69" s="654"/>
      <c r="I69" s="655"/>
      <c r="J69" s="143"/>
      <c r="L69" s="77"/>
    </row>
    <row r="70" spans="1:12" ht="15.75" hidden="1" x14ac:dyDescent="0.25">
      <c r="A70" s="112"/>
      <c r="B70" s="112"/>
      <c r="C70" s="630"/>
      <c r="D70" s="113"/>
      <c r="E70" s="630"/>
      <c r="F70" s="630"/>
      <c r="G70" s="630"/>
      <c r="H70" s="630"/>
      <c r="I70" s="630"/>
      <c r="J70" s="114"/>
    </row>
    <row r="71" spans="1:12" hidden="1" x14ac:dyDescent="0.25">
      <c r="A71" s="1579" t="s">
        <v>1</v>
      </c>
      <c r="B71" s="1579" t="s">
        <v>2</v>
      </c>
      <c r="C71" s="1579" t="s">
        <v>3</v>
      </c>
      <c r="D71" s="1574" t="s">
        <v>4</v>
      </c>
      <c r="E71" s="1574"/>
      <c r="F71" s="1574"/>
      <c r="G71" s="1574"/>
      <c r="H71" s="1579" t="s">
        <v>5</v>
      </c>
      <c r="I71" s="1579" t="s">
        <v>6</v>
      </c>
      <c r="J71" s="1579" t="s">
        <v>305</v>
      </c>
    </row>
    <row r="72" spans="1:12" hidden="1" x14ac:dyDescent="0.25">
      <c r="A72" s="1579"/>
      <c r="B72" s="1579"/>
      <c r="C72" s="1579"/>
      <c r="D72" s="1579" t="s">
        <v>8</v>
      </c>
      <c r="E72" s="1574" t="s">
        <v>9</v>
      </c>
      <c r="F72" s="1574"/>
      <c r="G72" s="1574"/>
      <c r="H72" s="1579"/>
      <c r="I72" s="1579"/>
      <c r="J72" s="1579"/>
    </row>
    <row r="73" spans="1:12" ht="75" hidden="1" x14ac:dyDescent="0.25">
      <c r="A73" s="1579"/>
      <c r="B73" s="1579"/>
      <c r="C73" s="1579"/>
      <c r="D73" s="1579"/>
      <c r="E73" s="628" t="s">
        <v>10</v>
      </c>
      <c r="F73" s="628" t="s">
        <v>11</v>
      </c>
      <c r="G73" s="628" t="s">
        <v>12</v>
      </c>
      <c r="H73" s="1579"/>
      <c r="I73" s="1579"/>
      <c r="J73" s="1579"/>
    </row>
    <row r="74" spans="1:12" hidden="1" x14ac:dyDescent="0.25">
      <c r="A74" s="624">
        <v>1</v>
      </c>
      <c r="B74" s="624">
        <v>2</v>
      </c>
      <c r="C74" s="624">
        <v>3</v>
      </c>
      <c r="D74" s="624">
        <v>4</v>
      </c>
      <c r="E74" s="624">
        <v>5</v>
      </c>
      <c r="F74" s="624">
        <v>6</v>
      </c>
      <c r="G74" s="624">
        <v>7</v>
      </c>
      <c r="H74" s="624">
        <v>8</v>
      </c>
      <c r="I74" s="624">
        <v>9</v>
      </c>
      <c r="J74" s="624">
        <v>10</v>
      </c>
    </row>
    <row r="75" spans="1:12" hidden="1" x14ac:dyDescent="0.25">
      <c r="A75" s="1572" t="s">
        <v>306</v>
      </c>
      <c r="B75" s="1573"/>
      <c r="C75" s="1573"/>
      <c r="D75" s="1573"/>
      <c r="E75" s="1573"/>
      <c r="F75" s="1573"/>
      <c r="G75" s="1573"/>
      <c r="H75" s="1573"/>
      <c r="I75" s="1573"/>
      <c r="J75" s="1573"/>
    </row>
    <row r="76" spans="1:12" ht="45" hidden="1" x14ac:dyDescent="0.25">
      <c r="A76" s="624">
        <v>1</v>
      </c>
      <c r="B76" s="102" t="s">
        <v>307</v>
      </c>
      <c r="C76" s="624"/>
      <c r="D76" s="115">
        <f>E76+F76+G76</f>
        <v>0</v>
      </c>
      <c r="E76" s="130"/>
      <c r="F76" s="115"/>
      <c r="G76" s="115">
        <f>(E76+F76)*20%</f>
        <v>0</v>
      </c>
      <c r="H76" s="104">
        <v>50</v>
      </c>
      <c r="I76" s="624">
        <v>1.7</v>
      </c>
      <c r="J76" s="116">
        <f>(C76*D76*(H76/100+I76))*12.5</f>
        <v>0</v>
      </c>
      <c r="L76" s="77"/>
    </row>
    <row r="77" spans="1:12" ht="15.75" hidden="1" customHeight="1" x14ac:dyDescent="0.25">
      <c r="A77" s="624">
        <v>2</v>
      </c>
      <c r="B77" s="102" t="s">
        <v>308</v>
      </c>
      <c r="C77" s="624"/>
      <c r="D77" s="115">
        <f t="shared" ref="D77:D78" si="11">E77+F77+G77</f>
        <v>0</v>
      </c>
      <c r="E77" s="130"/>
      <c r="F77" s="115"/>
      <c r="G77" s="115">
        <f>(E77+F77)*20%</f>
        <v>0</v>
      </c>
      <c r="H77" s="104">
        <v>50</v>
      </c>
      <c r="I77" s="624">
        <v>1.7</v>
      </c>
      <c r="J77" s="116">
        <f>(C77*D77*(H77/100+I77))*12.5</f>
        <v>0</v>
      </c>
    </row>
    <row r="78" spans="1:12" ht="30" hidden="1" x14ac:dyDescent="0.25">
      <c r="A78" s="624">
        <v>3</v>
      </c>
      <c r="B78" s="102" t="s">
        <v>309</v>
      </c>
      <c r="C78" s="624"/>
      <c r="D78" s="115">
        <f t="shared" si="11"/>
        <v>0</v>
      </c>
      <c r="E78" s="115"/>
      <c r="F78" s="115"/>
      <c r="G78" s="115">
        <f>(E78+F78)*20%</f>
        <v>0</v>
      </c>
      <c r="H78" s="104">
        <v>50</v>
      </c>
      <c r="I78" s="624">
        <v>1.7</v>
      </c>
      <c r="J78" s="116">
        <f>(C78*D78*(H78/100+I78))*12.5</f>
        <v>0</v>
      </c>
    </row>
    <row r="79" spans="1:12" hidden="1" x14ac:dyDescent="0.25">
      <c r="A79" s="624">
        <v>4</v>
      </c>
      <c r="B79" s="102" t="s">
        <v>310</v>
      </c>
      <c r="C79" s="624"/>
      <c r="D79" s="115">
        <f>E79+F79+G79</f>
        <v>0</v>
      </c>
      <c r="E79" s="115"/>
      <c r="F79" s="115"/>
      <c r="G79" s="115">
        <f>(E79+F79)*20%</f>
        <v>0</v>
      </c>
      <c r="H79" s="104">
        <v>50</v>
      </c>
      <c r="I79" s="624">
        <v>1.7</v>
      </c>
      <c r="J79" s="116">
        <f>(C79*D79*(H79/100+I79))*12.5</f>
        <v>0</v>
      </c>
    </row>
    <row r="80" spans="1:12" ht="21.75" hidden="1" customHeight="1" x14ac:dyDescent="0.25">
      <c r="A80" s="624">
        <v>5</v>
      </c>
      <c r="B80" s="102" t="s">
        <v>311</v>
      </c>
      <c r="C80" s="624"/>
      <c r="D80" s="115">
        <f t="shared" ref="D80" si="12">E80+F80+G80</f>
        <v>0</v>
      </c>
      <c r="E80" s="115"/>
      <c r="F80" s="115"/>
      <c r="G80" s="115">
        <f t="shared" ref="G80" si="13">(E80+F80)*20%</f>
        <v>0</v>
      </c>
      <c r="H80" s="104">
        <v>50</v>
      </c>
      <c r="I80" s="624">
        <v>1.7</v>
      </c>
      <c r="J80" s="116">
        <f>(C80*D80*(H80/100+I80))*12.5</f>
        <v>0</v>
      </c>
      <c r="K80" s="77"/>
    </row>
    <row r="81" spans="1:12" ht="16.5" hidden="1" customHeight="1" x14ac:dyDescent="0.25">
      <c r="A81" s="106"/>
      <c r="B81" s="117" t="s">
        <v>312</v>
      </c>
      <c r="C81" s="118">
        <f>SUM(C76:C80)</f>
        <v>0</v>
      </c>
      <c r="D81" s="119">
        <f>SUM(D76:D80)</f>
        <v>0</v>
      </c>
      <c r="E81" s="118" t="s">
        <v>14</v>
      </c>
      <c r="F81" s="118" t="s">
        <v>14</v>
      </c>
      <c r="G81" s="118" t="s">
        <v>14</v>
      </c>
      <c r="H81" s="118" t="s">
        <v>14</v>
      </c>
      <c r="I81" s="118" t="s">
        <v>14</v>
      </c>
      <c r="J81" s="120">
        <f>SUM(J76:J80)</f>
        <v>0</v>
      </c>
    </row>
    <row r="82" spans="1:12" ht="15.75" hidden="1" customHeight="1" x14ac:dyDescent="0.25">
      <c r="A82" s="1590" t="s">
        <v>336</v>
      </c>
      <c r="B82" s="1591"/>
      <c r="C82" s="1591"/>
      <c r="D82" s="1591"/>
      <c r="E82" s="1591"/>
      <c r="F82" s="1591"/>
      <c r="G82" s="1591"/>
      <c r="H82" s="1591"/>
      <c r="I82" s="1592"/>
      <c r="J82" s="120"/>
    </row>
    <row r="83" spans="1:12" s="41" customFormat="1" hidden="1" x14ac:dyDescent="0.2">
      <c r="A83" s="1590" t="s">
        <v>413</v>
      </c>
      <c r="B83" s="1591"/>
      <c r="C83" s="1591"/>
      <c r="D83" s="1591"/>
      <c r="E83" s="1591"/>
      <c r="F83" s="1591"/>
      <c r="G83" s="1591"/>
      <c r="H83" s="1591"/>
      <c r="I83" s="1592"/>
      <c r="J83" s="134"/>
    </row>
    <row r="84" spans="1:12" s="41" customFormat="1" hidden="1" x14ac:dyDescent="0.2">
      <c r="A84" s="207" t="s">
        <v>372</v>
      </c>
      <c r="B84" s="208"/>
      <c r="C84" s="209"/>
      <c r="D84" s="209"/>
      <c r="E84" s="209"/>
      <c r="F84" s="209"/>
      <c r="G84" s="209"/>
      <c r="H84" s="209"/>
      <c r="I84" s="209"/>
      <c r="J84" s="134"/>
    </row>
    <row r="85" spans="1:12" s="41" customFormat="1" ht="15.75" hidden="1" x14ac:dyDescent="0.2">
      <c r="A85" s="1593" t="s">
        <v>456</v>
      </c>
      <c r="B85" s="1594"/>
      <c r="C85" s="1594"/>
      <c r="D85" s="1594"/>
      <c r="E85" s="1594"/>
      <c r="F85" s="1594"/>
      <c r="G85" s="1594"/>
      <c r="H85" s="1594"/>
      <c r="I85" s="1594"/>
      <c r="J85" s="1595"/>
    </row>
    <row r="86" spans="1:12" ht="21" hidden="1" customHeight="1" x14ac:dyDescent="0.25">
      <c r="A86" s="1596" t="s">
        <v>457</v>
      </c>
      <c r="B86" s="1597"/>
      <c r="C86" s="121">
        <v>2.4</v>
      </c>
      <c r="D86" s="122">
        <f>D81</f>
        <v>0</v>
      </c>
      <c r="E86" s="123" t="s">
        <v>14</v>
      </c>
      <c r="F86" s="123" t="s">
        <v>14</v>
      </c>
      <c r="G86" s="123" t="s">
        <v>14</v>
      </c>
      <c r="H86" s="123" t="s">
        <v>14</v>
      </c>
      <c r="I86" s="123" t="s">
        <v>14</v>
      </c>
      <c r="J86" s="217">
        <v>0</v>
      </c>
      <c r="K86" s="77"/>
      <c r="L86" s="77"/>
    </row>
    <row r="87" spans="1:12" ht="21" customHeight="1" x14ac:dyDescent="0.25">
      <c r="A87" s="1598" t="s">
        <v>718</v>
      </c>
      <c r="B87" s="1599"/>
      <c r="C87" s="1599"/>
      <c r="D87" s="1599"/>
      <c r="E87" s="1599"/>
      <c r="F87" s="1599"/>
      <c r="G87" s="1599"/>
      <c r="H87" s="1599"/>
      <c r="I87" s="1599"/>
      <c r="J87" s="218">
        <f>J86+J68</f>
        <v>4200000</v>
      </c>
      <c r="K87" s="77"/>
      <c r="L87" s="77"/>
    </row>
    <row r="88" spans="1:12" ht="21" hidden="1" customHeight="1" x14ac:dyDescent="0.25">
      <c r="A88" s="658"/>
      <c r="B88" s="212"/>
      <c r="C88" s="620"/>
      <c r="D88" s="214"/>
      <c r="E88" s="659"/>
      <c r="F88" s="659"/>
      <c r="G88" s="659"/>
      <c r="H88" s="659"/>
      <c r="I88" s="659"/>
      <c r="J88" s="660"/>
      <c r="K88" s="77"/>
      <c r="L88" s="77"/>
    </row>
    <row r="89" spans="1:12" ht="20.25" hidden="1" customHeight="1" x14ac:dyDescent="0.25">
      <c r="A89" s="1562" t="s">
        <v>352</v>
      </c>
      <c r="B89" s="1563"/>
      <c r="C89" s="1563"/>
      <c r="D89" s="1563"/>
      <c r="E89" s="1563"/>
      <c r="F89" s="1563"/>
      <c r="G89" s="1563"/>
      <c r="H89" s="1563"/>
      <c r="I89" s="1563"/>
      <c r="J89" s="1564"/>
    </row>
    <row r="90" spans="1:12" ht="30" hidden="1" customHeight="1" x14ac:dyDescent="0.25">
      <c r="A90" s="626" t="s">
        <v>1</v>
      </c>
      <c r="B90" s="1600" t="s">
        <v>44</v>
      </c>
      <c r="C90" s="1600"/>
      <c r="D90" s="1600"/>
      <c r="E90" s="1600" t="s">
        <v>45</v>
      </c>
      <c r="F90" s="1600"/>
      <c r="G90" s="1600" t="s">
        <v>46</v>
      </c>
      <c r="H90" s="1600"/>
      <c r="I90" s="1600" t="s">
        <v>102</v>
      </c>
      <c r="J90" s="1600"/>
    </row>
    <row r="91" spans="1:12" ht="16.5" hidden="1" customHeight="1" x14ac:dyDescent="0.25">
      <c r="A91" s="623">
        <v>1</v>
      </c>
      <c r="B91" s="1535">
        <v>2</v>
      </c>
      <c r="C91" s="1535"/>
      <c r="D91" s="1535"/>
      <c r="E91" s="1535">
        <v>3</v>
      </c>
      <c r="F91" s="1535"/>
      <c r="G91" s="1535">
        <v>4</v>
      </c>
      <c r="H91" s="1535"/>
      <c r="I91" s="1535">
        <v>5</v>
      </c>
      <c r="J91" s="1535"/>
    </row>
    <row r="92" spans="1:12" ht="47.25" hidden="1" customHeight="1" x14ac:dyDescent="0.25">
      <c r="A92" s="150">
        <v>1</v>
      </c>
      <c r="B92" s="1463" t="s">
        <v>363</v>
      </c>
      <c r="C92" s="1464"/>
      <c r="D92" s="1465"/>
      <c r="E92" s="1571">
        <f>I92/G92</f>
        <v>0</v>
      </c>
      <c r="F92" s="1571"/>
      <c r="G92" s="1540">
        <v>12</v>
      </c>
      <c r="H92" s="1540"/>
      <c r="I92" s="1589">
        <v>0</v>
      </c>
      <c r="J92" s="1589"/>
    </row>
    <row r="93" spans="1:12" ht="51.75" hidden="1" customHeight="1" x14ac:dyDescent="0.25">
      <c r="A93" s="150" t="s">
        <v>75</v>
      </c>
      <c r="B93" s="1463" t="s">
        <v>618</v>
      </c>
      <c r="C93" s="1464"/>
      <c r="D93" s="1465"/>
      <c r="E93" s="1571">
        <v>0</v>
      </c>
      <c r="F93" s="1571"/>
      <c r="G93" s="1540"/>
      <c r="H93" s="1540"/>
      <c r="I93" s="1589">
        <v>0</v>
      </c>
      <c r="J93" s="1589"/>
      <c r="K93" s="1">
        <v>0</v>
      </c>
    </row>
    <row r="94" spans="1:12" ht="33.75" hidden="1" customHeight="1" x14ac:dyDescent="0.25">
      <c r="A94" s="618"/>
      <c r="B94" s="1177" t="s">
        <v>324</v>
      </c>
      <c r="C94" s="1178"/>
      <c r="D94" s="1601"/>
      <c r="E94" s="1167" t="s">
        <v>14</v>
      </c>
      <c r="F94" s="1168"/>
      <c r="G94" s="1167" t="s">
        <v>14</v>
      </c>
      <c r="H94" s="1201"/>
      <c r="I94" s="617"/>
      <c r="J94" s="619">
        <f>I93</f>
        <v>0</v>
      </c>
    </row>
    <row r="95" spans="1:12" s="41" customFormat="1" ht="40.5" hidden="1" customHeight="1" x14ac:dyDescent="0.25">
      <c r="A95" s="1507" t="s">
        <v>531</v>
      </c>
      <c r="B95" s="1507"/>
      <c r="C95" s="1507"/>
      <c r="D95" s="1507"/>
      <c r="E95" s="1507"/>
      <c r="F95" s="1507"/>
      <c r="G95" s="1507"/>
      <c r="H95" s="1507"/>
      <c r="I95" s="1507"/>
      <c r="J95" s="1507"/>
    </row>
    <row r="96" spans="1:12" ht="38.25" hidden="1" x14ac:dyDescent="0.25">
      <c r="A96" s="623" t="s">
        <v>1</v>
      </c>
      <c r="B96" s="1535" t="s">
        <v>15</v>
      </c>
      <c r="C96" s="1535"/>
      <c r="D96" s="1535"/>
      <c r="E96" s="1535" t="s">
        <v>16</v>
      </c>
      <c r="F96" s="1535"/>
      <c r="G96" s="623" t="s">
        <v>17</v>
      </c>
      <c r="H96" s="623" t="s">
        <v>18</v>
      </c>
      <c r="I96" s="1535" t="s">
        <v>104</v>
      </c>
      <c r="J96" s="1535"/>
    </row>
    <row r="97" spans="1:14" hidden="1" x14ac:dyDescent="0.25">
      <c r="A97" s="623">
        <v>1</v>
      </c>
      <c r="B97" s="1535">
        <v>2</v>
      </c>
      <c r="C97" s="1535"/>
      <c r="D97" s="1535"/>
      <c r="E97" s="1535">
        <v>3</v>
      </c>
      <c r="F97" s="1535"/>
      <c r="G97" s="623">
        <v>4</v>
      </c>
      <c r="H97" s="623">
        <v>5</v>
      </c>
      <c r="I97" s="1535">
        <v>6</v>
      </c>
      <c r="J97" s="1535"/>
    </row>
    <row r="98" spans="1:14" ht="16.5" hidden="1" customHeight="1" x14ac:dyDescent="0.25">
      <c r="A98" s="1566" t="s">
        <v>354</v>
      </c>
      <c r="B98" s="1567"/>
      <c r="C98" s="1567"/>
      <c r="D98" s="1567"/>
      <c r="E98" s="1567"/>
      <c r="F98" s="1567"/>
      <c r="G98" s="1567"/>
      <c r="H98" s="1567"/>
      <c r="I98" s="1567"/>
      <c r="J98" s="1568"/>
    </row>
    <row r="99" spans="1:14" ht="99" hidden="1" customHeight="1" x14ac:dyDescent="0.25">
      <c r="A99" s="1553" t="s">
        <v>753</v>
      </c>
      <c r="B99" s="1553"/>
      <c r="C99" s="1553"/>
      <c r="D99" s="1553"/>
      <c r="E99" s="1553"/>
      <c r="F99" s="1553"/>
      <c r="G99" s="1553"/>
      <c r="H99" s="1553"/>
      <c r="I99" s="1553"/>
      <c r="J99" s="1554"/>
    </row>
    <row r="100" spans="1:14" ht="30" hidden="1" customHeight="1" x14ac:dyDescent="0.25">
      <c r="A100" s="665">
        <v>1</v>
      </c>
      <c r="B100" s="1330" t="s">
        <v>754</v>
      </c>
      <c r="C100" s="1331"/>
      <c r="D100" s="1332"/>
      <c r="E100" s="1327" t="s">
        <v>755</v>
      </c>
      <c r="F100" s="1329"/>
      <c r="G100" s="1327">
        <v>0</v>
      </c>
      <c r="H100" s="1329"/>
      <c r="I100" s="1422">
        <v>0</v>
      </c>
      <c r="J100" s="1423"/>
    </row>
    <row r="101" spans="1:14" ht="16.5" hidden="1" customHeight="1" x14ac:dyDescent="0.25">
      <c r="A101" s="606"/>
      <c r="B101" s="1424"/>
      <c r="C101" s="1427"/>
      <c r="D101" s="1425"/>
      <c r="E101" s="1424"/>
      <c r="F101" s="1425"/>
      <c r="G101" s="1424"/>
      <c r="H101" s="1425"/>
      <c r="I101" s="1424"/>
      <c r="J101" s="1425"/>
    </row>
    <row r="102" spans="1:14" ht="42.75" hidden="1" customHeight="1" x14ac:dyDescent="0.25">
      <c r="A102" s="1333" t="s">
        <v>510</v>
      </c>
      <c r="B102" s="1334"/>
      <c r="C102" s="1334"/>
      <c r="D102" s="1334"/>
      <c r="E102" s="1334"/>
      <c r="F102" s="1334"/>
      <c r="G102" s="1334"/>
      <c r="H102" s="1334"/>
      <c r="I102" s="1334"/>
      <c r="J102" s="1335"/>
    </row>
    <row r="103" spans="1:14" ht="36.75" hidden="1" customHeight="1" x14ac:dyDescent="0.25">
      <c r="A103" s="381">
        <v>1</v>
      </c>
      <c r="B103" s="1367" t="s">
        <v>511</v>
      </c>
      <c r="C103" s="1367"/>
      <c r="D103" s="1367"/>
      <c r="E103" s="1565">
        <v>0</v>
      </c>
      <c r="F103" s="1565"/>
      <c r="G103" s="1428">
        <v>300</v>
      </c>
      <c r="H103" s="1429"/>
      <c r="I103" s="1426">
        <v>0</v>
      </c>
      <c r="J103" s="1426"/>
    </row>
    <row r="104" spans="1:14" ht="16.5" hidden="1" customHeight="1" x14ac:dyDescent="0.25">
      <c r="A104" s="595"/>
      <c r="B104" s="1534"/>
      <c r="C104" s="1534"/>
      <c r="D104" s="1534"/>
      <c r="E104" s="1427"/>
      <c r="F104" s="1427"/>
      <c r="G104" s="1427"/>
      <c r="H104" s="1427"/>
      <c r="I104" s="1427"/>
      <c r="J104" s="1425"/>
    </row>
    <row r="105" spans="1:14" ht="16.5" hidden="1" customHeight="1" x14ac:dyDescent="0.25">
      <c r="A105" s="625"/>
      <c r="B105" s="1427"/>
      <c r="C105" s="1427"/>
      <c r="D105" s="1427"/>
      <c r="E105" s="1427"/>
      <c r="F105" s="1427"/>
      <c r="G105" s="1427"/>
      <c r="H105" s="1427"/>
      <c r="I105" s="1427"/>
      <c r="J105" s="1425"/>
    </row>
    <row r="106" spans="1:14" ht="16.5" hidden="1" customHeight="1" x14ac:dyDescent="0.25">
      <c r="A106" s="625"/>
      <c r="B106" s="1427"/>
      <c r="C106" s="1427"/>
      <c r="D106" s="1427"/>
      <c r="E106" s="1427"/>
      <c r="F106" s="1427"/>
      <c r="G106" s="1427"/>
      <c r="H106" s="1427"/>
      <c r="I106" s="1427"/>
      <c r="J106" s="1425"/>
    </row>
    <row r="107" spans="1:14" ht="15" hidden="1" customHeight="1" x14ac:dyDescent="0.25">
      <c r="A107" s="1562" t="s">
        <v>356</v>
      </c>
      <c r="B107" s="1563"/>
      <c r="C107" s="1563"/>
      <c r="D107" s="1563"/>
      <c r="E107" s="1563"/>
      <c r="F107" s="1563"/>
      <c r="G107" s="1563"/>
      <c r="H107" s="1563"/>
      <c r="I107" s="1563"/>
      <c r="J107" s="1564"/>
    </row>
    <row r="108" spans="1:14" ht="53.25" hidden="1" customHeight="1" x14ac:dyDescent="0.25">
      <c r="A108" s="599" t="s">
        <v>70</v>
      </c>
      <c r="B108" s="1557" t="s">
        <v>458</v>
      </c>
      <c r="C108" s="1558"/>
      <c r="D108" s="1559"/>
      <c r="E108" s="1534"/>
      <c r="F108" s="1534"/>
      <c r="G108" s="632"/>
      <c r="H108" s="632">
        <v>1</v>
      </c>
      <c r="I108" s="1569">
        <v>0</v>
      </c>
      <c r="J108" s="1570"/>
    </row>
    <row r="109" spans="1:14" ht="48.75" hidden="1" customHeight="1" x14ac:dyDescent="0.25">
      <c r="A109" s="631" t="s">
        <v>75</v>
      </c>
      <c r="B109" s="1557" t="s">
        <v>459</v>
      </c>
      <c r="C109" s="1558"/>
      <c r="D109" s="1559"/>
      <c r="E109" s="1560"/>
      <c r="F109" s="1560"/>
      <c r="G109" s="131"/>
      <c r="H109" s="151">
        <v>1</v>
      </c>
      <c r="I109" s="1561">
        <f>E109*G109</f>
        <v>0</v>
      </c>
      <c r="J109" s="1561"/>
    </row>
    <row r="110" spans="1:14" hidden="1" x14ac:dyDescent="0.25">
      <c r="A110" s="1562" t="s">
        <v>357</v>
      </c>
      <c r="B110" s="1563"/>
      <c r="C110" s="1563"/>
      <c r="D110" s="1563"/>
      <c r="E110" s="1563"/>
      <c r="F110" s="1563"/>
      <c r="G110" s="1563"/>
      <c r="H110" s="1563"/>
      <c r="I110" s="1563"/>
      <c r="J110" s="1564"/>
    </row>
    <row r="111" spans="1:14" ht="130.5" hidden="1" customHeight="1" x14ac:dyDescent="0.25">
      <c r="A111" s="1553" t="s">
        <v>753</v>
      </c>
      <c r="B111" s="1553"/>
      <c r="C111" s="1553"/>
      <c r="D111" s="1553"/>
      <c r="E111" s="1553"/>
      <c r="F111" s="1553"/>
      <c r="G111" s="1553"/>
      <c r="H111" s="1553"/>
      <c r="I111" s="1553"/>
      <c r="J111" s="1554"/>
      <c r="L111" s="1" t="s">
        <v>765</v>
      </c>
    </row>
    <row r="112" spans="1:14" ht="36.75" hidden="1" customHeight="1" x14ac:dyDescent="0.25">
      <c r="A112" s="616">
        <v>1</v>
      </c>
      <c r="B112" s="1322" t="s">
        <v>756</v>
      </c>
      <c r="C112" s="1322"/>
      <c r="D112" s="1322"/>
      <c r="E112" s="1034" t="s">
        <v>299</v>
      </c>
      <c r="F112" s="1035"/>
      <c r="G112" s="616">
        <v>1</v>
      </c>
      <c r="H112" s="458">
        <v>0</v>
      </c>
      <c r="I112" s="1608">
        <f>G112*H112</f>
        <v>0</v>
      </c>
      <c r="J112" s="1609"/>
      <c r="K112" s="1">
        <v>5365</v>
      </c>
      <c r="L112" s="1">
        <v>5110</v>
      </c>
      <c r="N112" s="129">
        <f>I112+I114</f>
        <v>0</v>
      </c>
    </row>
    <row r="113" spans="1:14" ht="36.75" hidden="1" customHeight="1" x14ac:dyDescent="0.25">
      <c r="A113" s="616">
        <v>2</v>
      </c>
      <c r="B113" s="1322" t="s">
        <v>757</v>
      </c>
      <c r="C113" s="1322"/>
      <c r="D113" s="1322"/>
      <c r="E113" s="1034" t="s">
        <v>299</v>
      </c>
      <c r="F113" s="1035"/>
      <c r="G113" s="616">
        <v>2</v>
      </c>
      <c r="H113" s="458">
        <v>0</v>
      </c>
      <c r="I113" s="1608">
        <f>G113*H113</f>
        <v>0</v>
      </c>
      <c r="J113" s="1609"/>
      <c r="K113" s="1">
        <v>10730</v>
      </c>
      <c r="L113" s="1">
        <v>10220</v>
      </c>
      <c r="N113" s="129">
        <f>I113+I115+I116</f>
        <v>0</v>
      </c>
    </row>
    <row r="114" spans="1:14" ht="36.75" hidden="1" customHeight="1" x14ac:dyDescent="0.25">
      <c r="A114" s="616">
        <v>3</v>
      </c>
      <c r="B114" s="1322" t="s">
        <v>758</v>
      </c>
      <c r="C114" s="1322"/>
      <c r="D114" s="1322"/>
      <c r="E114" s="1034" t="s">
        <v>299</v>
      </c>
      <c r="F114" s="1035"/>
      <c r="G114" s="616">
        <v>3</v>
      </c>
      <c r="H114" s="458">
        <v>0</v>
      </c>
      <c r="I114" s="1608">
        <f>G114*H114</f>
        <v>0</v>
      </c>
      <c r="J114" s="1609"/>
      <c r="K114" s="1">
        <v>9000</v>
      </c>
      <c r="L114" s="1">
        <v>9000</v>
      </c>
    </row>
    <row r="115" spans="1:14" ht="36.75" hidden="1" customHeight="1" x14ac:dyDescent="0.25">
      <c r="A115" s="616">
        <v>4</v>
      </c>
      <c r="B115" s="1322" t="s">
        <v>759</v>
      </c>
      <c r="C115" s="1322"/>
      <c r="D115" s="1322"/>
      <c r="E115" s="1034" t="s">
        <v>299</v>
      </c>
      <c r="F115" s="1035"/>
      <c r="G115" s="616">
        <v>6</v>
      </c>
      <c r="H115" s="458">
        <v>0</v>
      </c>
      <c r="I115" s="1608">
        <f>G115*H115</f>
        <v>0</v>
      </c>
      <c r="J115" s="1609"/>
      <c r="K115" s="1">
        <v>12000</v>
      </c>
      <c r="L115" s="1">
        <v>12000</v>
      </c>
    </row>
    <row r="116" spans="1:14" ht="45" hidden="1" customHeight="1" x14ac:dyDescent="0.25">
      <c r="A116" s="616">
        <v>5</v>
      </c>
      <c r="B116" s="1214" t="s">
        <v>760</v>
      </c>
      <c r="C116" s="1215"/>
      <c r="D116" s="1216"/>
      <c r="E116" s="1034" t="s">
        <v>299</v>
      </c>
      <c r="F116" s="1035"/>
      <c r="G116" s="616">
        <v>16</v>
      </c>
      <c r="H116" s="458">
        <v>0</v>
      </c>
      <c r="I116" s="1608">
        <v>0</v>
      </c>
      <c r="J116" s="1609"/>
      <c r="K116" s="1">
        <v>6840</v>
      </c>
      <c r="L116" s="1">
        <v>7200</v>
      </c>
    </row>
    <row r="117" spans="1:14" ht="47.25" hidden="1" customHeight="1" x14ac:dyDescent="0.25">
      <c r="A117" s="639">
        <v>6</v>
      </c>
      <c r="B117" s="1322" t="s">
        <v>512</v>
      </c>
      <c r="C117" s="1322"/>
      <c r="D117" s="1322"/>
      <c r="E117" s="1387">
        <v>0</v>
      </c>
      <c r="F117" s="1388"/>
      <c r="G117" s="639"/>
      <c r="H117" s="644"/>
      <c r="I117" s="1555">
        <v>0</v>
      </c>
      <c r="J117" s="1556"/>
    </row>
    <row r="118" spans="1:14" ht="47.25" hidden="1" customHeight="1" x14ac:dyDescent="0.25">
      <c r="A118" s="310">
        <v>7</v>
      </c>
      <c r="B118" s="1322" t="s">
        <v>513</v>
      </c>
      <c r="C118" s="1322"/>
      <c r="D118" s="1322"/>
      <c r="E118" s="1602">
        <v>0</v>
      </c>
      <c r="F118" s="1603"/>
      <c r="G118" s="639"/>
      <c r="H118" s="639"/>
      <c r="I118" s="1604">
        <v>0</v>
      </c>
      <c r="J118" s="1605"/>
    </row>
    <row r="119" spans="1:14" ht="50.25" hidden="1" customHeight="1" x14ac:dyDescent="0.25">
      <c r="A119" s="1333" t="s">
        <v>515</v>
      </c>
      <c r="B119" s="1334"/>
      <c r="C119" s="1334"/>
      <c r="D119" s="1334"/>
      <c r="E119" s="1334"/>
      <c r="F119" s="1334"/>
      <c r="G119" s="1334"/>
      <c r="H119" s="1334"/>
      <c r="I119" s="1334"/>
      <c r="J119" s="1335"/>
    </row>
    <row r="120" spans="1:14" ht="35.25" hidden="1" customHeight="1" x14ac:dyDescent="0.25">
      <c r="A120" s="639">
        <v>2</v>
      </c>
      <c r="B120" s="1367" t="s">
        <v>518</v>
      </c>
      <c r="C120" s="1367"/>
      <c r="D120" s="1367"/>
      <c r="E120" s="1387">
        <v>0</v>
      </c>
      <c r="F120" s="1388"/>
      <c r="G120" s="639"/>
      <c r="H120" s="639">
        <v>0</v>
      </c>
      <c r="I120" s="1541">
        <v>0</v>
      </c>
      <c r="J120" s="1542"/>
    </row>
    <row r="121" spans="1:14" ht="35.25" hidden="1" customHeight="1" x14ac:dyDescent="0.25">
      <c r="A121" s="639">
        <v>3</v>
      </c>
      <c r="B121" s="1367" t="s">
        <v>717</v>
      </c>
      <c r="C121" s="1367"/>
      <c r="D121" s="1367"/>
      <c r="E121" s="1387">
        <v>0</v>
      </c>
      <c r="F121" s="1388"/>
      <c r="G121" s="639"/>
      <c r="H121" s="639">
        <v>0</v>
      </c>
      <c r="I121" s="1606">
        <v>0</v>
      </c>
      <c r="J121" s="1607"/>
    </row>
    <row r="122" spans="1:14" hidden="1" x14ac:dyDescent="0.25">
      <c r="A122" s="631"/>
      <c r="B122" s="1539" t="s">
        <v>13</v>
      </c>
      <c r="C122" s="1539"/>
      <c r="D122" s="1539"/>
      <c r="E122" s="1540" t="s">
        <v>14</v>
      </c>
      <c r="F122" s="1540"/>
      <c r="G122" s="631" t="s">
        <v>14</v>
      </c>
      <c r="H122" s="631" t="s">
        <v>14</v>
      </c>
      <c r="I122" s="1543">
        <f>I100+I103+I117+I120+I118+I121+I112+I113+I114+I115+I116</f>
        <v>0</v>
      </c>
      <c r="J122" s="1543"/>
    </row>
    <row r="123" spans="1:14" ht="19.5" hidden="1" customHeight="1" x14ac:dyDescent="0.25">
      <c r="A123" s="1480" t="s">
        <v>359</v>
      </c>
      <c r="B123" s="1480"/>
      <c r="C123" s="1480"/>
      <c r="D123" s="1480"/>
      <c r="E123" s="1480"/>
      <c r="F123" s="1480"/>
      <c r="G123" s="1480"/>
      <c r="H123" s="1480"/>
      <c r="I123" s="1480"/>
      <c r="J123" s="1480"/>
    </row>
    <row r="124" spans="1:14" ht="51" hidden="1" x14ac:dyDescent="0.25">
      <c r="A124" s="623" t="s">
        <v>1</v>
      </c>
      <c r="B124" s="1535" t="s">
        <v>15</v>
      </c>
      <c r="C124" s="1535"/>
      <c r="D124" s="1535"/>
      <c r="E124" s="1544" t="s">
        <v>20</v>
      </c>
      <c r="F124" s="1545"/>
      <c r="G124" s="623" t="s">
        <v>21</v>
      </c>
      <c r="H124" s="623" t="s">
        <v>22</v>
      </c>
      <c r="I124" s="1535" t="s">
        <v>19</v>
      </c>
      <c r="J124" s="1535"/>
    </row>
    <row r="125" spans="1:14" hidden="1" x14ac:dyDescent="0.25">
      <c r="A125" s="623">
        <v>1</v>
      </c>
      <c r="B125" s="1535">
        <v>2</v>
      </c>
      <c r="C125" s="1535"/>
      <c r="D125" s="1535"/>
      <c r="E125" s="1544">
        <v>3</v>
      </c>
      <c r="F125" s="1545"/>
      <c r="G125" s="623">
        <v>4</v>
      </c>
      <c r="H125" s="623">
        <v>5</v>
      </c>
      <c r="I125" s="1535">
        <v>6</v>
      </c>
      <c r="J125" s="1535"/>
    </row>
    <row r="126" spans="1:14" ht="47.25" hidden="1" customHeight="1" x14ac:dyDescent="0.25">
      <c r="A126" s="624" t="s">
        <v>70</v>
      </c>
      <c r="B126" s="1546" t="s">
        <v>79</v>
      </c>
      <c r="C126" s="1547"/>
      <c r="D126" s="1548"/>
      <c r="E126" s="1549"/>
      <c r="F126" s="1550"/>
      <c r="G126" s="154">
        <v>12</v>
      </c>
      <c r="H126" s="154">
        <v>85</v>
      </c>
      <c r="I126" s="1551">
        <f>E126*G126*H126</f>
        <v>0</v>
      </c>
      <c r="J126" s="1551"/>
    </row>
    <row r="127" spans="1:14" ht="17.25" hidden="1" customHeight="1" x14ac:dyDescent="0.25">
      <c r="A127" s="153"/>
      <c r="B127" s="1536" t="s">
        <v>13</v>
      </c>
      <c r="C127" s="1536"/>
      <c r="D127" s="1536"/>
      <c r="E127" s="1537" t="s">
        <v>14</v>
      </c>
      <c r="F127" s="1538"/>
      <c r="G127" s="631" t="s">
        <v>14</v>
      </c>
      <c r="H127" s="631" t="s">
        <v>14</v>
      </c>
      <c r="I127" s="1543">
        <f>SUM(I126)</f>
        <v>0</v>
      </c>
      <c r="J127" s="1552"/>
    </row>
    <row r="128" spans="1:14" s="41" customFormat="1" ht="54" customHeight="1" x14ac:dyDescent="0.25">
      <c r="A128" s="1507" t="s">
        <v>288</v>
      </c>
      <c r="B128" s="1507"/>
      <c r="C128" s="1507"/>
      <c r="D128" s="1507"/>
      <c r="E128" s="1507"/>
      <c r="F128" s="1507"/>
      <c r="G128" s="1507"/>
      <c r="H128" s="1507"/>
      <c r="I128" s="1507"/>
      <c r="J128" s="1507"/>
    </row>
    <row r="129" spans="1:10" ht="25.5" customHeight="1" x14ac:dyDescent="0.25">
      <c r="A129" s="642" t="s">
        <v>1</v>
      </c>
      <c r="B129" s="1508" t="s">
        <v>23</v>
      </c>
      <c r="C129" s="1508"/>
      <c r="D129" s="1508"/>
      <c r="E129" s="1508"/>
      <c r="F129" s="1508"/>
      <c r="G129" s="1508" t="s">
        <v>24</v>
      </c>
      <c r="H129" s="1508"/>
      <c r="I129" s="1508" t="s">
        <v>25</v>
      </c>
      <c r="J129" s="1508"/>
    </row>
    <row r="130" spans="1:10" ht="12" customHeight="1" x14ac:dyDescent="0.25">
      <c r="A130" s="638">
        <v>1</v>
      </c>
      <c r="B130" s="1346">
        <v>2</v>
      </c>
      <c r="C130" s="1346"/>
      <c r="D130" s="1346"/>
      <c r="E130" s="1346"/>
      <c r="F130" s="1346"/>
      <c r="G130" s="1346">
        <v>3</v>
      </c>
      <c r="H130" s="1346"/>
      <c r="I130" s="1346">
        <v>4</v>
      </c>
      <c r="J130" s="1346"/>
    </row>
    <row r="131" spans="1:10" ht="17.25" customHeight="1" x14ac:dyDescent="0.25">
      <c r="A131" s="633" t="s">
        <v>70</v>
      </c>
      <c r="B131" s="1527" t="s">
        <v>26</v>
      </c>
      <c r="C131" s="1527"/>
      <c r="D131" s="1527"/>
      <c r="E131" s="1527"/>
      <c r="F131" s="1527"/>
      <c r="G131" s="1532" t="s">
        <v>14</v>
      </c>
      <c r="H131" s="1532"/>
      <c r="I131" s="1531">
        <f>SUM(I133:J135)</f>
        <v>924000</v>
      </c>
      <c r="J131" s="1531"/>
    </row>
    <row r="132" spans="1:10" ht="16.5" customHeight="1" x14ac:dyDescent="0.25">
      <c r="A132" s="89"/>
      <c r="B132" s="1387" t="s">
        <v>9</v>
      </c>
      <c r="C132" s="1444"/>
      <c r="D132" s="1444"/>
      <c r="E132" s="1444"/>
      <c r="F132" s="1388"/>
      <c r="G132" s="1505"/>
      <c r="H132" s="1505"/>
      <c r="I132" s="1504"/>
      <c r="J132" s="1504"/>
    </row>
    <row r="133" spans="1:10" ht="17.25" customHeight="1" x14ac:dyDescent="0.25">
      <c r="A133" s="639" t="s">
        <v>27</v>
      </c>
      <c r="B133" s="1533" t="s">
        <v>28</v>
      </c>
      <c r="C133" s="1533"/>
      <c r="D133" s="1533"/>
      <c r="E133" s="1533"/>
      <c r="F133" s="1533"/>
      <c r="G133" s="1503">
        <f>J68</f>
        <v>4200000</v>
      </c>
      <c r="H133" s="1503"/>
      <c r="I133" s="1504">
        <f>G133*22%</f>
        <v>924000</v>
      </c>
      <c r="J133" s="1504"/>
    </row>
    <row r="134" spans="1:10" ht="15" customHeight="1" x14ac:dyDescent="0.25">
      <c r="A134" s="639" t="s">
        <v>29</v>
      </c>
      <c r="B134" s="1386" t="s">
        <v>30</v>
      </c>
      <c r="C134" s="1386"/>
      <c r="D134" s="1386"/>
      <c r="E134" s="1386"/>
      <c r="F134" s="1386"/>
      <c r="G134" s="1505"/>
      <c r="H134" s="1505"/>
      <c r="I134" s="1504">
        <f>G134*10%</f>
        <v>0</v>
      </c>
      <c r="J134" s="1504"/>
    </row>
    <row r="135" spans="1:10" ht="29.45" customHeight="1" x14ac:dyDescent="0.25">
      <c r="A135" s="639" t="s">
        <v>31</v>
      </c>
      <c r="B135" s="1506" t="s">
        <v>32</v>
      </c>
      <c r="C135" s="1506"/>
      <c r="D135" s="1506"/>
      <c r="E135" s="1506"/>
      <c r="F135" s="1506"/>
      <c r="G135" s="1505"/>
      <c r="H135" s="1505"/>
      <c r="I135" s="1504"/>
      <c r="J135" s="1504"/>
    </row>
    <row r="136" spans="1:10" ht="29.25" customHeight="1" x14ac:dyDescent="0.25">
      <c r="A136" s="633" t="s">
        <v>75</v>
      </c>
      <c r="B136" s="1527" t="s">
        <v>33</v>
      </c>
      <c r="C136" s="1527"/>
      <c r="D136" s="1527"/>
      <c r="E136" s="1527"/>
      <c r="F136" s="1527"/>
      <c r="G136" s="1532" t="s">
        <v>14</v>
      </c>
      <c r="H136" s="1532"/>
      <c r="I136" s="1531">
        <f>SUM(I138:J142)</f>
        <v>130199.99999999999</v>
      </c>
      <c r="J136" s="1531"/>
    </row>
    <row r="137" spans="1:10" ht="15.75" customHeight="1" x14ac:dyDescent="0.25">
      <c r="A137" s="89"/>
      <c r="B137" s="1387" t="s">
        <v>9</v>
      </c>
      <c r="C137" s="1444"/>
      <c r="D137" s="1444"/>
      <c r="E137" s="1444"/>
      <c r="F137" s="1388"/>
      <c r="G137" s="1505"/>
      <c r="H137" s="1505"/>
      <c r="I137" s="1504"/>
      <c r="J137" s="1504"/>
    </row>
    <row r="138" spans="1:10" ht="27.75" customHeight="1" x14ac:dyDescent="0.25">
      <c r="A138" s="639" t="s">
        <v>34</v>
      </c>
      <c r="B138" s="1506" t="s">
        <v>35</v>
      </c>
      <c r="C138" s="1506"/>
      <c r="D138" s="1506"/>
      <c r="E138" s="1506"/>
      <c r="F138" s="1506"/>
      <c r="G138" s="1503">
        <f>G133+G134</f>
        <v>4200000</v>
      </c>
      <c r="H138" s="1503"/>
      <c r="I138" s="1504">
        <f>G138*2.9%</f>
        <v>121799.99999999999</v>
      </c>
      <c r="J138" s="1504"/>
    </row>
    <row r="139" spans="1:10" ht="15" customHeight="1" x14ac:dyDescent="0.25">
      <c r="A139" s="639" t="s">
        <v>36</v>
      </c>
      <c r="B139" s="1506" t="s">
        <v>37</v>
      </c>
      <c r="C139" s="1506"/>
      <c r="D139" s="1506"/>
      <c r="E139" s="1506"/>
      <c r="F139" s="1506"/>
      <c r="G139" s="1505"/>
      <c r="H139" s="1505"/>
      <c r="I139" s="1504"/>
      <c r="J139" s="1504"/>
    </row>
    <row r="140" spans="1:10" ht="35.25" customHeight="1" x14ac:dyDescent="0.25">
      <c r="A140" s="639" t="s">
        <v>38</v>
      </c>
      <c r="B140" s="1506" t="s">
        <v>39</v>
      </c>
      <c r="C140" s="1506"/>
      <c r="D140" s="1506"/>
      <c r="E140" s="1506"/>
      <c r="F140" s="1506"/>
      <c r="G140" s="1503">
        <f>G133+G134</f>
        <v>4200000</v>
      </c>
      <c r="H140" s="1503"/>
      <c r="I140" s="1504">
        <f>G140*0.2%</f>
        <v>8400</v>
      </c>
      <c r="J140" s="1504"/>
    </row>
    <row r="141" spans="1:10" s="41" customFormat="1" ht="15" customHeight="1" x14ac:dyDescent="0.25">
      <c r="A141" s="639" t="s">
        <v>40</v>
      </c>
      <c r="B141" s="1506" t="s">
        <v>41</v>
      </c>
      <c r="C141" s="1506"/>
      <c r="D141" s="1506"/>
      <c r="E141" s="1506"/>
      <c r="F141" s="1506"/>
      <c r="G141" s="1505"/>
      <c r="H141" s="1505"/>
      <c r="I141" s="1504"/>
      <c r="J141" s="1504"/>
    </row>
    <row r="142" spans="1:10" ht="15" customHeight="1" x14ac:dyDescent="0.25">
      <c r="A142" s="639" t="s">
        <v>42</v>
      </c>
      <c r="B142" s="1506" t="s">
        <v>41</v>
      </c>
      <c r="C142" s="1506"/>
      <c r="D142" s="1506"/>
      <c r="E142" s="1506"/>
      <c r="F142" s="1506"/>
      <c r="G142" s="1505"/>
      <c r="H142" s="1505"/>
      <c r="I142" s="1504"/>
      <c r="J142" s="1504"/>
    </row>
    <row r="143" spans="1:10" ht="30" customHeight="1" x14ac:dyDescent="0.25">
      <c r="A143" s="633" t="s">
        <v>77</v>
      </c>
      <c r="B143" s="1527" t="s">
        <v>43</v>
      </c>
      <c r="C143" s="1527"/>
      <c r="D143" s="1527"/>
      <c r="E143" s="1527"/>
      <c r="F143" s="1527"/>
      <c r="G143" s="1530">
        <f>G133+G134</f>
        <v>4200000</v>
      </c>
      <c r="H143" s="1530"/>
      <c r="I143" s="1531">
        <f>G143*5.1%</f>
        <v>214200</v>
      </c>
      <c r="J143" s="1531"/>
    </row>
    <row r="144" spans="1:10" ht="19.5" customHeight="1" x14ac:dyDescent="0.25">
      <c r="A144" s="639"/>
      <c r="B144" s="1338" t="s">
        <v>617</v>
      </c>
      <c r="C144" s="1338"/>
      <c r="D144" s="1338"/>
      <c r="E144" s="1338"/>
      <c r="F144" s="1338"/>
      <c r="G144" s="1341" t="s">
        <v>14</v>
      </c>
      <c r="H144" s="1341"/>
      <c r="I144" s="1529">
        <f>I131+I136+I143</f>
        <v>1268400</v>
      </c>
      <c r="J144" s="1529"/>
    </row>
    <row r="145" spans="1:10" ht="36" hidden="1" customHeight="1" x14ac:dyDescent="0.25">
      <c r="A145" s="642" t="s">
        <v>1</v>
      </c>
      <c r="B145" s="1501" t="s">
        <v>23</v>
      </c>
      <c r="C145" s="1528"/>
      <c r="D145" s="1528"/>
      <c r="E145" s="1528"/>
      <c r="F145" s="1502"/>
      <c r="G145" s="1501" t="s">
        <v>24</v>
      </c>
      <c r="H145" s="1502"/>
      <c r="I145" s="1501" t="s">
        <v>25</v>
      </c>
      <c r="J145" s="1502"/>
    </row>
    <row r="146" spans="1:10" ht="11.25" hidden="1" customHeight="1" x14ac:dyDescent="0.25">
      <c r="A146" s="638">
        <v>1</v>
      </c>
      <c r="B146" s="1344">
        <v>2</v>
      </c>
      <c r="C146" s="1392"/>
      <c r="D146" s="1392"/>
      <c r="E146" s="1392"/>
      <c r="F146" s="1345"/>
      <c r="G146" s="1344">
        <v>3</v>
      </c>
      <c r="H146" s="1345"/>
      <c r="I146" s="1344">
        <v>4</v>
      </c>
      <c r="J146" s="1345"/>
    </row>
    <row r="147" spans="1:10" ht="20.25" hidden="1" customHeight="1" x14ac:dyDescent="0.25">
      <c r="A147" s="633" t="s">
        <v>70</v>
      </c>
      <c r="B147" s="1484" t="s">
        <v>26</v>
      </c>
      <c r="C147" s="1485"/>
      <c r="D147" s="1485"/>
      <c r="E147" s="1485"/>
      <c r="F147" s="1486"/>
      <c r="G147" s="1362" t="s">
        <v>14</v>
      </c>
      <c r="H147" s="1363"/>
      <c r="I147" s="1487">
        <f>SUM(I149:J151)</f>
        <v>0</v>
      </c>
      <c r="J147" s="1488"/>
    </row>
    <row r="148" spans="1:10" ht="18" hidden="1" customHeight="1" x14ac:dyDescent="0.25">
      <c r="A148" s="89"/>
      <c r="B148" s="1387" t="s">
        <v>9</v>
      </c>
      <c r="C148" s="1444"/>
      <c r="D148" s="1444"/>
      <c r="E148" s="1444"/>
      <c r="F148" s="1388"/>
      <c r="G148" s="1489"/>
      <c r="H148" s="1490"/>
      <c r="I148" s="1491"/>
      <c r="J148" s="1492"/>
    </row>
    <row r="149" spans="1:10" s="41" customFormat="1" ht="20.25" hidden="1" customHeight="1" x14ac:dyDescent="0.25">
      <c r="A149" s="639" t="s">
        <v>27</v>
      </c>
      <c r="B149" s="1495" t="s">
        <v>28</v>
      </c>
      <c r="C149" s="1496"/>
      <c r="D149" s="1496"/>
      <c r="E149" s="1496"/>
      <c r="F149" s="1497"/>
      <c r="G149" s="1493">
        <f>J86</f>
        <v>0</v>
      </c>
      <c r="H149" s="1494"/>
      <c r="I149" s="1491">
        <f>G149*22%</f>
        <v>0</v>
      </c>
      <c r="J149" s="1492"/>
    </row>
    <row r="150" spans="1:10" hidden="1" x14ac:dyDescent="0.25">
      <c r="A150" s="639" t="s">
        <v>29</v>
      </c>
      <c r="B150" s="1402" t="s">
        <v>30</v>
      </c>
      <c r="C150" s="1403"/>
      <c r="D150" s="1403"/>
      <c r="E150" s="1403"/>
      <c r="F150" s="1404"/>
      <c r="G150" s="1489"/>
      <c r="H150" s="1490"/>
      <c r="I150" s="1491"/>
      <c r="J150" s="1492"/>
    </row>
    <row r="151" spans="1:10" ht="15" hidden="1" customHeight="1" x14ac:dyDescent="0.25">
      <c r="A151" s="639" t="s">
        <v>31</v>
      </c>
      <c r="B151" s="1498" t="s">
        <v>32</v>
      </c>
      <c r="C151" s="1499"/>
      <c r="D151" s="1499"/>
      <c r="E151" s="1499"/>
      <c r="F151" s="1500"/>
      <c r="G151" s="1489"/>
      <c r="H151" s="1490"/>
      <c r="I151" s="1491"/>
      <c r="J151" s="1492"/>
    </row>
    <row r="152" spans="1:10" ht="15" hidden="1" customHeight="1" x14ac:dyDescent="0.25">
      <c r="A152" s="633" t="s">
        <v>75</v>
      </c>
      <c r="B152" s="1484" t="s">
        <v>33</v>
      </c>
      <c r="C152" s="1485"/>
      <c r="D152" s="1485"/>
      <c r="E152" s="1485"/>
      <c r="F152" s="1486"/>
      <c r="G152" s="1362" t="s">
        <v>14</v>
      </c>
      <c r="H152" s="1363"/>
      <c r="I152" s="1487">
        <f>SUM(I154:J158)</f>
        <v>-4.0000000000000001E-3</v>
      </c>
      <c r="J152" s="1488"/>
    </row>
    <row r="153" spans="1:10" ht="15" hidden="1" customHeight="1" x14ac:dyDescent="0.25">
      <c r="A153" s="89"/>
      <c r="B153" s="1387" t="s">
        <v>9</v>
      </c>
      <c r="C153" s="1444"/>
      <c r="D153" s="1444"/>
      <c r="E153" s="1444"/>
      <c r="F153" s="1388"/>
      <c r="G153" s="1489"/>
      <c r="H153" s="1490"/>
      <c r="I153" s="1491"/>
      <c r="J153" s="1492"/>
    </row>
    <row r="154" spans="1:10" ht="26.25" hidden="1" customHeight="1" x14ac:dyDescent="0.25">
      <c r="A154" s="639" t="s">
        <v>34</v>
      </c>
      <c r="B154" s="1498" t="s">
        <v>35</v>
      </c>
      <c r="C154" s="1499"/>
      <c r="D154" s="1499"/>
      <c r="E154" s="1499"/>
      <c r="F154" s="1500"/>
      <c r="G154" s="1493">
        <f>G149</f>
        <v>0</v>
      </c>
      <c r="H154" s="1494"/>
      <c r="I154" s="1491">
        <f>G154*2.9%</f>
        <v>0</v>
      </c>
      <c r="J154" s="1492"/>
    </row>
    <row r="155" spans="1:10" hidden="1" x14ac:dyDescent="0.25">
      <c r="A155" s="639" t="s">
        <v>36</v>
      </c>
      <c r="B155" s="1498" t="s">
        <v>37</v>
      </c>
      <c r="C155" s="1499"/>
      <c r="D155" s="1499"/>
      <c r="E155" s="1499"/>
      <c r="F155" s="1500"/>
      <c r="G155" s="1489"/>
      <c r="H155" s="1490"/>
      <c r="I155" s="1491"/>
      <c r="J155" s="1492"/>
    </row>
    <row r="156" spans="1:10" ht="26.25" hidden="1" customHeight="1" x14ac:dyDescent="0.25">
      <c r="A156" s="639" t="s">
        <v>38</v>
      </c>
      <c r="B156" s="1498" t="s">
        <v>39</v>
      </c>
      <c r="C156" s="1499"/>
      <c r="D156" s="1499"/>
      <c r="E156" s="1499"/>
      <c r="F156" s="1500"/>
      <c r="G156" s="1493">
        <f>G149</f>
        <v>0</v>
      </c>
      <c r="H156" s="1494"/>
      <c r="I156" s="1491">
        <f>G156*0.2%-0.004</f>
        <v>-4.0000000000000001E-3</v>
      </c>
      <c r="J156" s="1492"/>
    </row>
    <row r="157" spans="1:10" s="41" customFormat="1" ht="14.25" hidden="1" customHeight="1" x14ac:dyDescent="0.25">
      <c r="A157" s="639" t="s">
        <v>40</v>
      </c>
      <c r="B157" s="1498" t="s">
        <v>41</v>
      </c>
      <c r="C157" s="1499"/>
      <c r="D157" s="1499"/>
      <c r="E157" s="1499"/>
      <c r="F157" s="1500"/>
      <c r="G157" s="1489"/>
      <c r="H157" s="1490"/>
      <c r="I157" s="1491"/>
      <c r="J157" s="1492"/>
    </row>
    <row r="158" spans="1:10" ht="15" hidden="1" customHeight="1" x14ac:dyDescent="0.25">
      <c r="A158" s="639" t="s">
        <v>42</v>
      </c>
      <c r="B158" s="1498" t="s">
        <v>41</v>
      </c>
      <c r="C158" s="1499"/>
      <c r="D158" s="1499"/>
      <c r="E158" s="1499"/>
      <c r="F158" s="1500"/>
      <c r="G158" s="1489"/>
      <c r="H158" s="1490"/>
      <c r="I158" s="1491"/>
      <c r="J158" s="1492"/>
    </row>
    <row r="159" spans="1:10" hidden="1" x14ac:dyDescent="0.25">
      <c r="A159" s="633" t="s">
        <v>77</v>
      </c>
      <c r="B159" s="1484" t="s">
        <v>43</v>
      </c>
      <c r="C159" s="1485"/>
      <c r="D159" s="1485"/>
      <c r="E159" s="1485"/>
      <c r="F159" s="1486"/>
      <c r="G159" s="1524">
        <f>G149</f>
        <v>0</v>
      </c>
      <c r="H159" s="1525"/>
      <c r="I159" s="1487">
        <f>G159*5.1%</f>
        <v>0</v>
      </c>
      <c r="J159" s="1488"/>
    </row>
    <row r="160" spans="1:10" hidden="1" x14ac:dyDescent="0.25">
      <c r="A160" s="639"/>
      <c r="B160" s="1431" t="s">
        <v>373</v>
      </c>
      <c r="C160" s="1432"/>
      <c r="D160" s="1432"/>
      <c r="E160" s="1432"/>
      <c r="F160" s="1433"/>
      <c r="G160" s="1406" t="s">
        <v>14</v>
      </c>
      <c r="H160" s="1407"/>
      <c r="I160" s="1520">
        <f>I147+I152+I159</f>
        <v>-4.0000000000000001E-3</v>
      </c>
      <c r="J160" s="1521"/>
    </row>
    <row r="161" spans="1:12" hidden="1" x14ac:dyDescent="0.25">
      <c r="A161" s="639"/>
      <c r="B161" s="1431" t="s">
        <v>506</v>
      </c>
      <c r="C161" s="1432"/>
      <c r="D161" s="1432"/>
      <c r="E161" s="1432"/>
      <c r="F161" s="1433"/>
      <c r="G161" s="636"/>
      <c r="H161" s="637"/>
      <c r="I161" s="1520">
        <v>0</v>
      </c>
      <c r="J161" s="1521"/>
    </row>
    <row r="162" spans="1:12" s="41" customFormat="1" ht="18.75" customHeight="1" x14ac:dyDescent="0.25">
      <c r="A162" s="100"/>
      <c r="B162" s="1526" t="s">
        <v>719</v>
      </c>
      <c r="C162" s="1526"/>
      <c r="D162" s="1526"/>
      <c r="E162" s="1526"/>
      <c r="F162" s="1526"/>
      <c r="G162" s="1522" t="s">
        <v>14</v>
      </c>
      <c r="H162" s="1522"/>
      <c r="I162" s="1523">
        <f>I144+I160+I161</f>
        <v>1268399.996</v>
      </c>
      <c r="J162" s="1523"/>
      <c r="K162" s="1474"/>
      <c r="L162" s="1474"/>
    </row>
    <row r="163" spans="1:12" s="41" customFormat="1" ht="38.25" hidden="1" customHeight="1" x14ac:dyDescent="0.2">
      <c r="A163" s="1477" t="s">
        <v>414</v>
      </c>
      <c r="B163" s="1477"/>
      <c r="C163" s="1477"/>
      <c r="D163" s="1477"/>
      <c r="E163" s="1477"/>
      <c r="F163" s="1477"/>
      <c r="G163" s="1477"/>
      <c r="H163" s="1477"/>
      <c r="I163" s="1477"/>
      <c r="J163" s="1477"/>
    </row>
    <row r="164" spans="1:12" ht="19.5" hidden="1" customHeight="1" x14ac:dyDescent="0.25">
      <c r="A164" s="1480" t="s">
        <v>542</v>
      </c>
      <c r="B164" s="1480"/>
      <c r="C164" s="1480"/>
      <c r="D164" s="1480"/>
      <c r="E164" s="1480"/>
      <c r="F164" s="1480"/>
      <c r="G164" s="1480"/>
      <c r="H164" s="1480"/>
      <c r="I164" s="1480"/>
      <c r="J164" s="1480"/>
      <c r="K164" s="11"/>
      <c r="L164" s="11"/>
    </row>
    <row r="165" spans="1:12" ht="15" hidden="1" customHeight="1" x14ac:dyDescent="0.25">
      <c r="A165" s="80" t="s">
        <v>80</v>
      </c>
      <c r="B165" s="81"/>
      <c r="C165" s="307">
        <v>350</v>
      </c>
      <c r="D165" s="307"/>
      <c r="E165" s="307"/>
      <c r="F165" s="85"/>
      <c r="G165" s="85"/>
      <c r="H165" s="85"/>
      <c r="I165" s="85"/>
      <c r="J165" s="85"/>
      <c r="K165" s="11"/>
      <c r="L165" s="11"/>
    </row>
    <row r="166" spans="1:12" ht="16.5" hidden="1" customHeight="1" x14ac:dyDescent="0.25">
      <c r="A166" s="80" t="s">
        <v>81</v>
      </c>
      <c r="B166" s="81"/>
      <c r="C166" s="81"/>
      <c r="D166" s="81"/>
      <c r="E166" s="86"/>
      <c r="F166" s="87"/>
      <c r="G166" s="87"/>
      <c r="H166" s="87"/>
      <c r="I166" s="87"/>
      <c r="J166" s="87"/>
      <c r="K166" s="11"/>
      <c r="L166" s="11"/>
    </row>
    <row r="167" spans="1:12" ht="36" hidden="1" customHeight="1" x14ac:dyDescent="0.25">
      <c r="A167" s="638" t="s">
        <v>1</v>
      </c>
      <c r="B167" s="1344" t="s">
        <v>44</v>
      </c>
      <c r="C167" s="1392"/>
      <c r="D167" s="1345"/>
      <c r="E167" s="1344" t="s">
        <v>45</v>
      </c>
      <c r="F167" s="1345"/>
      <c r="G167" s="1344" t="s">
        <v>46</v>
      </c>
      <c r="H167" s="1345"/>
      <c r="I167" s="1344" t="s">
        <v>102</v>
      </c>
      <c r="J167" s="1345"/>
      <c r="K167" s="11"/>
      <c r="L167" s="11"/>
    </row>
    <row r="168" spans="1:12" ht="16.5" hidden="1" customHeight="1" x14ac:dyDescent="0.25">
      <c r="A168" s="638">
        <v>1</v>
      </c>
      <c r="B168" s="1344">
        <v>2</v>
      </c>
      <c r="C168" s="1392"/>
      <c r="D168" s="1345"/>
      <c r="E168" s="1344">
        <v>3</v>
      </c>
      <c r="F168" s="1345"/>
      <c r="G168" s="1344">
        <v>4</v>
      </c>
      <c r="H168" s="1345"/>
      <c r="I168" s="1344">
        <v>5</v>
      </c>
      <c r="J168" s="1345"/>
      <c r="K168" s="11"/>
      <c r="L168" s="11"/>
    </row>
    <row r="169" spans="1:12" ht="132" hidden="1" customHeight="1" x14ac:dyDescent="0.25">
      <c r="A169" s="1398" t="s">
        <v>545</v>
      </c>
      <c r="B169" s="1399"/>
      <c r="C169" s="1399"/>
      <c r="D169" s="1399"/>
      <c r="E169" s="1399"/>
      <c r="F169" s="1399"/>
      <c r="G169" s="1399"/>
      <c r="H169" s="1399"/>
      <c r="I169" s="1399"/>
      <c r="J169" s="1400"/>
    </row>
    <row r="170" spans="1:12" ht="40.5" hidden="1" customHeight="1" x14ac:dyDescent="0.25">
      <c r="A170" s="639">
        <v>1</v>
      </c>
      <c r="B170" s="1322" t="s">
        <v>543</v>
      </c>
      <c r="C170" s="1322"/>
      <c r="D170" s="1322"/>
      <c r="E170" s="1387">
        <v>0</v>
      </c>
      <c r="F170" s="1388"/>
      <c r="G170" s="1478">
        <v>0</v>
      </c>
      <c r="H170" s="1479"/>
      <c r="I170" s="1478">
        <v>0</v>
      </c>
      <c r="J170" s="1479"/>
    </row>
    <row r="171" spans="1:12" ht="33.75" hidden="1" customHeight="1" x14ac:dyDescent="0.25">
      <c r="A171" s="639">
        <v>2</v>
      </c>
      <c r="B171" s="1447" t="s">
        <v>544</v>
      </c>
      <c r="C171" s="1448"/>
      <c r="D171" s="1449"/>
      <c r="E171" s="1387">
        <v>0</v>
      </c>
      <c r="F171" s="1425"/>
      <c r="G171" s="1387">
        <v>0</v>
      </c>
      <c r="H171" s="1425"/>
      <c r="I171" s="1478">
        <v>0</v>
      </c>
      <c r="J171" s="1483"/>
    </row>
    <row r="172" spans="1:12" hidden="1" x14ac:dyDescent="0.25">
      <c r="A172" s="635"/>
      <c r="B172" s="1431" t="s">
        <v>13</v>
      </c>
      <c r="C172" s="1432"/>
      <c r="D172" s="1433"/>
      <c r="E172" s="1406" t="s">
        <v>14</v>
      </c>
      <c r="F172" s="1407"/>
      <c r="G172" s="1406" t="s">
        <v>14</v>
      </c>
      <c r="H172" s="1407"/>
      <c r="I172" s="1481">
        <f>SUM(I170:J171)</f>
        <v>0</v>
      </c>
      <c r="J172" s="1482"/>
    </row>
    <row r="173" spans="1:12" s="41" customFormat="1" ht="21" hidden="1" customHeight="1" x14ac:dyDescent="0.25">
      <c r="A173" s="1480" t="s">
        <v>362</v>
      </c>
      <c r="B173" s="1480"/>
      <c r="C173" s="1480"/>
      <c r="D173" s="1480"/>
      <c r="E173" s="1480"/>
      <c r="F173" s="1480"/>
      <c r="G173" s="1480"/>
      <c r="H173" s="1480"/>
      <c r="I173" s="1480"/>
      <c r="J173" s="1480"/>
    </row>
    <row r="174" spans="1:12" s="41" customFormat="1" ht="21" hidden="1" customHeight="1" x14ac:dyDescent="0.25">
      <c r="A174" s="80" t="s">
        <v>80</v>
      </c>
      <c r="B174" s="81"/>
      <c r="C174" s="307">
        <v>851</v>
      </c>
      <c r="D174" s="307">
        <v>852</v>
      </c>
      <c r="E174" s="307">
        <v>853</v>
      </c>
      <c r="F174" s="85"/>
      <c r="G174" s="85"/>
      <c r="H174" s="85"/>
      <c r="I174" s="85"/>
      <c r="J174" s="85"/>
      <c r="K174" s="42"/>
      <c r="L174" s="43"/>
    </row>
    <row r="175" spans="1:12" s="41" customFormat="1" ht="15.75" hidden="1" x14ac:dyDescent="0.25">
      <c r="A175" s="80" t="s">
        <v>81</v>
      </c>
      <c r="B175" s="81"/>
      <c r="C175" s="81"/>
      <c r="D175" s="81"/>
      <c r="E175" s="86"/>
      <c r="F175" s="87"/>
      <c r="G175" s="87"/>
      <c r="H175" s="87"/>
      <c r="I175" s="87"/>
      <c r="J175" s="87"/>
    </row>
    <row r="176" spans="1:12" ht="39.75" hidden="1" customHeight="1" x14ac:dyDescent="0.25">
      <c r="A176" s="638" t="s">
        <v>1</v>
      </c>
      <c r="B176" s="1346" t="s">
        <v>15</v>
      </c>
      <c r="C176" s="1346"/>
      <c r="D176" s="1346"/>
      <c r="E176" s="1346" t="s">
        <v>47</v>
      </c>
      <c r="F176" s="1346"/>
      <c r="G176" s="1346" t="s">
        <v>48</v>
      </c>
      <c r="H176" s="1346"/>
      <c r="I176" s="1346" t="s">
        <v>103</v>
      </c>
      <c r="J176" s="1346"/>
    </row>
    <row r="177" spans="1:12" ht="15" hidden="1" customHeight="1" x14ac:dyDescent="0.25">
      <c r="A177" s="638">
        <v>1</v>
      </c>
      <c r="B177" s="1346">
        <v>2</v>
      </c>
      <c r="C177" s="1346"/>
      <c r="D177" s="1346"/>
      <c r="E177" s="1346">
        <v>3</v>
      </c>
      <c r="F177" s="1346"/>
      <c r="G177" s="1346">
        <v>4</v>
      </c>
      <c r="H177" s="1346"/>
      <c r="I177" s="1346">
        <v>5</v>
      </c>
      <c r="J177" s="1346"/>
    </row>
    <row r="178" spans="1:12" ht="20.25" hidden="1" customHeight="1" x14ac:dyDescent="0.25">
      <c r="A178" s="1512" t="s">
        <v>70</v>
      </c>
      <c r="B178" s="1517" t="s">
        <v>289</v>
      </c>
      <c r="C178" s="1518"/>
      <c r="D178" s="640" t="s">
        <v>460</v>
      </c>
      <c r="E178" s="1519"/>
      <c r="F178" s="1519"/>
      <c r="G178" s="1516">
        <v>2.1999999999999999E-2</v>
      </c>
      <c r="H178" s="1516"/>
      <c r="I178" s="1468">
        <v>0</v>
      </c>
      <c r="J178" s="1468"/>
    </row>
    <row r="179" spans="1:12" ht="17.25" hidden="1" customHeight="1" x14ac:dyDescent="0.25">
      <c r="A179" s="1513"/>
      <c r="B179" s="1518"/>
      <c r="C179" s="1518"/>
      <c r="D179" s="641" t="s">
        <v>461</v>
      </c>
      <c r="E179" s="1519"/>
      <c r="F179" s="1519"/>
      <c r="G179" s="1516">
        <v>2.1999999999999999E-2</v>
      </c>
      <c r="H179" s="1516"/>
      <c r="I179" s="1468">
        <v>0</v>
      </c>
      <c r="J179" s="1468"/>
    </row>
    <row r="180" spans="1:12" ht="18" hidden="1" customHeight="1" x14ac:dyDescent="0.25">
      <c r="A180" s="639" t="s">
        <v>75</v>
      </c>
      <c r="B180" s="1402" t="s">
        <v>291</v>
      </c>
      <c r="C180" s="1403"/>
      <c r="D180" s="1404"/>
      <c r="E180" s="1445">
        <v>0</v>
      </c>
      <c r="F180" s="1445"/>
      <c r="G180" s="1445">
        <v>0</v>
      </c>
      <c r="H180" s="1445"/>
      <c r="I180" s="1468">
        <v>0</v>
      </c>
      <c r="J180" s="1468"/>
    </row>
    <row r="181" spans="1:12" ht="31.5" hidden="1" customHeight="1" x14ac:dyDescent="0.25">
      <c r="A181" s="639" t="s">
        <v>77</v>
      </c>
      <c r="B181" s="1402" t="s">
        <v>292</v>
      </c>
      <c r="C181" s="1403"/>
      <c r="D181" s="1404"/>
      <c r="E181" s="1445">
        <v>0</v>
      </c>
      <c r="F181" s="1445"/>
      <c r="G181" s="1445">
        <v>0</v>
      </c>
      <c r="H181" s="1445"/>
      <c r="I181" s="1468">
        <v>0</v>
      </c>
      <c r="J181" s="1468"/>
    </row>
    <row r="182" spans="1:12" ht="31.5" hidden="1" customHeight="1" x14ac:dyDescent="0.25">
      <c r="A182" s="639" t="s">
        <v>86</v>
      </c>
      <c r="B182" s="1402" t="s">
        <v>290</v>
      </c>
      <c r="C182" s="1403"/>
      <c r="D182" s="1404"/>
      <c r="E182" s="1387">
        <v>0</v>
      </c>
      <c r="F182" s="1388"/>
      <c r="G182" s="1387">
        <v>0</v>
      </c>
      <c r="H182" s="1388"/>
      <c r="I182" s="1514">
        <v>0</v>
      </c>
      <c r="J182" s="1515"/>
    </row>
    <row r="183" spans="1:12" ht="15.75" hidden="1" customHeight="1" x14ac:dyDescent="0.25">
      <c r="A183" s="635"/>
      <c r="B183" s="1338" t="s">
        <v>13</v>
      </c>
      <c r="C183" s="1338"/>
      <c r="D183" s="1338"/>
      <c r="E183" s="1341" t="s">
        <v>74</v>
      </c>
      <c r="F183" s="1341"/>
      <c r="G183" s="1341" t="s">
        <v>14</v>
      </c>
      <c r="H183" s="1341"/>
      <c r="I183" s="1347">
        <f>SUM(I178:J182)</f>
        <v>0</v>
      </c>
      <c r="J183" s="1341"/>
    </row>
    <row r="184" spans="1:12" ht="27" hidden="1" customHeight="1" x14ac:dyDescent="0.25">
      <c r="A184" s="1480" t="s">
        <v>85</v>
      </c>
      <c r="B184" s="1480"/>
      <c r="C184" s="1480"/>
      <c r="D184" s="1480"/>
      <c r="E184" s="1480"/>
      <c r="F184" s="1480"/>
      <c r="G184" s="1480"/>
      <c r="H184" s="1480"/>
      <c r="I184" s="1480"/>
      <c r="J184" s="1480"/>
      <c r="K184" s="1474"/>
      <c r="L184" s="1474"/>
    </row>
    <row r="185" spans="1:12" s="41" customFormat="1" ht="15.75" hidden="1" customHeight="1" x14ac:dyDescent="0.25">
      <c r="A185" s="80" t="s">
        <v>80</v>
      </c>
      <c r="B185" s="81"/>
      <c r="C185" s="307"/>
      <c r="D185" s="307"/>
      <c r="E185" s="307"/>
      <c r="F185" s="85"/>
      <c r="G185" s="85"/>
      <c r="H185" s="85"/>
      <c r="I185" s="85"/>
      <c r="J185" s="85"/>
      <c r="K185" s="42"/>
      <c r="L185" s="43"/>
    </row>
    <row r="186" spans="1:12" s="41" customFormat="1" ht="15.75" hidden="1" x14ac:dyDescent="0.25">
      <c r="A186" s="80" t="s">
        <v>81</v>
      </c>
      <c r="B186" s="81"/>
      <c r="C186" s="81"/>
      <c r="D186" s="81"/>
      <c r="E186" s="86"/>
      <c r="F186" s="87"/>
      <c r="G186" s="87"/>
      <c r="H186" s="87"/>
      <c r="I186" s="87"/>
      <c r="J186" s="87"/>
    </row>
    <row r="187" spans="1:12" ht="24.75" hidden="1" customHeight="1" x14ac:dyDescent="0.25">
      <c r="A187" s="638" t="s">
        <v>1</v>
      </c>
      <c r="B187" s="1346" t="s">
        <v>44</v>
      </c>
      <c r="C187" s="1346"/>
      <c r="D187" s="1346"/>
      <c r="E187" s="1346" t="s">
        <v>45</v>
      </c>
      <c r="F187" s="1346"/>
      <c r="G187" s="1346" t="s">
        <v>46</v>
      </c>
      <c r="H187" s="1346"/>
      <c r="I187" s="1346" t="s">
        <v>102</v>
      </c>
      <c r="J187" s="1346"/>
      <c r="K187" s="11"/>
      <c r="L187" s="11"/>
    </row>
    <row r="188" spans="1:12" ht="14.25" hidden="1" customHeight="1" x14ac:dyDescent="0.25">
      <c r="A188" s="638">
        <v>1</v>
      </c>
      <c r="B188" s="1346">
        <v>2</v>
      </c>
      <c r="C188" s="1346"/>
      <c r="D188" s="1346"/>
      <c r="E188" s="1346">
        <v>3</v>
      </c>
      <c r="F188" s="1346"/>
      <c r="G188" s="1346">
        <v>4</v>
      </c>
      <c r="H188" s="1346"/>
      <c r="I188" s="1346">
        <v>5</v>
      </c>
      <c r="J188" s="1346"/>
      <c r="K188" s="663"/>
      <c r="L188" s="664"/>
    </row>
    <row r="189" spans="1:12" ht="15" hidden="1" customHeight="1" x14ac:dyDescent="0.25">
      <c r="A189" s="639"/>
      <c r="B189" s="1387"/>
      <c r="C189" s="1444"/>
      <c r="D189" s="1388"/>
      <c r="E189" s="1387"/>
      <c r="F189" s="1388"/>
      <c r="G189" s="1387"/>
      <c r="H189" s="1388"/>
      <c r="I189" s="1387"/>
      <c r="J189" s="1388"/>
      <c r="K189" s="11"/>
      <c r="L189" s="11"/>
    </row>
    <row r="190" spans="1:12" ht="17.25" hidden="1" customHeight="1" x14ac:dyDescent="0.25">
      <c r="A190" s="635"/>
      <c r="B190" s="1338" t="s">
        <v>13</v>
      </c>
      <c r="C190" s="1338"/>
      <c r="D190" s="1338"/>
      <c r="E190" s="1341" t="s">
        <v>14</v>
      </c>
      <c r="F190" s="1341"/>
      <c r="G190" s="1341" t="s">
        <v>14</v>
      </c>
      <c r="H190" s="1341"/>
      <c r="I190" s="1341"/>
      <c r="J190" s="1341"/>
      <c r="K190" s="11"/>
      <c r="L190" s="11"/>
    </row>
    <row r="191" spans="1:12" ht="16.5" hidden="1" customHeight="1" x14ac:dyDescent="0.25">
      <c r="A191" s="1446" t="s">
        <v>91</v>
      </c>
      <c r="B191" s="1446"/>
      <c r="C191" s="1446"/>
      <c r="D191" s="1446"/>
      <c r="E191" s="1446"/>
      <c r="F191" s="1446"/>
      <c r="G191" s="1446"/>
      <c r="H191" s="1446"/>
      <c r="I191" s="1446"/>
      <c r="J191" s="1446"/>
      <c r="K191" s="11"/>
      <c r="L191" s="11"/>
    </row>
    <row r="192" spans="1:12" ht="18" hidden="1" customHeight="1" x14ac:dyDescent="0.25">
      <c r="A192" s="80" t="s">
        <v>80</v>
      </c>
      <c r="B192" s="81"/>
      <c r="C192" s="307">
        <v>244</v>
      </c>
      <c r="D192" s="307"/>
      <c r="E192" s="307"/>
      <c r="F192" s="85"/>
      <c r="G192" s="85"/>
      <c r="H192" s="85"/>
      <c r="I192" s="85"/>
      <c r="J192" s="85"/>
      <c r="K192" s="11"/>
      <c r="L192" s="11"/>
    </row>
    <row r="193" spans="1:13" ht="18" hidden="1" customHeight="1" x14ac:dyDescent="0.25">
      <c r="A193" s="80" t="s">
        <v>81</v>
      </c>
      <c r="B193" s="81"/>
      <c r="C193" s="81"/>
      <c r="D193" s="81"/>
      <c r="E193" s="86" t="s">
        <v>82</v>
      </c>
      <c r="F193" s="87"/>
      <c r="G193" s="86"/>
      <c r="H193" s="87"/>
      <c r="I193" s="87"/>
      <c r="J193" s="87"/>
      <c r="K193" s="11"/>
      <c r="L193" s="11"/>
    </row>
    <row r="194" spans="1:13" ht="18" hidden="1" customHeight="1" x14ac:dyDescent="0.25">
      <c r="A194" s="1442" t="s">
        <v>507</v>
      </c>
      <c r="B194" s="1442"/>
      <c r="C194" s="1442"/>
      <c r="D194" s="1442"/>
      <c r="E194" s="1442"/>
      <c r="F194" s="1442"/>
      <c r="G194" s="1442"/>
      <c r="H194" s="1442"/>
      <c r="I194" s="1442"/>
      <c r="J194" s="1442"/>
      <c r="K194" s="11"/>
      <c r="L194" s="11"/>
    </row>
    <row r="195" spans="1:13" ht="30" hidden="1" customHeight="1" x14ac:dyDescent="0.25">
      <c r="A195" s="638" t="s">
        <v>1</v>
      </c>
      <c r="B195" s="1346" t="s">
        <v>44</v>
      </c>
      <c r="C195" s="1346"/>
      <c r="D195" s="1346"/>
      <c r="E195" s="1346" t="s">
        <v>45</v>
      </c>
      <c r="F195" s="1346"/>
      <c r="G195" s="1346" t="s">
        <v>46</v>
      </c>
      <c r="H195" s="1346"/>
      <c r="I195" s="1346" t="s">
        <v>102</v>
      </c>
      <c r="J195" s="1346"/>
      <c r="K195" s="135"/>
      <c r="L195" s="11"/>
    </row>
    <row r="196" spans="1:13" ht="17.25" hidden="1" customHeight="1" x14ac:dyDescent="0.25">
      <c r="A196" s="638">
        <v>1</v>
      </c>
      <c r="B196" s="1346">
        <v>2</v>
      </c>
      <c r="C196" s="1346"/>
      <c r="D196" s="1346"/>
      <c r="E196" s="1346">
        <v>3</v>
      </c>
      <c r="F196" s="1346"/>
      <c r="G196" s="1346">
        <v>4</v>
      </c>
      <c r="H196" s="1346"/>
      <c r="I196" s="1346">
        <v>5</v>
      </c>
      <c r="J196" s="1346"/>
      <c r="K196" s="11"/>
      <c r="L196" s="11"/>
    </row>
    <row r="197" spans="1:13" ht="21.75" hidden="1" customHeight="1" x14ac:dyDescent="0.25">
      <c r="A197" s="639" t="s">
        <v>70</v>
      </c>
      <c r="B197" s="1402" t="s">
        <v>508</v>
      </c>
      <c r="C197" s="1403"/>
      <c r="D197" s="1404"/>
      <c r="E197" s="1387">
        <v>0</v>
      </c>
      <c r="F197" s="1388"/>
      <c r="G197" s="1387">
        <v>1</v>
      </c>
      <c r="H197" s="1388"/>
      <c r="I197" s="1475">
        <f>E197*G197</f>
        <v>0</v>
      </c>
      <c r="J197" s="1476"/>
      <c r="K197" s="11"/>
      <c r="L197" s="136"/>
    </row>
    <row r="198" spans="1:13" ht="38.25" hidden="1" customHeight="1" x14ac:dyDescent="0.25">
      <c r="A198" s="639" t="s">
        <v>75</v>
      </c>
      <c r="B198" s="1447" t="s">
        <v>487</v>
      </c>
      <c r="C198" s="1448"/>
      <c r="D198" s="1449"/>
      <c r="E198" s="1387">
        <v>0</v>
      </c>
      <c r="F198" s="1388"/>
      <c r="G198" s="1387">
        <v>2</v>
      </c>
      <c r="H198" s="1388"/>
      <c r="I198" s="1475">
        <f>E198*G198</f>
        <v>0</v>
      </c>
      <c r="J198" s="1476"/>
      <c r="K198" s="11"/>
      <c r="L198" s="136"/>
    </row>
    <row r="199" spans="1:13" ht="15" hidden="1" customHeight="1" x14ac:dyDescent="0.25">
      <c r="A199" s="237"/>
      <c r="B199" s="1509" t="s">
        <v>13</v>
      </c>
      <c r="C199" s="1509"/>
      <c r="D199" s="1509"/>
      <c r="E199" s="1510" t="s">
        <v>14</v>
      </c>
      <c r="F199" s="1510"/>
      <c r="G199" s="1510" t="s">
        <v>14</v>
      </c>
      <c r="H199" s="1510"/>
      <c r="I199" s="1511">
        <f>I197+I198</f>
        <v>0</v>
      </c>
      <c r="J199" s="1511"/>
      <c r="K199" s="11"/>
      <c r="L199" s="11"/>
      <c r="M199" s="14"/>
    </row>
    <row r="200" spans="1:13" ht="22.5" hidden="1" customHeight="1" x14ac:dyDescent="0.25">
      <c r="A200" s="1446" t="s">
        <v>49</v>
      </c>
      <c r="B200" s="1446"/>
      <c r="C200" s="1446"/>
      <c r="D200" s="1446"/>
      <c r="E200" s="1446"/>
      <c r="F200" s="1446"/>
      <c r="G200" s="1446"/>
      <c r="H200" s="1446"/>
      <c r="I200" s="1446"/>
      <c r="J200" s="1446"/>
      <c r="K200" s="11"/>
      <c r="L200" s="11"/>
      <c r="M200" s="14"/>
    </row>
    <row r="201" spans="1:13" ht="19.5" hidden="1" customHeight="1" x14ac:dyDescent="0.25">
      <c r="A201" s="80" t="s">
        <v>80</v>
      </c>
      <c r="B201" s="81"/>
      <c r="C201" s="307">
        <v>244</v>
      </c>
      <c r="D201" s="307"/>
      <c r="E201" s="307"/>
      <c r="F201" s="85"/>
      <c r="G201" s="85"/>
      <c r="H201" s="85"/>
      <c r="I201" s="85"/>
      <c r="J201" s="85"/>
      <c r="K201" s="11"/>
      <c r="L201" s="11"/>
      <c r="M201" s="14"/>
    </row>
    <row r="202" spans="1:13" ht="17.25" hidden="1" customHeight="1" x14ac:dyDescent="0.25">
      <c r="A202" s="80" t="s">
        <v>81</v>
      </c>
      <c r="B202" s="81"/>
      <c r="C202" s="81"/>
      <c r="D202" s="81"/>
      <c r="E202" s="86" t="s">
        <v>82</v>
      </c>
      <c r="F202" s="87"/>
      <c r="G202" s="86" t="s">
        <v>195</v>
      </c>
      <c r="H202" s="87"/>
      <c r="I202" s="87"/>
      <c r="J202" s="87"/>
      <c r="K202" s="11"/>
      <c r="L202" s="11"/>
      <c r="M202" s="14"/>
    </row>
    <row r="203" spans="1:13" ht="17.25" hidden="1" customHeight="1" x14ac:dyDescent="0.25">
      <c r="A203" s="1446" t="s">
        <v>294</v>
      </c>
      <c r="B203" s="1446"/>
      <c r="C203" s="1446"/>
      <c r="D203" s="1446"/>
      <c r="E203" s="1446"/>
      <c r="F203" s="1446"/>
      <c r="G203" s="1446"/>
      <c r="H203" s="1446"/>
      <c r="I203" s="1446"/>
      <c r="J203" s="1446"/>
      <c r="K203" s="11"/>
      <c r="L203" s="11"/>
      <c r="M203" s="14"/>
    </row>
    <row r="204" spans="1:13" ht="39.75" hidden="1" customHeight="1" x14ac:dyDescent="0.25">
      <c r="A204" s="638" t="s">
        <v>1</v>
      </c>
      <c r="B204" s="1346" t="s">
        <v>15</v>
      </c>
      <c r="C204" s="1346"/>
      <c r="D204" s="1346"/>
      <c r="E204" s="638" t="s">
        <v>50</v>
      </c>
      <c r="F204" s="638" t="s">
        <v>51</v>
      </c>
      <c r="G204" s="1346" t="s">
        <v>52</v>
      </c>
      <c r="H204" s="1346"/>
      <c r="I204" s="1346" t="s">
        <v>104</v>
      </c>
      <c r="J204" s="1346"/>
      <c r="K204" s="11"/>
      <c r="L204" s="11"/>
      <c r="M204" s="14"/>
    </row>
    <row r="205" spans="1:13" ht="15" hidden="1" customHeight="1" x14ac:dyDescent="0.25">
      <c r="A205" s="638">
        <v>1</v>
      </c>
      <c r="B205" s="1346">
        <v>2</v>
      </c>
      <c r="C205" s="1346"/>
      <c r="D205" s="1346"/>
      <c r="E205" s="638">
        <v>3</v>
      </c>
      <c r="F205" s="638">
        <v>4</v>
      </c>
      <c r="G205" s="1346">
        <v>5</v>
      </c>
      <c r="H205" s="1346"/>
      <c r="I205" s="1346">
        <v>6</v>
      </c>
      <c r="J205" s="1346"/>
      <c r="K205" s="11"/>
      <c r="L205" s="11"/>
      <c r="M205" s="14"/>
    </row>
    <row r="206" spans="1:13" ht="14.25" hidden="1" customHeight="1" x14ac:dyDescent="0.25">
      <c r="A206" s="633">
        <v>1</v>
      </c>
      <c r="B206" s="1357" t="s">
        <v>341</v>
      </c>
      <c r="C206" s="1358"/>
      <c r="D206" s="1359"/>
      <c r="E206" s="146" t="s">
        <v>74</v>
      </c>
      <c r="F206" s="146" t="s">
        <v>74</v>
      </c>
      <c r="G206" s="1469" t="s">
        <v>74</v>
      </c>
      <c r="H206" s="1469"/>
      <c r="I206" s="1470">
        <f>I207+I208+I209+I210</f>
        <v>0</v>
      </c>
      <c r="J206" s="1470"/>
      <c r="K206" s="11"/>
      <c r="L206" s="11"/>
      <c r="M206" s="14"/>
    </row>
    <row r="207" spans="1:13" ht="15" hidden="1" customHeight="1" x14ac:dyDescent="0.25">
      <c r="A207" s="639" t="s">
        <v>342</v>
      </c>
      <c r="B207" s="1386" t="s">
        <v>93</v>
      </c>
      <c r="C207" s="1386"/>
      <c r="D207" s="1386"/>
      <c r="E207" s="639">
        <v>6</v>
      </c>
      <c r="F207" s="639">
        <v>12</v>
      </c>
      <c r="G207" s="1471">
        <v>0</v>
      </c>
      <c r="H207" s="1471"/>
      <c r="I207" s="1468">
        <v>0</v>
      </c>
      <c r="J207" s="1468"/>
      <c r="K207" s="13"/>
      <c r="L207" s="13"/>
      <c r="M207" s="14"/>
    </row>
    <row r="208" spans="1:13" hidden="1" x14ac:dyDescent="0.25">
      <c r="A208" s="639" t="s">
        <v>343</v>
      </c>
      <c r="B208" s="1386" t="s">
        <v>95</v>
      </c>
      <c r="C208" s="1386"/>
      <c r="D208" s="1386"/>
      <c r="E208" s="639"/>
      <c r="F208" s="639"/>
      <c r="G208" s="1472"/>
      <c r="H208" s="1472"/>
      <c r="I208" s="1468"/>
      <c r="J208" s="1468"/>
      <c r="M208" s="14"/>
    </row>
    <row r="209" spans="1:14" hidden="1" x14ac:dyDescent="0.25">
      <c r="A209" s="639" t="s">
        <v>344</v>
      </c>
      <c r="B209" s="1386" t="s">
        <v>96</v>
      </c>
      <c r="C209" s="1386"/>
      <c r="D209" s="1386"/>
      <c r="E209" s="639"/>
      <c r="F209" s="639"/>
      <c r="G209" s="1467"/>
      <c r="H209" s="1467"/>
      <c r="I209" s="1473"/>
      <c r="J209" s="1473"/>
      <c r="M209" s="14"/>
    </row>
    <row r="210" spans="1:14" hidden="1" x14ac:dyDescent="0.25">
      <c r="A210" s="639" t="s">
        <v>264</v>
      </c>
      <c r="B210" s="1386" t="s">
        <v>199</v>
      </c>
      <c r="C210" s="1386"/>
      <c r="D210" s="1386"/>
      <c r="E210" s="639"/>
      <c r="F210" s="639"/>
      <c r="G210" s="1467"/>
      <c r="H210" s="1467"/>
      <c r="I210" s="1468"/>
      <c r="J210" s="1468"/>
      <c r="M210" s="14"/>
    </row>
    <row r="211" spans="1:14" hidden="1" x14ac:dyDescent="0.25">
      <c r="A211" s="633">
        <v>2</v>
      </c>
      <c r="B211" s="1357" t="s">
        <v>345</v>
      </c>
      <c r="C211" s="1358"/>
      <c r="D211" s="1359"/>
      <c r="E211" s="146" t="s">
        <v>74</v>
      </c>
      <c r="F211" s="146" t="s">
        <v>74</v>
      </c>
      <c r="G211" s="1469" t="s">
        <v>74</v>
      </c>
      <c r="H211" s="1469"/>
      <c r="I211" s="1470">
        <f>I212</f>
        <v>0</v>
      </c>
      <c r="J211" s="1470"/>
      <c r="M211" s="14"/>
    </row>
    <row r="212" spans="1:14" s="41" customFormat="1" ht="19.5" hidden="1" customHeight="1" x14ac:dyDescent="0.25">
      <c r="A212" s="639" t="s">
        <v>346</v>
      </c>
      <c r="B212" s="1386" t="s">
        <v>199</v>
      </c>
      <c r="C212" s="1386"/>
      <c r="D212" s="1386"/>
      <c r="E212" s="639">
        <v>1</v>
      </c>
      <c r="F212" s="639">
        <v>10</v>
      </c>
      <c r="G212" s="1467">
        <v>25000</v>
      </c>
      <c r="H212" s="1467"/>
      <c r="I212" s="1468">
        <v>0</v>
      </c>
      <c r="J212" s="1468"/>
    </row>
    <row r="213" spans="1:14" ht="16.5" hidden="1" customHeight="1" x14ac:dyDescent="0.25">
      <c r="A213" s="639"/>
      <c r="B213" s="1338" t="s">
        <v>325</v>
      </c>
      <c r="C213" s="1338"/>
      <c r="D213" s="1338"/>
      <c r="E213" s="635" t="s">
        <v>14</v>
      </c>
      <c r="F213" s="635" t="s">
        <v>14</v>
      </c>
      <c r="G213" s="1341" t="s">
        <v>14</v>
      </c>
      <c r="H213" s="1341"/>
      <c r="I213" s="1347">
        <f>I206+I211</f>
        <v>0</v>
      </c>
      <c r="J213" s="1341"/>
      <c r="K213" s="124"/>
      <c r="N213" s="126"/>
    </row>
    <row r="214" spans="1:14" ht="12" hidden="1" customHeight="1" x14ac:dyDescent="0.25">
      <c r="A214" s="88"/>
      <c r="B214" s="81"/>
      <c r="C214" s="81"/>
      <c r="D214" s="81"/>
      <c r="E214" s="81"/>
      <c r="F214" s="81"/>
      <c r="G214" s="81"/>
      <c r="H214" s="81"/>
      <c r="I214" s="81"/>
      <c r="J214" s="81"/>
      <c r="K214" s="14"/>
      <c r="M214" s="73"/>
    </row>
    <row r="215" spans="1:14" ht="18.75" hidden="1" customHeight="1" x14ac:dyDescent="0.25">
      <c r="A215" s="1446" t="s">
        <v>278</v>
      </c>
      <c r="B215" s="1446"/>
      <c r="C215" s="1446"/>
      <c r="D215" s="1446"/>
      <c r="E215" s="1446"/>
      <c r="F215" s="1446"/>
      <c r="G215" s="1446"/>
      <c r="H215" s="1446"/>
      <c r="I215" s="1446"/>
      <c r="J215" s="1446"/>
      <c r="K215" s="14"/>
      <c r="M215" s="73"/>
    </row>
    <row r="216" spans="1:14" ht="12.75" hidden="1" customHeight="1" x14ac:dyDescent="0.25">
      <c r="A216" s="638" t="s">
        <v>1</v>
      </c>
      <c r="B216" s="1346" t="s">
        <v>15</v>
      </c>
      <c r="C216" s="1346"/>
      <c r="D216" s="1346"/>
      <c r="E216" s="1346" t="s">
        <v>53</v>
      </c>
      <c r="F216" s="1346"/>
      <c r="G216" s="1346" t="s">
        <v>54</v>
      </c>
      <c r="H216" s="1346"/>
      <c r="I216" s="1346" t="s">
        <v>260</v>
      </c>
      <c r="J216" s="1346"/>
      <c r="K216" s="14"/>
      <c r="M216" s="73"/>
    </row>
    <row r="217" spans="1:14" ht="15" hidden="1" customHeight="1" x14ac:dyDescent="0.25">
      <c r="A217" s="638">
        <v>1</v>
      </c>
      <c r="B217" s="1346">
        <v>2</v>
      </c>
      <c r="C217" s="1346"/>
      <c r="D217" s="1346"/>
      <c r="E217" s="1346">
        <v>3</v>
      </c>
      <c r="F217" s="1346"/>
      <c r="G217" s="1346">
        <v>4</v>
      </c>
      <c r="H217" s="1346"/>
      <c r="I217" s="1346">
        <v>5</v>
      </c>
      <c r="J217" s="1346"/>
      <c r="K217" s="14"/>
      <c r="M217" s="73"/>
    </row>
    <row r="218" spans="1:14" ht="17.25" hidden="1" customHeight="1" x14ac:dyDescent="0.25">
      <c r="A218" s="639">
        <v>1</v>
      </c>
      <c r="B218" s="1463" t="s">
        <v>322</v>
      </c>
      <c r="C218" s="1464"/>
      <c r="D218" s="1465"/>
      <c r="E218" s="1445"/>
      <c r="F218" s="1445"/>
      <c r="G218" s="1466"/>
      <c r="H218" s="1466"/>
      <c r="I218" s="1466">
        <f>E218*G218</f>
        <v>0</v>
      </c>
      <c r="J218" s="1466"/>
      <c r="K218" s="14"/>
      <c r="M218" s="73"/>
    </row>
    <row r="219" spans="1:14" hidden="1" x14ac:dyDescent="0.25">
      <c r="A219" s="639"/>
      <c r="B219" s="1338" t="s">
        <v>13</v>
      </c>
      <c r="C219" s="1338"/>
      <c r="D219" s="1338"/>
      <c r="E219" s="1341" t="s">
        <v>74</v>
      </c>
      <c r="F219" s="1341"/>
      <c r="G219" s="1341" t="s">
        <v>74</v>
      </c>
      <c r="H219" s="1341"/>
      <c r="I219" s="1385">
        <f>I218</f>
        <v>0</v>
      </c>
      <c r="J219" s="1341"/>
    </row>
    <row r="220" spans="1:14" ht="24" hidden="1" customHeight="1" x14ac:dyDescent="0.25">
      <c r="A220" s="1446" t="s">
        <v>274</v>
      </c>
      <c r="B220" s="1446"/>
      <c r="C220" s="1446"/>
      <c r="D220" s="1446"/>
      <c r="E220" s="1446"/>
      <c r="F220" s="1446"/>
      <c r="G220" s="1446"/>
      <c r="H220" s="1446"/>
      <c r="I220" s="1446"/>
      <c r="J220" s="1446"/>
    </row>
    <row r="221" spans="1:14" s="41" customFormat="1" ht="25.5" hidden="1" customHeight="1" x14ac:dyDescent="0.2">
      <c r="A221" s="638" t="s">
        <v>1</v>
      </c>
      <c r="B221" s="1346" t="s">
        <v>44</v>
      </c>
      <c r="C221" s="1346"/>
      <c r="D221" s="1346"/>
      <c r="E221" s="638" t="s">
        <v>55</v>
      </c>
      <c r="F221" s="1346" t="s">
        <v>56</v>
      </c>
      <c r="G221" s="1346"/>
      <c r="H221" s="638" t="s">
        <v>57</v>
      </c>
      <c r="I221" s="1346" t="s">
        <v>104</v>
      </c>
      <c r="J221" s="1346"/>
    </row>
    <row r="222" spans="1:14" s="41" customFormat="1" ht="12.75" hidden="1" x14ac:dyDescent="0.2">
      <c r="A222" s="638">
        <v>1</v>
      </c>
      <c r="B222" s="1346">
        <v>2</v>
      </c>
      <c r="C222" s="1346"/>
      <c r="D222" s="1346"/>
      <c r="E222" s="638">
        <v>3</v>
      </c>
      <c r="F222" s="1346">
        <v>4</v>
      </c>
      <c r="G222" s="1346"/>
      <c r="H222" s="638">
        <v>5</v>
      </c>
      <c r="I222" s="1346">
        <v>6</v>
      </c>
      <c r="J222" s="1346"/>
    </row>
    <row r="223" spans="1:14" ht="15" hidden="1" customHeight="1" x14ac:dyDescent="0.25">
      <c r="A223" s="633" t="s">
        <v>70</v>
      </c>
      <c r="B223" s="1357" t="s">
        <v>151</v>
      </c>
      <c r="C223" s="1358"/>
      <c r="D223" s="1359"/>
      <c r="E223" s="90">
        <f>E224+E225</f>
        <v>1242.06</v>
      </c>
      <c r="F223" s="1460"/>
      <c r="G223" s="1461"/>
      <c r="H223" s="91">
        <f>F225/F224-100%</f>
        <v>3.5000412984224072E-2</v>
      </c>
      <c r="I223" s="1462"/>
      <c r="J223" s="1462"/>
      <c r="K223" s="14"/>
    </row>
    <row r="224" spans="1:14" ht="15" hidden="1" customHeight="1" x14ac:dyDescent="0.25">
      <c r="A224" s="639"/>
      <c r="B224" s="1445" t="s">
        <v>100</v>
      </c>
      <c r="C224" s="1445"/>
      <c r="D224" s="1445"/>
      <c r="E224" s="643">
        <f>679+21.16</f>
        <v>700.16</v>
      </c>
      <c r="F224" s="1373">
        <v>1937.12</v>
      </c>
      <c r="G224" s="1374"/>
      <c r="H224" s="639"/>
      <c r="I224" s="1459"/>
      <c r="J224" s="1459"/>
      <c r="K224" s="14"/>
    </row>
    <row r="225" spans="1:11" ht="15" hidden="1" customHeight="1" x14ac:dyDescent="0.25">
      <c r="A225" s="639"/>
      <c r="B225" s="1445" t="s">
        <v>101</v>
      </c>
      <c r="C225" s="1445"/>
      <c r="D225" s="1445"/>
      <c r="E225" s="643">
        <f>318+203+14.4+4.5+2</f>
        <v>541.9</v>
      </c>
      <c r="F225" s="1373">
        <v>2004.92</v>
      </c>
      <c r="G225" s="1374"/>
      <c r="H225" s="639"/>
      <c r="I225" s="1459"/>
      <c r="J225" s="1459"/>
      <c r="K225" s="14"/>
    </row>
    <row r="226" spans="1:11" ht="15" hidden="1" customHeight="1" x14ac:dyDescent="0.25">
      <c r="A226" s="633" t="s">
        <v>75</v>
      </c>
      <c r="B226" s="1357" t="s">
        <v>152</v>
      </c>
      <c r="C226" s="1358"/>
      <c r="D226" s="1359"/>
      <c r="E226" s="90">
        <f>E227+E228</f>
        <v>854</v>
      </c>
      <c r="F226" s="1460"/>
      <c r="G226" s="1461"/>
      <c r="H226" s="91">
        <f>F228/F227-100%</f>
        <v>3.5040944581984368E-2</v>
      </c>
      <c r="I226" s="1462"/>
      <c r="J226" s="1462"/>
      <c r="K226" s="14"/>
    </row>
    <row r="227" spans="1:11" ht="15" hidden="1" customHeight="1" x14ac:dyDescent="0.25">
      <c r="A227" s="639"/>
      <c r="B227" s="1445" t="s">
        <v>100</v>
      </c>
      <c r="C227" s="1445"/>
      <c r="D227" s="1445"/>
      <c r="E227" s="643">
        <v>460</v>
      </c>
      <c r="F227" s="1373">
        <v>52.51</v>
      </c>
      <c r="G227" s="1374"/>
      <c r="H227" s="639"/>
      <c r="I227" s="1459"/>
      <c r="J227" s="1459"/>
      <c r="K227" s="14"/>
    </row>
    <row r="228" spans="1:11" ht="15" hidden="1" customHeight="1" x14ac:dyDescent="0.25">
      <c r="A228" s="639"/>
      <c r="B228" s="1445" t="s">
        <v>101</v>
      </c>
      <c r="C228" s="1445"/>
      <c r="D228" s="1445"/>
      <c r="E228" s="643">
        <f>313+81</f>
        <v>394</v>
      </c>
      <c r="F228" s="1373">
        <v>54.35</v>
      </c>
      <c r="G228" s="1374"/>
      <c r="H228" s="639"/>
      <c r="I228" s="1459"/>
      <c r="J228" s="1459"/>
      <c r="K228" s="99"/>
    </row>
    <row r="229" spans="1:11" ht="15" hidden="1" customHeight="1" x14ac:dyDescent="0.25">
      <c r="A229" s="633" t="s">
        <v>77</v>
      </c>
      <c r="B229" s="1357" t="s">
        <v>153</v>
      </c>
      <c r="C229" s="1358"/>
      <c r="D229" s="1359"/>
      <c r="E229" s="90">
        <f>E230+E231</f>
        <v>1517</v>
      </c>
      <c r="F229" s="1460"/>
      <c r="G229" s="1461"/>
      <c r="H229" s="91">
        <f>F231/F230-100%</f>
        <v>3.5040944581984368E-2</v>
      </c>
      <c r="I229" s="1462"/>
      <c r="J229" s="1462"/>
      <c r="K229" s="14"/>
    </row>
    <row r="230" spans="1:11" ht="15" hidden="1" customHeight="1" x14ac:dyDescent="0.25">
      <c r="A230" s="639"/>
      <c r="B230" s="1445" t="s">
        <v>100</v>
      </c>
      <c r="C230" s="1445"/>
      <c r="D230" s="1445"/>
      <c r="E230" s="643">
        <f>722</f>
        <v>722</v>
      </c>
      <c r="F230" s="1373">
        <v>52.51</v>
      </c>
      <c r="G230" s="1374"/>
      <c r="H230" s="639"/>
      <c r="I230" s="1459"/>
      <c r="J230" s="1459"/>
      <c r="K230" s="14"/>
    </row>
    <row r="231" spans="1:11" ht="15" hidden="1" customHeight="1" x14ac:dyDescent="0.25">
      <c r="A231" s="639"/>
      <c r="B231" s="1445" t="s">
        <v>101</v>
      </c>
      <c r="C231" s="1445"/>
      <c r="D231" s="1445"/>
      <c r="E231" s="643">
        <f>559+236</f>
        <v>795</v>
      </c>
      <c r="F231" s="1373">
        <v>54.35</v>
      </c>
      <c r="G231" s="1374"/>
      <c r="H231" s="639"/>
      <c r="I231" s="1459"/>
      <c r="J231" s="1459"/>
      <c r="K231" s="14"/>
    </row>
    <row r="232" spans="1:11" ht="15" hidden="1" customHeight="1" x14ac:dyDescent="0.25">
      <c r="A232" s="633" t="s">
        <v>86</v>
      </c>
      <c r="B232" s="1357" t="s">
        <v>154</v>
      </c>
      <c r="C232" s="1358"/>
      <c r="D232" s="1359"/>
      <c r="E232" s="90">
        <f>E233+E234</f>
        <v>2426</v>
      </c>
      <c r="F232" s="1460"/>
      <c r="G232" s="1461"/>
      <c r="H232" s="91">
        <f>F234/F233-100%</f>
        <v>3.461841070023608E-2</v>
      </c>
      <c r="I232" s="1462"/>
      <c r="J232" s="1462"/>
      <c r="K232" s="166">
        <f>I232+I229</f>
        <v>0</v>
      </c>
    </row>
    <row r="233" spans="1:11" ht="15" hidden="1" customHeight="1" x14ac:dyDescent="0.35">
      <c r="A233" s="639"/>
      <c r="B233" s="1445" t="s">
        <v>100</v>
      </c>
      <c r="C233" s="1445"/>
      <c r="D233" s="1445"/>
      <c r="E233" s="643">
        <v>1249</v>
      </c>
      <c r="F233" s="1373">
        <v>63.55</v>
      </c>
      <c r="G233" s="1374"/>
      <c r="H233" s="639"/>
      <c r="I233" s="1459"/>
      <c r="J233" s="1459"/>
      <c r="K233" s="137"/>
    </row>
    <row r="234" spans="1:11" ht="15" hidden="1" customHeight="1" x14ac:dyDescent="0.25">
      <c r="A234" s="639"/>
      <c r="B234" s="1445" t="s">
        <v>101</v>
      </c>
      <c r="C234" s="1445"/>
      <c r="D234" s="1445"/>
      <c r="E234" s="643">
        <f>860+317</f>
        <v>1177</v>
      </c>
      <c r="F234" s="1373">
        <v>65.75</v>
      </c>
      <c r="G234" s="1374"/>
      <c r="H234" s="639"/>
      <c r="I234" s="1459"/>
      <c r="J234" s="1459"/>
      <c r="K234" s="15"/>
    </row>
    <row r="235" spans="1:11" ht="15" hidden="1" customHeight="1" x14ac:dyDescent="0.25">
      <c r="A235" s="633" t="s">
        <v>87</v>
      </c>
      <c r="B235" s="1357" t="s">
        <v>155</v>
      </c>
      <c r="C235" s="1358"/>
      <c r="D235" s="1359"/>
      <c r="E235" s="657">
        <f>E236+E237</f>
        <v>149022</v>
      </c>
      <c r="F235" s="1460"/>
      <c r="G235" s="1461"/>
      <c r="H235" s="91">
        <f>F237/F236-100%</f>
        <v>3.7676609105180559E-2</v>
      </c>
      <c r="I235" s="1462"/>
      <c r="J235" s="1462"/>
      <c r="K235" s="14"/>
    </row>
    <row r="236" spans="1:11" ht="15" hidden="1" customHeight="1" x14ac:dyDescent="0.25">
      <c r="A236" s="639"/>
      <c r="B236" s="1445" t="s">
        <v>100</v>
      </c>
      <c r="C236" s="1445"/>
      <c r="D236" s="1445"/>
      <c r="E236" s="647">
        <v>75960</v>
      </c>
      <c r="F236" s="1373">
        <v>6.37</v>
      </c>
      <c r="G236" s="1374"/>
      <c r="H236" s="639"/>
      <c r="I236" s="1459"/>
      <c r="J236" s="1459"/>
      <c r="K236" s="14"/>
    </row>
    <row r="237" spans="1:11" ht="15" hidden="1" customHeight="1" x14ac:dyDescent="0.25">
      <c r="A237" s="639"/>
      <c r="B237" s="1445" t="s">
        <v>101</v>
      </c>
      <c r="C237" s="1445"/>
      <c r="D237" s="1445"/>
      <c r="E237" s="647">
        <f>53108+19954</f>
        <v>73062</v>
      </c>
      <c r="F237" s="1373">
        <v>6.61</v>
      </c>
      <c r="G237" s="1374"/>
      <c r="H237" s="639"/>
      <c r="I237" s="1459"/>
      <c r="J237" s="1459"/>
    </row>
    <row r="238" spans="1:11" ht="15" hidden="1" customHeight="1" x14ac:dyDescent="0.25">
      <c r="A238" s="633" t="s">
        <v>97</v>
      </c>
      <c r="B238" s="1357" t="s">
        <v>371</v>
      </c>
      <c r="C238" s="1358"/>
      <c r="D238" s="1359"/>
      <c r="E238" s="657">
        <f>E239+E240</f>
        <v>147.19999999999999</v>
      </c>
      <c r="F238" s="1460"/>
      <c r="G238" s="1461"/>
      <c r="H238" s="91">
        <v>0</v>
      </c>
      <c r="I238" s="1462"/>
      <c r="J238" s="1462"/>
      <c r="K238" s="126"/>
    </row>
    <row r="239" spans="1:11" ht="15" hidden="1" customHeight="1" x14ac:dyDescent="0.25">
      <c r="A239" s="639"/>
      <c r="B239" s="1445" t="s">
        <v>100</v>
      </c>
      <c r="C239" s="1445"/>
      <c r="D239" s="1445"/>
      <c r="E239" s="647">
        <v>73.599999999999994</v>
      </c>
      <c r="F239" s="1373">
        <v>747.07</v>
      </c>
      <c r="G239" s="1374"/>
      <c r="H239" s="639"/>
      <c r="I239" s="1459"/>
      <c r="J239" s="1459"/>
    </row>
    <row r="240" spans="1:11" ht="15" hidden="1" customHeight="1" x14ac:dyDescent="0.25">
      <c r="A240" s="639"/>
      <c r="B240" s="1445" t="s">
        <v>101</v>
      </c>
      <c r="C240" s="1445"/>
      <c r="D240" s="1445"/>
      <c r="E240" s="647">
        <v>73.599999999999994</v>
      </c>
      <c r="F240" s="1373">
        <v>747.07</v>
      </c>
      <c r="G240" s="1374"/>
      <c r="H240" s="639"/>
      <c r="I240" s="1459"/>
      <c r="J240" s="1459"/>
    </row>
    <row r="241" spans="1:11" ht="15" hidden="1" customHeight="1" x14ac:dyDescent="0.25">
      <c r="A241" s="639"/>
      <c r="B241" s="1338" t="s">
        <v>13</v>
      </c>
      <c r="C241" s="1338"/>
      <c r="D241" s="1338"/>
      <c r="E241" s="635" t="s">
        <v>14</v>
      </c>
      <c r="F241" s="1341" t="s">
        <v>14</v>
      </c>
      <c r="G241" s="1341"/>
      <c r="H241" s="635" t="s">
        <v>14</v>
      </c>
      <c r="I241" s="1347">
        <f>I223+I226+I229+I232+I235+I238</f>
        <v>0</v>
      </c>
      <c r="J241" s="1347"/>
    </row>
    <row r="242" spans="1:11" s="41" customFormat="1" ht="19.5" hidden="1" customHeight="1" x14ac:dyDescent="0.25">
      <c r="A242" s="1446" t="s">
        <v>279</v>
      </c>
      <c r="B242" s="1446"/>
      <c r="C242" s="1446"/>
      <c r="D242" s="1446"/>
      <c r="E242" s="1446"/>
      <c r="F242" s="1446"/>
      <c r="G242" s="1446"/>
      <c r="H242" s="1446"/>
      <c r="I242" s="1446"/>
      <c r="J242" s="1446"/>
    </row>
    <row r="243" spans="1:11" s="41" customFormat="1" ht="15" hidden="1" customHeight="1" x14ac:dyDescent="0.2">
      <c r="A243" s="638" t="s">
        <v>1</v>
      </c>
      <c r="B243" s="1346" t="s">
        <v>44</v>
      </c>
      <c r="C243" s="1346"/>
      <c r="D243" s="1346"/>
      <c r="E243" s="1346" t="s">
        <v>58</v>
      </c>
      <c r="F243" s="1346"/>
      <c r="G243" s="1346" t="s">
        <v>59</v>
      </c>
      <c r="H243" s="1346"/>
      <c r="I243" s="1346" t="s">
        <v>60</v>
      </c>
      <c r="J243" s="1346"/>
    </row>
    <row r="244" spans="1:11" ht="15" hidden="1" customHeight="1" x14ac:dyDescent="0.25">
      <c r="A244" s="638">
        <v>1</v>
      </c>
      <c r="B244" s="1346">
        <v>2</v>
      </c>
      <c r="C244" s="1346"/>
      <c r="D244" s="1346"/>
      <c r="E244" s="1346">
        <v>3</v>
      </c>
      <c r="F244" s="1346"/>
      <c r="G244" s="1346">
        <v>4</v>
      </c>
      <c r="H244" s="1346"/>
      <c r="I244" s="1346">
        <v>5</v>
      </c>
      <c r="J244" s="1346"/>
      <c r="K244" s="15"/>
    </row>
    <row r="245" spans="1:11" ht="15" hidden="1" customHeight="1" x14ac:dyDescent="0.25">
      <c r="A245" s="639"/>
      <c r="B245" s="1387"/>
      <c r="C245" s="1444"/>
      <c r="D245" s="1388"/>
      <c r="E245" s="1445"/>
      <c r="F245" s="1445"/>
      <c r="G245" s="1445"/>
      <c r="H245" s="1445"/>
      <c r="I245" s="1445"/>
      <c r="J245" s="1445"/>
      <c r="K245" s="14"/>
    </row>
    <row r="246" spans="1:11" ht="15" hidden="1" customHeight="1" x14ac:dyDescent="0.25">
      <c r="A246" s="635"/>
      <c r="B246" s="1338" t="s">
        <v>13</v>
      </c>
      <c r="C246" s="1338"/>
      <c r="D246" s="1338"/>
      <c r="E246" s="1341" t="s">
        <v>14</v>
      </c>
      <c r="F246" s="1341"/>
      <c r="G246" s="1341" t="s">
        <v>14</v>
      </c>
      <c r="H246" s="1341"/>
      <c r="I246" s="1341"/>
      <c r="J246" s="1341"/>
    </row>
    <row r="247" spans="1:11" ht="16.5" hidden="1" customHeight="1" x14ac:dyDescent="0.25">
      <c r="A247" s="1446" t="s">
        <v>275</v>
      </c>
      <c r="B247" s="1446"/>
      <c r="C247" s="1446"/>
      <c r="D247" s="1446"/>
      <c r="E247" s="1446"/>
      <c r="F247" s="1446"/>
      <c r="G247" s="1446"/>
      <c r="H247" s="1446"/>
      <c r="I247" s="1446"/>
      <c r="J247" s="1446"/>
    </row>
    <row r="248" spans="1:11" ht="15" hidden="1" customHeight="1" x14ac:dyDescent="0.25">
      <c r="A248" s="1414" t="s">
        <v>1</v>
      </c>
      <c r="B248" s="1416" t="s">
        <v>15</v>
      </c>
      <c r="C248" s="1417"/>
      <c r="D248" s="1418"/>
      <c r="E248" s="1414" t="s">
        <v>61</v>
      </c>
      <c r="F248" s="1414" t="s">
        <v>62</v>
      </c>
      <c r="G248" s="1346" t="s">
        <v>63</v>
      </c>
      <c r="H248" s="1346"/>
      <c r="I248" s="1346"/>
      <c r="J248" s="1346"/>
    </row>
    <row r="249" spans="1:11" ht="24" hidden="1" customHeight="1" x14ac:dyDescent="0.25">
      <c r="A249" s="1415"/>
      <c r="B249" s="1419"/>
      <c r="C249" s="1420"/>
      <c r="D249" s="1421"/>
      <c r="E249" s="1415"/>
      <c r="F249" s="1415"/>
      <c r="G249" s="638" t="s">
        <v>298</v>
      </c>
      <c r="H249" s="638" t="s">
        <v>295</v>
      </c>
      <c r="I249" s="634" t="s">
        <v>296</v>
      </c>
      <c r="J249" s="638" t="s">
        <v>297</v>
      </c>
    </row>
    <row r="250" spans="1:11" ht="11.25" hidden="1" customHeight="1" x14ac:dyDescent="0.25">
      <c r="A250" s="638">
        <v>1</v>
      </c>
      <c r="B250" s="1346">
        <v>2</v>
      </c>
      <c r="C250" s="1346"/>
      <c r="D250" s="1346"/>
      <c r="E250" s="638">
        <v>3</v>
      </c>
      <c r="F250" s="638">
        <v>4</v>
      </c>
      <c r="G250" s="1344">
        <v>5</v>
      </c>
      <c r="H250" s="1392"/>
      <c r="I250" s="1392"/>
      <c r="J250" s="1345"/>
    </row>
    <row r="251" spans="1:11" ht="37.5" hidden="1" customHeight="1" x14ac:dyDescent="0.25">
      <c r="A251" s="1319" t="s">
        <v>745</v>
      </c>
      <c r="B251" s="1320"/>
      <c r="C251" s="1320"/>
      <c r="D251" s="1320"/>
      <c r="E251" s="1320"/>
      <c r="F251" s="1320"/>
      <c r="G251" s="1320"/>
      <c r="H251" s="1320"/>
      <c r="I251" s="1320"/>
      <c r="J251" s="1321"/>
    </row>
    <row r="252" spans="1:11" ht="2.25" hidden="1" customHeight="1" x14ac:dyDescent="0.25">
      <c r="A252" s="639" t="s">
        <v>75</v>
      </c>
      <c r="B252" s="1040"/>
      <c r="C252" s="1040"/>
      <c r="D252" s="1040"/>
      <c r="E252" s="607"/>
      <c r="F252" s="607"/>
      <c r="G252" s="607"/>
      <c r="H252" s="607"/>
      <c r="I252" s="163"/>
      <c r="J252" s="604"/>
    </row>
    <row r="253" spans="1:11" ht="30" hidden="1" customHeight="1" x14ac:dyDescent="0.25">
      <c r="A253" s="639">
        <v>1</v>
      </c>
      <c r="B253" s="1040" t="s">
        <v>1177</v>
      </c>
      <c r="C253" s="1040"/>
      <c r="D253" s="1040"/>
      <c r="E253" s="639"/>
      <c r="F253" s="639">
        <v>1</v>
      </c>
      <c r="G253" s="639" t="s">
        <v>299</v>
      </c>
      <c r="H253" s="639">
        <v>1</v>
      </c>
      <c r="I253" s="163">
        <v>0</v>
      </c>
      <c r="J253" s="604">
        <f>H253*I253</f>
        <v>0</v>
      </c>
      <c r="K253" s="165">
        <v>2023</v>
      </c>
    </row>
    <row r="254" spans="1:11" ht="30" hidden="1" customHeight="1" x14ac:dyDescent="0.25">
      <c r="A254" s="621">
        <v>2</v>
      </c>
      <c r="B254" s="1017"/>
      <c r="C254" s="1018"/>
      <c r="D254" s="1019"/>
      <c r="E254" s="639"/>
      <c r="F254" s="639">
        <v>1</v>
      </c>
      <c r="G254" s="639" t="s">
        <v>299</v>
      </c>
      <c r="H254" s="639">
        <v>1</v>
      </c>
      <c r="I254" s="163">
        <v>0</v>
      </c>
      <c r="J254" s="255">
        <f>I254</f>
        <v>0</v>
      </c>
      <c r="K254" s="251"/>
    </row>
    <row r="255" spans="1:11" ht="30" hidden="1" customHeight="1" x14ac:dyDescent="0.25">
      <c r="A255" s="639"/>
      <c r="B255" s="1026"/>
      <c r="C255" s="1052"/>
      <c r="D255" s="1027"/>
      <c r="E255" s="639"/>
      <c r="F255" s="639">
        <v>1</v>
      </c>
      <c r="G255" s="639" t="s">
        <v>299</v>
      </c>
      <c r="H255" s="639">
        <v>1</v>
      </c>
      <c r="I255" s="163">
        <v>0</v>
      </c>
      <c r="J255" s="260">
        <f>I255</f>
        <v>0</v>
      </c>
      <c r="K255" s="251"/>
    </row>
    <row r="256" spans="1:11" ht="66" hidden="1" customHeight="1" x14ac:dyDescent="0.25">
      <c r="A256" s="1456" t="s">
        <v>560</v>
      </c>
      <c r="B256" s="1457"/>
      <c r="C256" s="1457"/>
      <c r="D256" s="1457"/>
      <c r="E256" s="1457"/>
      <c r="F256" s="1457"/>
      <c r="G256" s="1457"/>
      <c r="H256" s="1457"/>
      <c r="I256" s="1457"/>
      <c r="J256" s="1458"/>
    </row>
    <row r="257" spans="1:12" ht="41.25" hidden="1" customHeight="1" x14ac:dyDescent="0.25">
      <c r="A257" s="639">
        <v>2</v>
      </c>
      <c r="B257" s="1040" t="s">
        <v>552</v>
      </c>
      <c r="C257" s="1040"/>
      <c r="D257" s="1040"/>
      <c r="E257" s="639"/>
      <c r="F257" s="639">
        <v>1</v>
      </c>
      <c r="G257" s="639" t="s">
        <v>299</v>
      </c>
      <c r="H257" s="639">
        <v>1</v>
      </c>
      <c r="I257" s="163"/>
      <c r="J257" s="604">
        <f>I257</f>
        <v>0</v>
      </c>
    </row>
    <row r="258" spans="1:12" ht="42" hidden="1" customHeight="1" x14ac:dyDescent="0.25">
      <c r="A258" s="639"/>
      <c r="B258" s="1040"/>
      <c r="C258" s="1040"/>
      <c r="D258" s="1040"/>
      <c r="E258" s="639"/>
      <c r="F258" s="639"/>
      <c r="G258" s="639"/>
      <c r="H258" s="639"/>
      <c r="I258" s="163"/>
      <c r="J258" s="604"/>
      <c r="K258" s="157"/>
      <c r="L258" s="133"/>
    </row>
    <row r="259" spans="1:12" ht="45.75" hidden="1" customHeight="1" x14ac:dyDescent="0.25">
      <c r="A259" s="639"/>
      <c r="B259" s="1040"/>
      <c r="C259" s="1040"/>
      <c r="D259" s="1040"/>
      <c r="E259" s="639"/>
      <c r="F259" s="639"/>
      <c r="G259" s="639"/>
      <c r="H259" s="639"/>
      <c r="I259" s="163"/>
      <c r="J259" s="604"/>
      <c r="K259" s="157"/>
      <c r="L259" s="133"/>
    </row>
    <row r="260" spans="1:12" ht="24" hidden="1" customHeight="1" x14ac:dyDescent="0.25">
      <c r="A260" s="639"/>
      <c r="B260" s="1040"/>
      <c r="C260" s="1040"/>
      <c r="D260" s="1040"/>
      <c r="E260" s="639"/>
      <c r="F260" s="639"/>
      <c r="G260" s="639"/>
      <c r="H260" s="639"/>
      <c r="I260" s="163"/>
      <c r="J260" s="604"/>
    </row>
    <row r="261" spans="1:12" ht="30" hidden="1" customHeight="1" x14ac:dyDescent="0.25">
      <c r="A261" s="639"/>
      <c r="B261" s="1450"/>
      <c r="C261" s="1450"/>
      <c r="D261" s="1450"/>
      <c r="E261" s="639"/>
      <c r="F261" s="639"/>
      <c r="G261" s="639"/>
      <c r="H261" s="639"/>
      <c r="I261" s="162"/>
      <c r="J261" s="424"/>
      <c r="K261" s="11"/>
      <c r="L261" s="11"/>
    </row>
    <row r="262" spans="1:12" ht="29.25" hidden="1" customHeight="1" x14ac:dyDescent="0.25">
      <c r="A262" s="639"/>
      <c r="B262" s="1040"/>
      <c r="C262" s="1040"/>
      <c r="D262" s="1040"/>
      <c r="E262" s="639"/>
      <c r="F262" s="639"/>
      <c r="G262" s="639"/>
      <c r="H262" s="639"/>
      <c r="I262" s="163"/>
      <c r="J262" s="604"/>
      <c r="K262" s="11"/>
      <c r="L262" s="11"/>
    </row>
    <row r="263" spans="1:12" ht="23.25" hidden="1" customHeight="1" x14ac:dyDescent="0.25">
      <c r="A263" s="639"/>
      <c r="B263" s="1040"/>
      <c r="C263" s="1040"/>
      <c r="D263" s="1040"/>
      <c r="E263" s="639"/>
      <c r="F263" s="639"/>
      <c r="G263" s="639"/>
      <c r="H263" s="639"/>
      <c r="I263" s="163"/>
      <c r="J263" s="604"/>
      <c r="K263" s="11"/>
      <c r="L263" s="11"/>
    </row>
    <row r="264" spans="1:12" ht="46.5" hidden="1" customHeight="1" x14ac:dyDescent="0.25">
      <c r="A264" s="639"/>
      <c r="B264" s="1040"/>
      <c r="C264" s="1040"/>
      <c r="D264" s="1040"/>
      <c r="E264" s="639"/>
      <c r="F264" s="639"/>
      <c r="G264" s="639"/>
      <c r="H264" s="639"/>
      <c r="I264" s="163"/>
      <c r="J264" s="604"/>
    </row>
    <row r="265" spans="1:12" ht="25.5" hidden="1" customHeight="1" x14ac:dyDescent="0.25">
      <c r="A265" s="639"/>
      <c r="B265" s="1017"/>
      <c r="C265" s="1451"/>
      <c r="D265" s="1452"/>
      <c r="E265" s="639"/>
      <c r="F265" s="639"/>
      <c r="G265" s="639"/>
      <c r="H265" s="639"/>
      <c r="I265" s="163"/>
      <c r="J265" s="604"/>
    </row>
    <row r="266" spans="1:12" ht="38.25" hidden="1" customHeight="1" x14ac:dyDescent="0.25">
      <c r="A266" s="639"/>
      <c r="B266" s="1040"/>
      <c r="C266" s="1040"/>
      <c r="D266" s="1040"/>
      <c r="E266" s="639"/>
      <c r="F266" s="639"/>
      <c r="G266" s="639"/>
      <c r="H266" s="639"/>
      <c r="I266" s="163"/>
      <c r="J266" s="604"/>
    </row>
    <row r="267" spans="1:12" ht="38.25" hidden="1" customHeight="1" x14ac:dyDescent="0.25">
      <c r="A267" s="639"/>
      <c r="B267" s="1017"/>
      <c r="C267" s="1018"/>
      <c r="D267" s="1019"/>
      <c r="E267" s="639"/>
      <c r="F267" s="639"/>
      <c r="G267" s="639"/>
      <c r="H267" s="639"/>
      <c r="I267" s="163"/>
      <c r="J267" s="604"/>
    </row>
    <row r="268" spans="1:12" ht="38.25" hidden="1" customHeight="1" x14ac:dyDescent="0.25">
      <c r="A268" s="639"/>
      <c r="B268" s="1017"/>
      <c r="C268" s="1018"/>
      <c r="D268" s="1019"/>
      <c r="E268" s="639"/>
      <c r="F268" s="639"/>
      <c r="G268" s="639"/>
      <c r="H268" s="639"/>
      <c r="I268" s="163"/>
      <c r="J268" s="604"/>
    </row>
    <row r="269" spans="1:12" ht="38.25" hidden="1" customHeight="1" x14ac:dyDescent="0.25">
      <c r="A269" s="639"/>
      <c r="B269" s="1026"/>
      <c r="C269" s="1052"/>
      <c r="D269" s="1027"/>
      <c r="E269" s="639"/>
      <c r="F269" s="639"/>
      <c r="G269" s="639"/>
      <c r="H269" s="639"/>
      <c r="I269" s="163"/>
      <c r="J269" s="604"/>
    </row>
    <row r="270" spans="1:12" ht="38.25" hidden="1" customHeight="1" x14ac:dyDescent="0.25">
      <c r="A270" s="639"/>
      <c r="B270" s="1026"/>
      <c r="C270" s="1052"/>
      <c r="D270" s="1027"/>
      <c r="E270" s="639"/>
      <c r="F270" s="639"/>
      <c r="G270" s="639"/>
      <c r="H270" s="639"/>
      <c r="I270" s="163"/>
      <c r="J270" s="604"/>
    </row>
    <row r="271" spans="1:12" hidden="1" x14ac:dyDescent="0.25">
      <c r="A271" s="635"/>
      <c r="B271" s="1338" t="s">
        <v>13</v>
      </c>
      <c r="C271" s="1338"/>
      <c r="D271" s="1338"/>
      <c r="E271" s="635" t="s">
        <v>14</v>
      </c>
      <c r="F271" s="635" t="s">
        <v>14</v>
      </c>
      <c r="G271" s="1396">
        <f>J257+J254+J253+J255</f>
        <v>0</v>
      </c>
      <c r="H271" s="1397"/>
      <c r="I271" s="1397"/>
      <c r="J271" s="1397"/>
    </row>
    <row r="272" spans="1:12" ht="17.25" hidden="1" customHeight="1" x14ac:dyDescent="0.25">
      <c r="A272" s="1446" t="s">
        <v>280</v>
      </c>
      <c r="B272" s="1446"/>
      <c r="C272" s="1446"/>
      <c r="D272" s="1446"/>
      <c r="E272" s="1446"/>
      <c r="F272" s="1446"/>
      <c r="G272" s="1446"/>
      <c r="H272" s="1446"/>
      <c r="I272" s="1446"/>
      <c r="J272" s="1446"/>
    </row>
    <row r="273" spans="1:11" ht="17.25" hidden="1" customHeight="1" x14ac:dyDescent="0.25">
      <c r="A273" s="1414" t="s">
        <v>1</v>
      </c>
      <c r="B273" s="1416" t="s">
        <v>15</v>
      </c>
      <c r="C273" s="1417"/>
      <c r="D273" s="1418"/>
      <c r="E273" s="1416" t="s">
        <v>64</v>
      </c>
      <c r="F273" s="1418"/>
      <c r="G273" s="1346" t="s">
        <v>65</v>
      </c>
      <c r="H273" s="1346"/>
      <c r="I273" s="1346"/>
      <c r="J273" s="1346"/>
    </row>
    <row r="274" spans="1:11" ht="27.75" hidden="1" customHeight="1" x14ac:dyDescent="0.25">
      <c r="A274" s="1415"/>
      <c r="B274" s="1419"/>
      <c r="C274" s="1420"/>
      <c r="D274" s="1421"/>
      <c r="E274" s="1419"/>
      <c r="F274" s="1421"/>
      <c r="G274" s="638" t="s">
        <v>298</v>
      </c>
      <c r="H274" s="638" t="s">
        <v>295</v>
      </c>
      <c r="I274" s="638" t="s">
        <v>296</v>
      </c>
      <c r="J274" s="638" t="s">
        <v>297</v>
      </c>
    </row>
    <row r="275" spans="1:11" ht="14.25" hidden="1" customHeight="1" x14ac:dyDescent="0.25">
      <c r="A275" s="638">
        <v>1</v>
      </c>
      <c r="B275" s="1346">
        <v>2</v>
      </c>
      <c r="C275" s="1346"/>
      <c r="D275" s="1346"/>
      <c r="E275" s="1344">
        <v>3</v>
      </c>
      <c r="F275" s="1345"/>
      <c r="G275" s="1346">
        <v>4</v>
      </c>
      <c r="H275" s="1346"/>
      <c r="I275" s="1346"/>
      <c r="J275" s="1346"/>
    </row>
    <row r="276" spans="1:11" ht="51.75" hidden="1" customHeight="1" x14ac:dyDescent="0.25">
      <c r="A276" s="1453" t="s">
        <v>509</v>
      </c>
      <c r="B276" s="1454"/>
      <c r="C276" s="1454"/>
      <c r="D276" s="1454"/>
      <c r="E276" s="1454"/>
      <c r="F276" s="1454"/>
      <c r="G276" s="1454"/>
      <c r="H276" s="1454"/>
      <c r="I276" s="1454"/>
      <c r="J276" s="1455"/>
    </row>
    <row r="277" spans="1:11" ht="24" hidden="1" customHeight="1" x14ac:dyDescent="0.25">
      <c r="A277" s="639">
        <v>1</v>
      </c>
      <c r="B277" s="1322" t="s">
        <v>514</v>
      </c>
      <c r="C277" s="1322"/>
      <c r="D277" s="1322"/>
      <c r="E277" s="1387">
        <v>1</v>
      </c>
      <c r="F277" s="1388"/>
      <c r="G277" s="639"/>
      <c r="H277" s="639">
        <v>1</v>
      </c>
      <c r="I277" s="161">
        <v>0</v>
      </c>
      <c r="J277" s="604">
        <f t="shared" ref="J277" si="14">H277*I277</f>
        <v>0</v>
      </c>
    </row>
    <row r="278" spans="1:11" ht="33.75" hidden="1" customHeight="1" x14ac:dyDescent="0.25">
      <c r="A278" s="1333" t="s">
        <v>746</v>
      </c>
      <c r="B278" s="1334"/>
      <c r="C278" s="1334"/>
      <c r="D278" s="1334"/>
      <c r="E278" s="1334"/>
      <c r="F278" s="1334"/>
      <c r="G278" s="1334"/>
      <c r="H278" s="1334"/>
      <c r="I278" s="1334"/>
      <c r="J278" s="1335"/>
    </row>
    <row r="279" spans="1:11" ht="22.5" hidden="1" customHeight="1" x14ac:dyDescent="0.25">
      <c r="A279" s="639">
        <v>1</v>
      </c>
      <c r="B279" s="1447" t="s">
        <v>516</v>
      </c>
      <c r="C279" s="1448"/>
      <c r="D279" s="1449"/>
      <c r="E279" s="1387">
        <v>1</v>
      </c>
      <c r="F279" s="1388"/>
      <c r="G279" s="639"/>
      <c r="H279" s="639">
        <v>1</v>
      </c>
      <c r="I279" s="161">
        <v>0</v>
      </c>
      <c r="J279" s="101">
        <v>0</v>
      </c>
    </row>
    <row r="280" spans="1:11" ht="30" hidden="1" customHeight="1" x14ac:dyDescent="0.25">
      <c r="A280" s="639">
        <v>2</v>
      </c>
      <c r="B280" s="1367" t="s">
        <v>517</v>
      </c>
      <c r="C280" s="1367"/>
      <c r="D280" s="1367"/>
      <c r="E280" s="1387">
        <v>1</v>
      </c>
      <c r="F280" s="1388"/>
      <c r="G280" s="639"/>
      <c r="H280" s="639">
        <v>1</v>
      </c>
      <c r="I280" s="161">
        <v>0</v>
      </c>
      <c r="J280" s="101">
        <v>0</v>
      </c>
    </row>
    <row r="281" spans="1:11" ht="30" hidden="1" customHeight="1" x14ac:dyDescent="0.25">
      <c r="A281" s="639">
        <v>3</v>
      </c>
      <c r="B281" s="1367" t="s">
        <v>720</v>
      </c>
      <c r="C281" s="1367"/>
      <c r="D281" s="1367"/>
      <c r="E281" s="1026">
        <v>1</v>
      </c>
      <c r="F281" s="1027"/>
      <c r="G281" s="607"/>
      <c r="H281" s="607">
        <v>1</v>
      </c>
      <c r="I281" s="161">
        <v>0</v>
      </c>
      <c r="J281" s="101">
        <v>0</v>
      </c>
      <c r="K281" s="164"/>
    </row>
    <row r="282" spans="1:11" ht="24.75" hidden="1" customHeight="1" x14ac:dyDescent="0.25">
      <c r="A282" s="639">
        <v>4</v>
      </c>
      <c r="B282" s="1447" t="s">
        <v>1178</v>
      </c>
      <c r="C282" s="1448"/>
      <c r="D282" s="1449"/>
      <c r="E282" s="1387">
        <v>1</v>
      </c>
      <c r="F282" s="1388"/>
      <c r="G282" s="639"/>
      <c r="H282" s="639">
        <v>1</v>
      </c>
      <c r="I282" s="161">
        <f>6000-6000</f>
        <v>0</v>
      </c>
      <c r="J282" s="101">
        <v>0</v>
      </c>
    </row>
    <row r="283" spans="1:11" ht="48" hidden="1" customHeight="1" x14ac:dyDescent="0.25">
      <c r="A283" s="639"/>
      <c r="B283" s="1386"/>
      <c r="C283" s="1386"/>
      <c r="D283" s="1386"/>
      <c r="E283" s="1387"/>
      <c r="F283" s="1388"/>
      <c r="G283" s="639"/>
      <c r="H283" s="639"/>
      <c r="I283" s="161"/>
      <c r="J283" s="101"/>
    </row>
    <row r="284" spans="1:11" ht="30" hidden="1" customHeight="1" x14ac:dyDescent="0.25">
      <c r="A284" s="639"/>
      <c r="B284" s="1386"/>
      <c r="C284" s="1386"/>
      <c r="D284" s="1386"/>
      <c r="E284" s="1387"/>
      <c r="F284" s="1388"/>
      <c r="G284" s="639"/>
      <c r="H284" s="643"/>
      <c r="I284" s="161"/>
      <c r="J284" s="101"/>
    </row>
    <row r="285" spans="1:11" ht="30" hidden="1" customHeight="1" x14ac:dyDescent="0.25">
      <c r="A285" s="639"/>
      <c r="B285" s="1040"/>
      <c r="C285" s="1040"/>
      <c r="D285" s="1040"/>
      <c r="E285" s="1387"/>
      <c r="F285" s="1388"/>
      <c r="G285" s="639"/>
      <c r="H285" s="639"/>
      <c r="I285" s="161"/>
      <c r="J285" s="101"/>
    </row>
    <row r="286" spans="1:11" ht="30" hidden="1" customHeight="1" x14ac:dyDescent="0.25">
      <c r="A286" s="1333" t="s">
        <v>747</v>
      </c>
      <c r="B286" s="1334"/>
      <c r="C286" s="1334"/>
      <c r="D286" s="1334"/>
      <c r="E286" s="1334"/>
      <c r="F286" s="1334"/>
      <c r="G286" s="1334"/>
      <c r="H286" s="1334"/>
      <c r="I286" s="1334"/>
      <c r="J286" s="1335"/>
    </row>
    <row r="287" spans="1:11" ht="30" hidden="1" customHeight="1" x14ac:dyDescent="0.25">
      <c r="A287" s="639">
        <v>5</v>
      </c>
      <c r="B287" s="1386" t="s">
        <v>721</v>
      </c>
      <c r="C287" s="1386"/>
      <c r="D287" s="1386"/>
      <c r="E287" s="1387">
        <v>1</v>
      </c>
      <c r="F287" s="1388"/>
      <c r="G287" s="639"/>
      <c r="H287" s="639">
        <v>1</v>
      </c>
      <c r="I287" s="92">
        <v>0</v>
      </c>
      <c r="J287" s="101">
        <v>0</v>
      </c>
    </row>
    <row r="288" spans="1:11" ht="30" hidden="1" customHeight="1" x14ac:dyDescent="0.25">
      <c r="A288" s="639">
        <v>5</v>
      </c>
      <c r="B288" s="1386"/>
      <c r="C288" s="1386"/>
      <c r="D288" s="1386"/>
      <c r="E288" s="1387"/>
      <c r="F288" s="1388"/>
      <c r="G288" s="639"/>
      <c r="H288" s="639"/>
      <c r="I288" s="92"/>
      <c r="J288" s="101"/>
    </row>
    <row r="289" spans="1:11" ht="30" hidden="1" customHeight="1" x14ac:dyDescent="0.25">
      <c r="A289" s="633" t="s">
        <v>86</v>
      </c>
      <c r="B289" s="1357" t="s">
        <v>349</v>
      </c>
      <c r="C289" s="1358"/>
      <c r="D289" s="1359"/>
      <c r="E289" s="1349" t="s">
        <v>74</v>
      </c>
      <c r="F289" s="1350"/>
      <c r="G289" s="146" t="s">
        <v>74</v>
      </c>
      <c r="H289" s="146" t="s">
        <v>74</v>
      </c>
      <c r="I289" s="316" t="s">
        <v>74</v>
      </c>
      <c r="J289" s="319">
        <f>J290+J291</f>
        <v>0</v>
      </c>
      <c r="K289" s="1" t="s">
        <v>478</v>
      </c>
    </row>
    <row r="290" spans="1:11" ht="30" hidden="1" customHeight="1" x14ac:dyDescent="0.25">
      <c r="A290" s="607" t="s">
        <v>473</v>
      </c>
      <c r="B290" s="1017"/>
      <c r="C290" s="1018"/>
      <c r="D290" s="1019"/>
      <c r="E290" s="1034"/>
      <c r="F290" s="1035"/>
      <c r="G290" s="616"/>
      <c r="H290" s="616"/>
      <c r="I290" s="223"/>
      <c r="J290" s="604"/>
    </row>
    <row r="291" spans="1:11" ht="30" hidden="1" customHeight="1" x14ac:dyDescent="0.25">
      <c r="A291" s="607" t="s">
        <v>474</v>
      </c>
      <c r="B291" s="1017"/>
      <c r="C291" s="1018"/>
      <c r="D291" s="1019"/>
      <c r="E291" s="608"/>
      <c r="F291" s="609"/>
      <c r="G291" s="616"/>
      <c r="H291" s="616"/>
      <c r="I291" s="223"/>
      <c r="J291" s="604"/>
    </row>
    <row r="292" spans="1:11" ht="55.5" hidden="1" customHeight="1" x14ac:dyDescent="0.25">
      <c r="A292" s="633" t="s">
        <v>87</v>
      </c>
      <c r="B292" s="1357" t="s">
        <v>475</v>
      </c>
      <c r="C292" s="1358"/>
      <c r="D292" s="1359"/>
      <c r="E292" s="1349" t="s">
        <v>74</v>
      </c>
      <c r="F292" s="1350"/>
      <c r="G292" s="146" t="s">
        <v>74</v>
      </c>
      <c r="H292" s="146" t="s">
        <v>74</v>
      </c>
      <c r="I292" s="316" t="s">
        <v>74</v>
      </c>
      <c r="J292" s="227">
        <f>J293</f>
        <v>0</v>
      </c>
    </row>
    <row r="293" spans="1:11" ht="30" hidden="1" customHeight="1" x14ac:dyDescent="0.25">
      <c r="A293" s="607" t="s">
        <v>476</v>
      </c>
      <c r="B293" s="1017"/>
      <c r="C293" s="1018"/>
      <c r="D293" s="1019"/>
      <c r="E293" s="1034"/>
      <c r="F293" s="1035"/>
      <c r="G293" s="616"/>
      <c r="H293" s="616"/>
      <c r="I293" s="223"/>
      <c r="J293" s="226"/>
    </row>
    <row r="294" spans="1:11" ht="54.75" hidden="1" customHeight="1" x14ac:dyDescent="0.25">
      <c r="A294" s="633" t="s">
        <v>97</v>
      </c>
      <c r="B294" s="1357" t="s">
        <v>479</v>
      </c>
      <c r="C294" s="1358"/>
      <c r="D294" s="1359"/>
      <c r="E294" s="1349" t="s">
        <v>74</v>
      </c>
      <c r="F294" s="1350"/>
      <c r="G294" s="146" t="s">
        <v>74</v>
      </c>
      <c r="H294" s="146" t="s">
        <v>74</v>
      </c>
      <c r="I294" s="316" t="s">
        <v>74</v>
      </c>
      <c r="J294" s="227">
        <f>J295+J296+J297+J298</f>
        <v>0</v>
      </c>
    </row>
    <row r="295" spans="1:11" ht="30" hidden="1" customHeight="1" x14ac:dyDescent="0.25">
      <c r="A295" s="607" t="s">
        <v>480</v>
      </c>
      <c r="B295" s="1099"/>
      <c r="C295" s="1100"/>
      <c r="D295" s="1101"/>
      <c r="E295" s="1034"/>
      <c r="F295" s="1035"/>
      <c r="G295" s="616"/>
      <c r="H295" s="616"/>
      <c r="I295" s="223"/>
      <c r="J295" s="604"/>
    </row>
    <row r="296" spans="1:11" ht="30" hidden="1" customHeight="1" x14ac:dyDescent="0.25">
      <c r="A296" s="607" t="s">
        <v>481</v>
      </c>
      <c r="B296" s="1099"/>
      <c r="C296" s="1100"/>
      <c r="D296" s="1101"/>
      <c r="E296" s="1034"/>
      <c r="F296" s="1035"/>
      <c r="G296" s="616"/>
      <c r="H296" s="616"/>
      <c r="I296" s="223"/>
      <c r="J296" s="604"/>
    </row>
    <row r="297" spans="1:11" ht="30" hidden="1" customHeight="1" x14ac:dyDescent="0.25">
      <c r="A297" s="607" t="s">
        <v>482</v>
      </c>
      <c r="B297" s="1099"/>
      <c r="C297" s="1100"/>
      <c r="D297" s="1101"/>
      <c r="E297" s="1034"/>
      <c r="F297" s="1035"/>
      <c r="G297" s="616"/>
      <c r="H297" s="616"/>
      <c r="I297" s="223"/>
      <c r="J297" s="604"/>
    </row>
    <row r="298" spans="1:11" ht="30" hidden="1" customHeight="1" x14ac:dyDescent="0.25">
      <c r="A298" s="607" t="s">
        <v>483</v>
      </c>
      <c r="B298" s="1367"/>
      <c r="C298" s="1367"/>
      <c r="D298" s="1367"/>
      <c r="E298" s="1387"/>
      <c r="F298" s="1388"/>
      <c r="G298" s="639"/>
      <c r="H298" s="639"/>
      <c r="I298" s="92"/>
      <c r="J298" s="101"/>
    </row>
    <row r="299" spans="1:11" ht="30" hidden="1" customHeight="1" x14ac:dyDescent="0.25">
      <c r="A299" s="1074" t="s">
        <v>375</v>
      </c>
      <c r="B299" s="1074"/>
      <c r="C299" s="1074"/>
      <c r="D299" s="1074"/>
      <c r="E299" s="1074"/>
      <c r="F299" s="1074"/>
      <c r="G299" s="1074"/>
      <c r="H299" s="1074"/>
      <c r="I299" s="1074"/>
      <c r="J299" s="1074"/>
    </row>
    <row r="300" spans="1:11" ht="30" hidden="1" customHeight="1" x14ac:dyDescent="0.25">
      <c r="A300" s="638" t="s">
        <v>1</v>
      </c>
      <c r="B300" s="1346" t="s">
        <v>44</v>
      </c>
      <c r="C300" s="1346"/>
      <c r="D300" s="1346"/>
      <c r="E300" s="1346" t="s">
        <v>58</v>
      </c>
      <c r="F300" s="1346"/>
      <c r="G300" s="1344" t="s">
        <v>66</v>
      </c>
      <c r="H300" s="1345"/>
      <c r="I300" s="1346" t="s">
        <v>60</v>
      </c>
      <c r="J300" s="1346"/>
    </row>
    <row r="301" spans="1:11" ht="18" hidden="1" customHeight="1" x14ac:dyDescent="0.25">
      <c r="A301" s="638">
        <v>1</v>
      </c>
      <c r="B301" s="1346">
        <v>2</v>
      </c>
      <c r="C301" s="1346"/>
      <c r="D301" s="1346"/>
      <c r="E301" s="1346">
        <v>3</v>
      </c>
      <c r="F301" s="1346"/>
      <c r="G301" s="1346">
        <v>4</v>
      </c>
      <c r="H301" s="1346"/>
      <c r="I301" s="1346">
        <v>5</v>
      </c>
      <c r="J301" s="1346"/>
    </row>
    <row r="302" spans="1:11" ht="36.75" hidden="1" customHeight="1" x14ac:dyDescent="0.25">
      <c r="A302" s="1333"/>
      <c r="B302" s="1334"/>
      <c r="C302" s="1334"/>
      <c r="D302" s="1334"/>
      <c r="E302" s="1334"/>
      <c r="F302" s="1334"/>
      <c r="G302" s="1334"/>
      <c r="H302" s="1334"/>
      <c r="I302" s="1334"/>
      <c r="J302" s="1335"/>
    </row>
    <row r="303" spans="1:11" ht="36.75" hidden="1" customHeight="1" x14ac:dyDescent="0.25">
      <c r="A303" s="645">
        <v>1</v>
      </c>
      <c r="B303" s="1257"/>
      <c r="C303" s="1257"/>
      <c r="D303" s="1257"/>
      <c r="E303" s="1353"/>
      <c r="F303" s="1354"/>
      <c r="G303" s="1355"/>
      <c r="H303" s="1356"/>
      <c r="I303" s="1355"/>
      <c r="J303" s="1356"/>
      <c r="K303" s="1">
        <v>57077</v>
      </c>
    </row>
    <row r="304" spans="1:11" ht="36.75" hidden="1" customHeight="1" x14ac:dyDescent="0.25">
      <c r="A304" s="645">
        <v>2</v>
      </c>
      <c r="B304" s="1257"/>
      <c r="C304" s="1257"/>
      <c r="D304" s="1257"/>
      <c r="E304" s="1353"/>
      <c r="F304" s="1354"/>
      <c r="G304" s="1355"/>
      <c r="H304" s="1356"/>
      <c r="I304" s="1355"/>
      <c r="J304" s="1356"/>
      <c r="K304" s="1">
        <v>50925</v>
      </c>
    </row>
    <row r="305" spans="1:10" s="267" customFormat="1" ht="36.75" hidden="1" customHeight="1" x14ac:dyDescent="0.25">
      <c r="A305" s="653">
        <v>3</v>
      </c>
      <c r="B305" s="1099"/>
      <c r="C305" s="1100"/>
      <c r="D305" s="1101"/>
      <c r="E305" s="1360"/>
      <c r="F305" s="1361"/>
      <c r="G305" s="1382"/>
      <c r="H305" s="1383"/>
      <c r="I305" s="1375"/>
      <c r="J305" s="1376"/>
    </row>
    <row r="306" spans="1:10" ht="30" hidden="1" customHeight="1" x14ac:dyDescent="0.25">
      <c r="A306" s="639"/>
      <c r="B306" s="1387"/>
      <c r="C306" s="1444"/>
      <c r="D306" s="1388"/>
      <c r="E306" s="1445"/>
      <c r="F306" s="1445"/>
      <c r="G306" s="1445"/>
      <c r="H306" s="1445"/>
      <c r="I306" s="1355"/>
      <c r="J306" s="1356"/>
    </row>
    <row r="307" spans="1:10" ht="30" hidden="1" customHeight="1" x14ac:dyDescent="0.25">
      <c r="A307" s="635"/>
      <c r="B307" s="1338" t="s">
        <v>13</v>
      </c>
      <c r="C307" s="1338"/>
      <c r="D307" s="1338"/>
      <c r="E307" s="1341" t="s">
        <v>14</v>
      </c>
      <c r="F307" s="1341"/>
      <c r="G307" s="1341" t="s">
        <v>14</v>
      </c>
      <c r="H307" s="1341"/>
      <c r="I307" s="1385">
        <f>SUM(I303:J306)</f>
        <v>0</v>
      </c>
      <c r="J307" s="1341"/>
    </row>
    <row r="308" spans="1:10" ht="108.75" hidden="1" customHeight="1" x14ac:dyDescent="0.25">
      <c r="A308" s="1443" t="s">
        <v>762</v>
      </c>
      <c r="B308" s="1443"/>
      <c r="C308" s="1443"/>
      <c r="D308" s="1443"/>
      <c r="E308" s="1443"/>
      <c r="F308" s="1443"/>
      <c r="G308" s="1443"/>
      <c r="H308" s="1443"/>
      <c r="I308" s="1443"/>
      <c r="J308" s="1443"/>
    </row>
    <row r="309" spans="1:10" ht="17.25" hidden="1" customHeight="1" x14ac:dyDescent="0.25">
      <c r="A309" s="639">
        <v>6</v>
      </c>
      <c r="B309" s="1377" t="s">
        <v>763</v>
      </c>
      <c r="C309" s="1378"/>
      <c r="D309" s="1379"/>
      <c r="E309" s="313" t="s">
        <v>299</v>
      </c>
      <c r="F309" s="313">
        <v>1</v>
      </c>
      <c r="G309" s="1373" t="s">
        <v>256</v>
      </c>
      <c r="H309" s="1374"/>
      <c r="I309" s="1430">
        <v>0</v>
      </c>
      <c r="J309" s="1381"/>
    </row>
    <row r="310" spans="1:10" ht="17.25" hidden="1" customHeight="1" x14ac:dyDescent="0.25">
      <c r="A310" s="381"/>
      <c r="B310" s="1393" t="s">
        <v>325</v>
      </c>
      <c r="C310" s="1393"/>
      <c r="D310" s="1393"/>
      <c r="E310" s="1394" t="s">
        <v>14</v>
      </c>
      <c r="F310" s="1395"/>
      <c r="G310" s="1396">
        <f>J279+J280+J281+J287+I309+J282</f>
        <v>0</v>
      </c>
      <c r="H310" s="1397"/>
      <c r="I310" s="1397"/>
      <c r="J310" s="1397"/>
    </row>
    <row r="311" spans="1:10" ht="17.25" hidden="1" customHeight="1" x14ac:dyDescent="0.25">
      <c r="A311" s="1442" t="s">
        <v>376</v>
      </c>
      <c r="B311" s="1442"/>
      <c r="C311" s="1442"/>
      <c r="D311" s="1442"/>
      <c r="E311" s="1442"/>
      <c r="F311" s="1442"/>
      <c r="G311" s="1442"/>
      <c r="H311" s="1442"/>
      <c r="I311" s="1442"/>
      <c r="J311" s="1442"/>
    </row>
    <row r="312" spans="1:10" ht="17.25" hidden="1" customHeight="1" x14ac:dyDescent="0.25">
      <c r="A312" s="638" t="s">
        <v>1</v>
      </c>
      <c r="B312" s="1344" t="s">
        <v>15</v>
      </c>
      <c r="C312" s="1392"/>
      <c r="D312" s="1345"/>
      <c r="E312" s="1344" t="s">
        <v>58</v>
      </c>
      <c r="F312" s="1345"/>
      <c r="G312" s="1344" t="s">
        <v>66</v>
      </c>
      <c r="H312" s="1345"/>
      <c r="I312" s="1344" t="s">
        <v>260</v>
      </c>
      <c r="J312" s="1345"/>
    </row>
    <row r="313" spans="1:10" ht="17.25" hidden="1" customHeight="1" x14ac:dyDescent="0.25">
      <c r="A313" s="638">
        <v>1</v>
      </c>
      <c r="B313" s="1344">
        <v>2</v>
      </c>
      <c r="C313" s="1392"/>
      <c r="D313" s="1345"/>
      <c r="E313" s="1344">
        <v>3</v>
      </c>
      <c r="F313" s="1345"/>
      <c r="G313" s="1344">
        <v>4</v>
      </c>
      <c r="H313" s="1345"/>
      <c r="I313" s="1344">
        <v>5</v>
      </c>
      <c r="J313" s="1345"/>
    </row>
    <row r="314" spans="1:10" ht="39" hidden="1" customHeight="1" x14ac:dyDescent="0.25">
      <c r="A314" s="1319" t="s">
        <v>745</v>
      </c>
      <c r="B314" s="1320"/>
      <c r="C314" s="1320"/>
      <c r="D314" s="1320"/>
      <c r="E314" s="1320"/>
      <c r="F314" s="1320"/>
      <c r="G314" s="1320"/>
      <c r="H314" s="1320"/>
      <c r="I314" s="1320"/>
      <c r="J314" s="1321"/>
    </row>
    <row r="315" spans="1:10" ht="17.25" hidden="1" customHeight="1" x14ac:dyDescent="0.25">
      <c r="A315" s="638">
        <v>1</v>
      </c>
      <c r="B315" s="1322" t="s">
        <v>1175</v>
      </c>
      <c r="C315" s="1322"/>
      <c r="D315" s="1322"/>
      <c r="E315" s="1323">
        <v>1</v>
      </c>
      <c r="F315" s="1323"/>
      <c r="G315" s="1324">
        <v>0</v>
      </c>
      <c r="H315" s="1324"/>
      <c r="I315" s="1324">
        <f>E315*G315</f>
        <v>0</v>
      </c>
      <c r="J315" s="1324"/>
    </row>
    <row r="316" spans="1:10" ht="17.25" hidden="1" customHeight="1" x14ac:dyDescent="0.25">
      <c r="A316" s="638">
        <v>2</v>
      </c>
      <c r="B316" s="1322" t="s">
        <v>1176</v>
      </c>
      <c r="C316" s="1322"/>
      <c r="D316" s="1322"/>
      <c r="E316" s="1323">
        <v>1</v>
      </c>
      <c r="F316" s="1323"/>
      <c r="G316" s="1324">
        <v>0</v>
      </c>
      <c r="H316" s="1324"/>
      <c r="I316" s="1324">
        <f>E316*G316</f>
        <v>0</v>
      </c>
      <c r="J316" s="1324"/>
    </row>
    <row r="317" spans="1:10" ht="17.25" hidden="1" customHeight="1" x14ac:dyDescent="0.25">
      <c r="A317" s="638"/>
      <c r="B317" s="1323"/>
      <c r="C317" s="1323"/>
      <c r="D317" s="1323"/>
      <c r="E317" s="1323"/>
      <c r="F317" s="1323"/>
      <c r="G317" s="1323"/>
      <c r="H317" s="1323"/>
      <c r="I317" s="1323"/>
      <c r="J317" s="1323"/>
    </row>
    <row r="318" spans="1:10" ht="48.75" hidden="1" customHeight="1" x14ac:dyDescent="0.25">
      <c r="A318" s="1333" t="s">
        <v>748</v>
      </c>
      <c r="B318" s="1334"/>
      <c r="C318" s="1334"/>
      <c r="D318" s="1334"/>
      <c r="E318" s="1334"/>
      <c r="F318" s="1334"/>
      <c r="G318" s="1334"/>
      <c r="H318" s="1334"/>
      <c r="I318" s="1334"/>
      <c r="J318" s="1335"/>
    </row>
    <row r="319" spans="1:10" ht="17.25" hidden="1" customHeight="1" x14ac:dyDescent="0.25">
      <c r="A319" s="639">
        <v>1</v>
      </c>
      <c r="B319" s="1257" t="s">
        <v>715</v>
      </c>
      <c r="C319" s="1257"/>
      <c r="D319" s="1257"/>
      <c r="E319" s="1353">
        <v>1</v>
      </c>
      <c r="F319" s="1354"/>
      <c r="G319" s="1355">
        <v>0</v>
      </c>
      <c r="H319" s="1356"/>
      <c r="I319" s="1355">
        <f>E319*G319</f>
        <v>0</v>
      </c>
      <c r="J319" s="1356"/>
    </row>
    <row r="320" spans="1:10" ht="17.25" hidden="1" customHeight="1" x14ac:dyDescent="0.25">
      <c r="A320" s="621">
        <v>2</v>
      </c>
      <c r="B320" s="1257" t="s">
        <v>716</v>
      </c>
      <c r="C320" s="1257"/>
      <c r="D320" s="1257"/>
      <c r="E320" s="1353">
        <v>1</v>
      </c>
      <c r="F320" s="1354"/>
      <c r="G320" s="1355">
        <v>0</v>
      </c>
      <c r="H320" s="1356"/>
      <c r="I320" s="1355">
        <f t="shared" ref="I320" si="15">E320*G320</f>
        <v>0</v>
      </c>
      <c r="J320" s="1356"/>
    </row>
    <row r="321" spans="1:12" ht="17.25" hidden="1" customHeight="1" x14ac:dyDescent="0.25">
      <c r="A321" s="639"/>
      <c r="B321" s="1338" t="s">
        <v>13</v>
      </c>
      <c r="C321" s="1338"/>
      <c r="D321" s="1338"/>
      <c r="E321" s="1339" t="s">
        <v>74</v>
      </c>
      <c r="F321" s="1340"/>
      <c r="G321" s="1341" t="s">
        <v>14</v>
      </c>
      <c r="H321" s="1341"/>
      <c r="I321" s="1385">
        <f>I319+I320+I315+I316</f>
        <v>0</v>
      </c>
      <c r="J321" s="1385"/>
    </row>
    <row r="322" spans="1:12" ht="21.75" hidden="1" customHeight="1" x14ac:dyDescent="0.25">
      <c r="A322" s="1391" t="s">
        <v>377</v>
      </c>
      <c r="B322" s="1391"/>
      <c r="C322" s="1391"/>
      <c r="D322" s="1391"/>
      <c r="E322" s="1391"/>
      <c r="F322" s="1391"/>
      <c r="G322" s="1391"/>
      <c r="H322" s="1391"/>
      <c r="I322" s="1391"/>
      <c r="J322" s="1391"/>
    </row>
    <row r="323" spans="1:12" ht="21.75" hidden="1" customHeight="1" x14ac:dyDescent="0.25">
      <c r="A323" s="1055" t="s">
        <v>489</v>
      </c>
      <c r="B323" s="1055"/>
      <c r="C323" s="1055"/>
      <c r="D323" s="1055"/>
      <c r="E323" s="1055"/>
      <c r="F323" s="1055"/>
      <c r="G323" s="1055"/>
      <c r="H323" s="1055"/>
      <c r="I323" s="1055"/>
      <c r="J323" s="1055"/>
    </row>
    <row r="324" spans="1:12" ht="21.75" hidden="1" customHeight="1" x14ac:dyDescent="0.25">
      <c r="A324" s="638" t="s">
        <v>1</v>
      </c>
      <c r="B324" s="1344" t="s">
        <v>15</v>
      </c>
      <c r="C324" s="1392"/>
      <c r="D324" s="1345"/>
      <c r="E324" s="1344" t="s">
        <v>58</v>
      </c>
      <c r="F324" s="1345"/>
      <c r="G324" s="1344" t="s">
        <v>66</v>
      </c>
      <c r="H324" s="1345"/>
      <c r="I324" s="1344" t="s">
        <v>260</v>
      </c>
      <c r="J324" s="1345"/>
    </row>
    <row r="325" spans="1:12" ht="21.75" hidden="1" customHeight="1" x14ac:dyDescent="0.25">
      <c r="A325" s="638">
        <v>1</v>
      </c>
      <c r="B325" s="1344">
        <v>2</v>
      </c>
      <c r="C325" s="1392"/>
      <c r="D325" s="1345"/>
      <c r="E325" s="1344">
        <v>3</v>
      </c>
      <c r="F325" s="1345"/>
      <c r="G325" s="1344">
        <v>4</v>
      </c>
      <c r="H325" s="1345"/>
      <c r="I325" s="1344">
        <v>5</v>
      </c>
      <c r="J325" s="1345"/>
    </row>
    <row r="326" spans="1:12" ht="63.75" hidden="1" customHeight="1" x14ac:dyDescent="0.25">
      <c r="A326" s="1319" t="s">
        <v>569</v>
      </c>
      <c r="B326" s="1320"/>
      <c r="C326" s="1320"/>
      <c r="D326" s="1320"/>
      <c r="E326" s="1320"/>
      <c r="F326" s="1320"/>
      <c r="G326" s="1320"/>
      <c r="H326" s="1320"/>
      <c r="I326" s="1320"/>
      <c r="J326" s="1321"/>
    </row>
    <row r="327" spans="1:12" ht="39.75" hidden="1" customHeight="1" x14ac:dyDescent="0.25">
      <c r="A327" s="633" t="s">
        <v>70</v>
      </c>
      <c r="B327" s="1357" t="s">
        <v>172</v>
      </c>
      <c r="C327" s="1358"/>
      <c r="D327" s="1359"/>
      <c r="E327" s="93"/>
      <c r="F327" s="93"/>
      <c r="G327" s="1362"/>
      <c r="H327" s="1363"/>
      <c r="I327" s="1401">
        <f>SUM(I328:J330)</f>
        <v>0</v>
      </c>
      <c r="J327" s="1390"/>
    </row>
    <row r="328" spans="1:12" ht="22.5" hidden="1" customHeight="1" x14ac:dyDescent="0.25">
      <c r="A328" s="639"/>
      <c r="B328" s="1099" t="s">
        <v>550</v>
      </c>
      <c r="C328" s="1100"/>
      <c r="D328" s="1101"/>
      <c r="E328" s="313" t="s">
        <v>301</v>
      </c>
      <c r="F328" s="610"/>
      <c r="G328" s="1373" t="s">
        <v>256</v>
      </c>
      <c r="H328" s="1374"/>
      <c r="I328" s="1261">
        <v>0</v>
      </c>
      <c r="J328" s="1262"/>
    </row>
    <row r="329" spans="1:12" ht="22.5" hidden="1" customHeight="1" x14ac:dyDescent="0.25">
      <c r="A329" s="95"/>
      <c r="B329" s="1402" t="s">
        <v>195</v>
      </c>
      <c r="C329" s="1403"/>
      <c r="D329" s="1404"/>
      <c r="E329" s="313" t="s">
        <v>301</v>
      </c>
      <c r="F329" s="643"/>
      <c r="G329" s="1373" t="s">
        <v>256</v>
      </c>
      <c r="H329" s="1374"/>
      <c r="I329" s="1405">
        <v>0</v>
      </c>
      <c r="J329" s="1365"/>
    </row>
    <row r="330" spans="1:12" ht="21.75" hidden="1" customHeight="1" x14ac:dyDescent="0.25">
      <c r="A330" s="95"/>
      <c r="B330" s="1402" t="s">
        <v>82</v>
      </c>
      <c r="C330" s="1403"/>
      <c r="D330" s="1404"/>
      <c r="E330" s="313" t="s">
        <v>301</v>
      </c>
      <c r="F330" s="138"/>
      <c r="G330" s="1373" t="s">
        <v>256</v>
      </c>
      <c r="H330" s="1374"/>
      <c r="I330" s="1430">
        <v>0</v>
      </c>
      <c r="J330" s="1381"/>
    </row>
    <row r="331" spans="1:12" ht="21.75" hidden="1" customHeight="1" x14ac:dyDescent="0.25">
      <c r="A331" s="639"/>
      <c r="B331" s="1431" t="s">
        <v>13</v>
      </c>
      <c r="C331" s="1432"/>
      <c r="D331" s="1433"/>
      <c r="E331" s="1342" t="s">
        <v>74</v>
      </c>
      <c r="F331" s="1343"/>
      <c r="G331" s="1406" t="s">
        <v>14</v>
      </c>
      <c r="H331" s="1407"/>
      <c r="I331" s="1408">
        <f>I327</f>
        <v>0</v>
      </c>
      <c r="J331" s="1409"/>
    </row>
    <row r="332" spans="1:12" ht="15.75" hidden="1" x14ac:dyDescent="0.25">
      <c r="A332" s="1055" t="s">
        <v>490</v>
      </c>
      <c r="B332" s="1055"/>
      <c r="C332" s="1055"/>
      <c r="D332" s="1055"/>
      <c r="E332" s="1055"/>
      <c r="F332" s="1055"/>
      <c r="G332" s="1055"/>
      <c r="H332" s="1055"/>
      <c r="I332" s="1055"/>
      <c r="J332" s="1055"/>
    </row>
    <row r="333" spans="1:12" ht="15" hidden="1" customHeight="1" x14ac:dyDescent="0.25">
      <c r="A333" s="638" t="s">
        <v>1</v>
      </c>
      <c r="B333" s="1346" t="s">
        <v>15</v>
      </c>
      <c r="C333" s="1346"/>
      <c r="D333" s="1346"/>
      <c r="E333" s="1346" t="s">
        <v>58</v>
      </c>
      <c r="F333" s="1346"/>
      <c r="G333" s="1346" t="s">
        <v>66</v>
      </c>
      <c r="H333" s="1346"/>
      <c r="I333" s="1346" t="s">
        <v>260</v>
      </c>
      <c r="J333" s="1346"/>
    </row>
    <row r="334" spans="1:12" hidden="1" x14ac:dyDescent="0.25">
      <c r="A334" s="638">
        <v>1</v>
      </c>
      <c r="B334" s="1346">
        <v>2</v>
      </c>
      <c r="C334" s="1346"/>
      <c r="D334" s="1346"/>
      <c r="E334" s="1346">
        <v>3</v>
      </c>
      <c r="F334" s="1346"/>
      <c r="G334" s="1346">
        <v>4</v>
      </c>
      <c r="H334" s="1346"/>
      <c r="I334" s="1346">
        <v>5</v>
      </c>
      <c r="J334" s="1346"/>
    </row>
    <row r="335" spans="1:12" ht="47.25" hidden="1" customHeight="1" x14ac:dyDescent="0.25">
      <c r="A335" s="1333" t="s">
        <v>515</v>
      </c>
      <c r="B335" s="1334"/>
      <c r="C335" s="1334"/>
      <c r="D335" s="1334"/>
      <c r="E335" s="1334"/>
      <c r="F335" s="1334"/>
      <c r="G335" s="1334"/>
      <c r="H335" s="1334"/>
      <c r="I335" s="1334"/>
      <c r="J335" s="1335"/>
      <c r="K335" s="139"/>
      <c r="L335" s="140"/>
    </row>
    <row r="336" spans="1:12" ht="37.5" hidden="1" customHeight="1" x14ac:dyDescent="0.25">
      <c r="A336" s="639">
        <v>1</v>
      </c>
      <c r="B336" s="1322" t="s">
        <v>519</v>
      </c>
      <c r="C336" s="1322"/>
      <c r="D336" s="1322"/>
      <c r="E336" s="313" t="s">
        <v>301</v>
      </c>
      <c r="F336" s="643"/>
      <c r="G336" s="1372" t="s">
        <v>256</v>
      </c>
      <c r="H336" s="1372"/>
      <c r="I336" s="1364">
        <f>3300-3300</f>
        <v>0</v>
      </c>
      <c r="J336" s="1365"/>
      <c r="K336" s="139"/>
      <c r="L336" s="140"/>
    </row>
    <row r="337" spans="1:10" hidden="1" x14ac:dyDescent="0.25">
      <c r="A337" s="95"/>
      <c r="B337" s="1377"/>
      <c r="C337" s="1378"/>
      <c r="D337" s="1379"/>
      <c r="E337" s="313"/>
      <c r="F337" s="138"/>
      <c r="G337" s="1372"/>
      <c r="H337" s="1372"/>
      <c r="I337" s="1380"/>
      <c r="J337" s="1381"/>
    </row>
    <row r="338" spans="1:10" s="44" customFormat="1" ht="15" hidden="1" customHeight="1" x14ac:dyDescent="0.25">
      <c r="A338" s="639"/>
      <c r="B338" s="1338" t="s">
        <v>13</v>
      </c>
      <c r="C338" s="1338"/>
      <c r="D338" s="1338"/>
      <c r="E338" s="1342" t="s">
        <v>74</v>
      </c>
      <c r="F338" s="1343"/>
      <c r="G338" s="1341" t="s">
        <v>14</v>
      </c>
      <c r="H338" s="1341"/>
      <c r="I338" s="1347">
        <f>I336+I337</f>
        <v>0</v>
      </c>
      <c r="J338" s="1341"/>
    </row>
    <row r="339" spans="1:10" s="44" customFormat="1" ht="15" hidden="1" customHeight="1" x14ac:dyDescent="0.25">
      <c r="A339" s="1055" t="s">
        <v>491</v>
      </c>
      <c r="B339" s="1055"/>
      <c r="C339" s="1055"/>
      <c r="D339" s="1055"/>
      <c r="E339" s="1055"/>
      <c r="F339" s="1055"/>
      <c r="G339" s="1055"/>
      <c r="H339" s="1055"/>
      <c r="I339" s="1055"/>
      <c r="J339" s="1055"/>
    </row>
    <row r="340" spans="1:10" s="44" customFormat="1" ht="15" hidden="1" customHeight="1" x14ac:dyDescent="0.2">
      <c r="A340" s="638" t="s">
        <v>1</v>
      </c>
      <c r="B340" s="1346" t="s">
        <v>15</v>
      </c>
      <c r="C340" s="1346"/>
      <c r="D340" s="1346"/>
      <c r="E340" s="1346" t="s">
        <v>58</v>
      </c>
      <c r="F340" s="1346"/>
      <c r="G340" s="1346" t="s">
        <v>66</v>
      </c>
      <c r="H340" s="1346"/>
      <c r="I340" s="1346" t="s">
        <v>260</v>
      </c>
      <c r="J340" s="1346"/>
    </row>
    <row r="341" spans="1:10" s="44" customFormat="1" ht="15" hidden="1" customHeight="1" x14ac:dyDescent="0.2">
      <c r="A341" s="638">
        <v>1</v>
      </c>
      <c r="B341" s="1346">
        <v>2</v>
      </c>
      <c r="C341" s="1346"/>
      <c r="D341" s="1346"/>
      <c r="E341" s="1346">
        <v>3</v>
      </c>
      <c r="F341" s="1346"/>
      <c r="G341" s="1346">
        <v>4</v>
      </c>
      <c r="H341" s="1346"/>
      <c r="I341" s="1346">
        <v>5</v>
      </c>
      <c r="J341" s="1346"/>
    </row>
    <row r="342" spans="1:10" s="44" customFormat="1" ht="39.75" hidden="1" customHeight="1" x14ac:dyDescent="0.25">
      <c r="A342" s="633" t="s">
        <v>70</v>
      </c>
      <c r="B342" s="1357" t="s">
        <v>172</v>
      </c>
      <c r="C342" s="1358"/>
      <c r="D342" s="1359"/>
      <c r="E342" s="93"/>
      <c r="F342" s="93"/>
      <c r="G342" s="1362"/>
      <c r="H342" s="1363"/>
      <c r="I342" s="1389">
        <f>SUM(I343:J344)</f>
        <v>0</v>
      </c>
      <c r="J342" s="1390"/>
    </row>
    <row r="343" spans="1:10" s="44" customFormat="1" ht="15" hidden="1" customHeight="1" x14ac:dyDescent="0.25">
      <c r="A343" s="639" t="s">
        <v>27</v>
      </c>
      <c r="B343" s="1371" t="s">
        <v>493</v>
      </c>
      <c r="C343" s="1371"/>
      <c r="D343" s="1371"/>
      <c r="E343" s="313"/>
      <c r="F343" s="643"/>
      <c r="G343" s="1372" t="s">
        <v>256</v>
      </c>
      <c r="H343" s="1372"/>
      <c r="I343" s="1364">
        <v>0</v>
      </c>
      <c r="J343" s="1365"/>
    </row>
    <row r="344" spans="1:10" s="45" customFormat="1" ht="15" hidden="1" customHeight="1" x14ac:dyDescent="0.25">
      <c r="A344" s="95" t="s">
        <v>27</v>
      </c>
      <c r="B344" s="1377"/>
      <c r="C344" s="1378"/>
      <c r="D344" s="1379"/>
      <c r="E344" s="313"/>
      <c r="F344" s="138"/>
      <c r="G344" s="1372"/>
      <c r="H344" s="1372"/>
      <c r="I344" s="1380"/>
      <c r="J344" s="1381"/>
    </row>
    <row r="345" spans="1:10" s="44" customFormat="1" ht="33" hidden="1" customHeight="1" x14ac:dyDescent="0.25">
      <c r="A345" s="639"/>
      <c r="B345" s="1338" t="s">
        <v>13</v>
      </c>
      <c r="C345" s="1338"/>
      <c r="D345" s="1338"/>
      <c r="E345" s="1342" t="s">
        <v>74</v>
      </c>
      <c r="F345" s="1343"/>
      <c r="G345" s="1341" t="s">
        <v>14</v>
      </c>
      <c r="H345" s="1341"/>
      <c r="I345" s="1347">
        <f>I342</f>
        <v>0</v>
      </c>
      <c r="J345" s="1341"/>
    </row>
    <row r="346" spans="1:10" s="45" customFormat="1" ht="15" hidden="1" customHeight="1" x14ac:dyDescent="0.25">
      <c r="A346" s="1055" t="s">
        <v>492</v>
      </c>
      <c r="B346" s="1055"/>
      <c r="C346" s="1055"/>
      <c r="D346" s="1055"/>
      <c r="E346" s="1055"/>
      <c r="F346" s="1055"/>
      <c r="G346" s="1055"/>
      <c r="H346" s="1055"/>
      <c r="I346" s="1055"/>
      <c r="J346" s="1055"/>
    </row>
    <row r="347" spans="1:10" s="45" customFormat="1" ht="15" hidden="1" customHeight="1" x14ac:dyDescent="0.25">
      <c r="A347" s="638" t="s">
        <v>1</v>
      </c>
      <c r="B347" s="1346" t="s">
        <v>15</v>
      </c>
      <c r="C347" s="1346"/>
      <c r="D347" s="1346"/>
      <c r="E347" s="1346" t="s">
        <v>58</v>
      </c>
      <c r="F347" s="1346"/>
      <c r="G347" s="1346" t="s">
        <v>66</v>
      </c>
      <c r="H347" s="1346"/>
      <c r="I347" s="1346" t="s">
        <v>260</v>
      </c>
      <c r="J347" s="1346"/>
    </row>
    <row r="348" spans="1:10" s="45" customFormat="1" ht="15" hidden="1" customHeight="1" x14ac:dyDescent="0.25">
      <c r="A348" s="638">
        <v>1</v>
      </c>
      <c r="B348" s="1346">
        <v>2</v>
      </c>
      <c r="C348" s="1346"/>
      <c r="D348" s="1346"/>
      <c r="E348" s="1346">
        <v>3</v>
      </c>
      <c r="F348" s="1346"/>
      <c r="G348" s="1346">
        <v>4</v>
      </c>
      <c r="H348" s="1346"/>
      <c r="I348" s="1346">
        <v>5</v>
      </c>
      <c r="J348" s="1346"/>
    </row>
    <row r="349" spans="1:10" s="45" customFormat="1" ht="38.25" hidden="1" customHeight="1" x14ac:dyDescent="0.25">
      <c r="A349" s="633" t="s">
        <v>70</v>
      </c>
      <c r="B349" s="1357" t="s">
        <v>172</v>
      </c>
      <c r="C349" s="1358"/>
      <c r="D349" s="1359"/>
      <c r="E349" s="93"/>
      <c r="F349" s="93"/>
      <c r="G349" s="1362"/>
      <c r="H349" s="1363"/>
      <c r="I349" s="1389">
        <f>SUM(I350:J351)</f>
        <v>0</v>
      </c>
      <c r="J349" s="1390"/>
    </row>
    <row r="350" spans="1:10" s="45" customFormat="1" ht="15" hidden="1" customHeight="1" x14ac:dyDescent="0.25">
      <c r="A350" s="639" t="s">
        <v>27</v>
      </c>
      <c r="B350" s="1371"/>
      <c r="C350" s="1371"/>
      <c r="D350" s="1371"/>
      <c r="E350" s="313" t="s">
        <v>301</v>
      </c>
      <c r="F350" s="643"/>
      <c r="G350" s="1372" t="s">
        <v>256</v>
      </c>
      <c r="H350" s="1372"/>
      <c r="I350" s="1364"/>
      <c r="J350" s="1365"/>
    </row>
    <row r="351" spans="1:10" s="45" customFormat="1" ht="15" hidden="1" customHeight="1" x14ac:dyDescent="0.25">
      <c r="A351" s="95" t="s">
        <v>27</v>
      </c>
      <c r="B351" s="1377"/>
      <c r="C351" s="1378"/>
      <c r="D351" s="1379"/>
      <c r="E351" s="313"/>
      <c r="F351" s="138"/>
      <c r="G351" s="1372"/>
      <c r="H351" s="1372"/>
      <c r="I351" s="1380"/>
      <c r="J351" s="1381"/>
    </row>
    <row r="352" spans="1:10" s="45" customFormat="1" ht="15" hidden="1" customHeight="1" x14ac:dyDescent="0.25">
      <c r="A352" s="639"/>
      <c r="B352" s="1338" t="s">
        <v>13</v>
      </c>
      <c r="C352" s="1338"/>
      <c r="D352" s="1338"/>
      <c r="E352" s="1342" t="s">
        <v>74</v>
      </c>
      <c r="F352" s="1343"/>
      <c r="G352" s="1341" t="s">
        <v>14</v>
      </c>
      <c r="H352" s="1341"/>
      <c r="I352" s="1347">
        <f>I349</f>
        <v>0</v>
      </c>
      <c r="J352" s="1341"/>
    </row>
    <row r="353" spans="1:10" s="45" customFormat="1" ht="15" hidden="1" customHeight="1" x14ac:dyDescent="0.25">
      <c r="A353" s="1384" t="s">
        <v>495</v>
      </c>
      <c r="B353" s="1384"/>
      <c r="C353" s="1384"/>
      <c r="D353" s="1384"/>
      <c r="E353" s="1384"/>
      <c r="F353" s="1384"/>
      <c r="G353" s="1384"/>
      <c r="H353" s="1384"/>
      <c r="I353" s="1384"/>
      <c r="J353" s="1384"/>
    </row>
    <row r="354" spans="1:10" s="45" customFormat="1" ht="15" hidden="1" customHeight="1" x14ac:dyDescent="0.25">
      <c r="A354" s="638" t="s">
        <v>1</v>
      </c>
      <c r="B354" s="1346" t="s">
        <v>15</v>
      </c>
      <c r="C354" s="1346"/>
      <c r="D354" s="1346"/>
      <c r="E354" s="1346" t="s">
        <v>58</v>
      </c>
      <c r="F354" s="1346"/>
      <c r="G354" s="1346" t="s">
        <v>66</v>
      </c>
      <c r="H354" s="1346"/>
      <c r="I354" s="1346" t="s">
        <v>260</v>
      </c>
      <c r="J354" s="1346"/>
    </row>
    <row r="355" spans="1:10" s="45" customFormat="1" ht="15" hidden="1" customHeight="1" x14ac:dyDescent="0.25">
      <c r="A355" s="638">
        <v>1</v>
      </c>
      <c r="B355" s="1346">
        <v>2</v>
      </c>
      <c r="C355" s="1346"/>
      <c r="D355" s="1346"/>
      <c r="E355" s="1346">
        <v>3</v>
      </c>
      <c r="F355" s="1346"/>
      <c r="G355" s="1346">
        <v>4</v>
      </c>
      <c r="H355" s="1346"/>
      <c r="I355" s="1346">
        <v>5</v>
      </c>
      <c r="J355" s="1346"/>
    </row>
    <row r="356" spans="1:10" s="45" customFormat="1" ht="36" hidden="1" customHeight="1" x14ac:dyDescent="0.25">
      <c r="A356" s="1333" t="s">
        <v>748</v>
      </c>
      <c r="B356" s="1334"/>
      <c r="C356" s="1334"/>
      <c r="D356" s="1334"/>
      <c r="E356" s="1334"/>
      <c r="F356" s="1334"/>
      <c r="G356" s="1334"/>
      <c r="H356" s="1334"/>
      <c r="I356" s="1334"/>
      <c r="J356" s="1335"/>
    </row>
    <row r="357" spans="1:10" s="45" customFormat="1" ht="15" hidden="1" customHeight="1" x14ac:dyDescent="0.25">
      <c r="A357" s="639">
        <v>1</v>
      </c>
      <c r="B357" s="1322" t="s">
        <v>520</v>
      </c>
      <c r="C357" s="1322"/>
      <c r="D357" s="1322"/>
      <c r="E357" s="313" t="s">
        <v>301</v>
      </c>
      <c r="F357" s="643"/>
      <c r="G357" s="1372" t="s">
        <v>256</v>
      </c>
      <c r="H357" s="1372"/>
      <c r="I357" s="1364">
        <v>0</v>
      </c>
      <c r="J357" s="1365"/>
    </row>
    <row r="358" spans="1:10" s="45" customFormat="1" ht="15" hidden="1" customHeight="1" x14ac:dyDescent="0.25">
      <c r="A358" s="639">
        <v>2</v>
      </c>
      <c r="B358" s="1330"/>
      <c r="C358" s="1331"/>
      <c r="D358" s="1332"/>
      <c r="E358" s="313" t="s">
        <v>301</v>
      </c>
      <c r="F358" s="656"/>
      <c r="G358" s="1373" t="s">
        <v>256</v>
      </c>
      <c r="H358" s="1374"/>
      <c r="I358" s="1369">
        <v>0</v>
      </c>
      <c r="J358" s="1370"/>
    </row>
    <row r="359" spans="1:10" s="45" customFormat="1" ht="15" hidden="1" customHeight="1" x14ac:dyDescent="0.25">
      <c r="A359" s="95"/>
      <c r="B359" s="1338" t="s">
        <v>13</v>
      </c>
      <c r="C359" s="1338"/>
      <c r="D359" s="1338"/>
      <c r="E359" s="1342" t="s">
        <v>74</v>
      </c>
      <c r="F359" s="1343"/>
      <c r="G359" s="1341" t="s">
        <v>14</v>
      </c>
      <c r="H359" s="1341"/>
      <c r="I359" s="1347">
        <f>I357+I358</f>
        <v>0</v>
      </c>
      <c r="J359" s="1341"/>
    </row>
    <row r="360" spans="1:10" s="45" customFormat="1" ht="71.25" hidden="1" customHeight="1" x14ac:dyDescent="0.25">
      <c r="A360" s="1319" t="s">
        <v>569</v>
      </c>
      <c r="B360" s="1320"/>
      <c r="C360" s="1320"/>
      <c r="D360" s="1320"/>
      <c r="E360" s="1320"/>
      <c r="F360" s="1320"/>
      <c r="G360" s="1320"/>
      <c r="H360" s="1320"/>
      <c r="I360" s="1320"/>
      <c r="J360" s="1321"/>
    </row>
    <row r="361" spans="1:10" s="45" customFormat="1" ht="15" hidden="1" customHeight="1" x14ac:dyDescent="0.25">
      <c r="A361" s="638"/>
      <c r="B361" s="1330"/>
      <c r="C361" s="1331"/>
      <c r="D361" s="1332"/>
      <c r="E361" s="610"/>
      <c r="F361" s="612"/>
      <c r="G361" s="1196"/>
      <c r="H361" s="1196"/>
      <c r="I361" s="1240"/>
      <c r="J361" s="1133"/>
    </row>
    <row r="362" spans="1:10" s="45" customFormat="1" ht="15" hidden="1" customHeight="1" x14ac:dyDescent="0.25">
      <c r="A362" s="638"/>
      <c r="B362" s="1330"/>
      <c r="C362" s="1331"/>
      <c r="D362" s="1332"/>
      <c r="E362" s="610"/>
      <c r="F362" s="612"/>
      <c r="G362" s="600"/>
      <c r="H362" s="601"/>
      <c r="I362" s="1261"/>
      <c r="J362" s="1262"/>
    </row>
    <row r="363" spans="1:10" s="45" customFormat="1" ht="15" hidden="1" customHeight="1" x14ac:dyDescent="0.25">
      <c r="A363" s="638"/>
      <c r="B363" s="1330"/>
      <c r="C363" s="1331"/>
      <c r="D363" s="1332"/>
      <c r="E363" s="610"/>
      <c r="F363" s="612"/>
      <c r="G363" s="600"/>
      <c r="H363" s="601"/>
      <c r="I363" s="1261"/>
      <c r="J363" s="1262"/>
    </row>
    <row r="364" spans="1:10" s="45" customFormat="1" ht="15" hidden="1" customHeight="1" x14ac:dyDescent="0.25">
      <c r="A364" s="638"/>
      <c r="B364" s="1330"/>
      <c r="C364" s="1331"/>
      <c r="D364" s="1332"/>
      <c r="E364" s="610"/>
      <c r="F364" s="612"/>
      <c r="G364" s="600"/>
      <c r="H364" s="601"/>
      <c r="I364" s="1261"/>
      <c r="J364" s="1262"/>
    </row>
    <row r="365" spans="1:10" s="45" customFormat="1" ht="15" hidden="1" customHeight="1" x14ac:dyDescent="0.25">
      <c r="A365" s="95"/>
      <c r="B365" s="1338" t="s">
        <v>13</v>
      </c>
      <c r="C365" s="1338"/>
      <c r="D365" s="1338"/>
      <c r="E365" s="1348" t="s">
        <v>74</v>
      </c>
      <c r="F365" s="1348"/>
      <c r="G365" s="1341" t="s">
        <v>14</v>
      </c>
      <c r="H365" s="1341"/>
      <c r="I365" s="1347">
        <f>I361+I362+I363</f>
        <v>0</v>
      </c>
      <c r="J365" s="1341"/>
    </row>
    <row r="366" spans="1:10" s="45" customFormat="1" ht="15" hidden="1" customHeight="1" x14ac:dyDescent="0.25">
      <c r="A366" s="95"/>
      <c r="B366" s="1341" t="s">
        <v>563</v>
      </c>
      <c r="C366" s="1341"/>
      <c r="D366" s="1341"/>
      <c r="E366" s="1348"/>
      <c r="F366" s="1348"/>
      <c r="G366" s="1341"/>
      <c r="H366" s="1341"/>
      <c r="I366" s="1347">
        <f>I365+I359</f>
        <v>0</v>
      </c>
      <c r="J366" s="1347"/>
    </row>
    <row r="367" spans="1:10" s="44" customFormat="1" ht="15.75" hidden="1" x14ac:dyDescent="0.25">
      <c r="A367" s="1368" t="s">
        <v>496</v>
      </c>
      <c r="B367" s="1368"/>
      <c r="C367" s="1368"/>
      <c r="D367" s="1368"/>
      <c r="E367" s="1368"/>
      <c r="F367" s="1368"/>
      <c r="G367" s="1368"/>
      <c r="H367" s="1368"/>
      <c r="I367" s="1368"/>
      <c r="J367" s="1368"/>
    </row>
    <row r="368" spans="1:10" s="44" customFormat="1" ht="25.5" hidden="1" x14ac:dyDescent="0.2">
      <c r="A368" s="638" t="s">
        <v>1</v>
      </c>
      <c r="B368" s="1346" t="s">
        <v>15</v>
      </c>
      <c r="C368" s="1346"/>
      <c r="D368" s="1346"/>
      <c r="E368" s="1346" t="s">
        <v>58</v>
      </c>
      <c r="F368" s="1346"/>
      <c r="G368" s="1346" t="s">
        <v>66</v>
      </c>
      <c r="H368" s="1346"/>
      <c r="I368" s="1346" t="s">
        <v>260</v>
      </c>
      <c r="J368" s="1346"/>
    </row>
    <row r="369" spans="1:12" s="44" customFormat="1" ht="12.75" hidden="1" x14ac:dyDescent="0.2">
      <c r="A369" s="638">
        <v>1</v>
      </c>
      <c r="B369" s="1346">
        <v>2</v>
      </c>
      <c r="C369" s="1346"/>
      <c r="D369" s="1346"/>
      <c r="E369" s="1346">
        <v>3</v>
      </c>
      <c r="F369" s="1346"/>
      <c r="G369" s="1346">
        <v>4</v>
      </c>
      <c r="H369" s="1346"/>
      <c r="I369" s="1346">
        <v>5</v>
      </c>
      <c r="J369" s="1346"/>
    </row>
    <row r="370" spans="1:12" s="44" customFormat="1" ht="33.75" hidden="1" customHeight="1" x14ac:dyDescent="0.2">
      <c r="A370" s="1333" t="s">
        <v>748</v>
      </c>
      <c r="B370" s="1334"/>
      <c r="C370" s="1334"/>
      <c r="D370" s="1334"/>
      <c r="E370" s="1334"/>
      <c r="F370" s="1334"/>
      <c r="G370" s="1334"/>
      <c r="H370" s="1334"/>
      <c r="I370" s="1334"/>
      <c r="J370" s="1335"/>
    </row>
    <row r="371" spans="1:12" s="44" customFormat="1" ht="15" hidden="1" customHeight="1" x14ac:dyDescent="0.25">
      <c r="A371" s="638">
        <v>1</v>
      </c>
      <c r="B371" s="1330" t="s">
        <v>776</v>
      </c>
      <c r="C371" s="1331"/>
      <c r="D371" s="1332"/>
      <c r="E371" s="610"/>
      <c r="F371" s="612"/>
      <c r="G371" s="1196"/>
      <c r="H371" s="1196"/>
      <c r="I371" s="1240">
        <v>0</v>
      </c>
      <c r="J371" s="1133"/>
      <c r="K371" s="1240">
        <v>4000</v>
      </c>
      <c r="L371" s="1133"/>
    </row>
    <row r="372" spans="1:12" s="44" customFormat="1" ht="15.75" hidden="1" x14ac:dyDescent="0.25">
      <c r="A372" s="638">
        <v>2</v>
      </c>
      <c r="B372" s="1330" t="s">
        <v>777</v>
      </c>
      <c r="C372" s="1331"/>
      <c r="D372" s="1332"/>
      <c r="E372" s="610"/>
      <c r="F372" s="612"/>
      <c r="G372" s="600"/>
      <c r="H372" s="601"/>
      <c r="I372" s="1261">
        <v>0</v>
      </c>
      <c r="J372" s="1262"/>
      <c r="K372" s="1261">
        <v>3000</v>
      </c>
      <c r="L372" s="1262"/>
    </row>
    <row r="373" spans="1:12" s="44" customFormat="1" ht="15.75" hidden="1" x14ac:dyDescent="0.25">
      <c r="A373" s="638">
        <v>3</v>
      </c>
      <c r="B373" s="1330" t="s">
        <v>778</v>
      </c>
      <c r="C373" s="1331"/>
      <c r="D373" s="1332"/>
      <c r="E373" s="610"/>
      <c r="F373" s="612"/>
      <c r="G373" s="600"/>
      <c r="H373" s="601"/>
      <c r="I373" s="1261">
        <v>0</v>
      </c>
      <c r="J373" s="1262"/>
      <c r="K373" s="1261">
        <v>520</v>
      </c>
      <c r="L373" s="1262"/>
    </row>
    <row r="374" spans="1:12" s="44" customFormat="1" ht="15.75" hidden="1" x14ac:dyDescent="0.25">
      <c r="A374" s="638">
        <v>4</v>
      </c>
      <c r="B374" s="1330" t="s">
        <v>779</v>
      </c>
      <c r="C374" s="1331"/>
      <c r="D374" s="1332"/>
      <c r="E374" s="610"/>
      <c r="F374" s="612"/>
      <c r="G374" s="600"/>
      <c r="H374" s="601"/>
      <c r="I374" s="1261">
        <v>0</v>
      </c>
      <c r="J374" s="1262"/>
      <c r="K374" s="1261">
        <v>1345</v>
      </c>
      <c r="L374" s="1262"/>
    </row>
    <row r="375" spans="1:12" s="44" customFormat="1" ht="15.75" hidden="1" x14ac:dyDescent="0.25">
      <c r="A375" s="638"/>
      <c r="B375" s="1327"/>
      <c r="C375" s="1328"/>
      <c r="D375" s="1329"/>
      <c r="E375" s="610"/>
      <c r="F375" s="612"/>
      <c r="G375" s="600"/>
      <c r="H375" s="601"/>
      <c r="I375" s="1261">
        <v>0</v>
      </c>
      <c r="J375" s="1262"/>
      <c r="K375" s="511"/>
      <c r="L375" s="511"/>
    </row>
    <row r="376" spans="1:12" s="44" customFormat="1" ht="15.75" hidden="1" x14ac:dyDescent="0.25">
      <c r="A376" s="638">
        <v>5</v>
      </c>
      <c r="B376" s="1330" t="s">
        <v>780</v>
      </c>
      <c r="C376" s="1331"/>
      <c r="D376" s="1332"/>
      <c r="E376" s="610"/>
      <c r="F376" s="612"/>
      <c r="G376" s="600"/>
      <c r="H376" s="601"/>
      <c r="I376" s="1261">
        <v>0</v>
      </c>
      <c r="J376" s="1262"/>
    </row>
    <row r="377" spans="1:12" s="44" customFormat="1" ht="15" hidden="1" customHeight="1" x14ac:dyDescent="0.25">
      <c r="A377" s="95"/>
      <c r="B377" s="1338" t="s">
        <v>13</v>
      </c>
      <c r="C377" s="1338"/>
      <c r="D377" s="1338"/>
      <c r="E377" s="1348" t="s">
        <v>74</v>
      </c>
      <c r="F377" s="1348"/>
      <c r="G377" s="1341" t="s">
        <v>14</v>
      </c>
      <c r="H377" s="1341"/>
      <c r="I377" s="1347">
        <f>I371+I372+I373+I374+I376+I375</f>
        <v>0</v>
      </c>
      <c r="J377" s="1341"/>
    </row>
    <row r="378" spans="1:12" s="44" customFormat="1" ht="18.75" hidden="1" customHeight="1" x14ac:dyDescent="0.25">
      <c r="A378" s="95"/>
      <c r="B378" s="1341" t="s">
        <v>563</v>
      </c>
      <c r="C378" s="1341"/>
      <c r="D378" s="1341"/>
      <c r="E378" s="1348"/>
      <c r="F378" s="1348"/>
      <c r="G378" s="1341"/>
      <c r="H378" s="1341"/>
      <c r="I378" s="1347">
        <f>I377</f>
        <v>0</v>
      </c>
      <c r="J378" s="1347"/>
    </row>
    <row r="379" spans="1:12" s="44" customFormat="1" ht="48" hidden="1" customHeight="1" x14ac:dyDescent="0.25">
      <c r="A379" s="95" t="s">
        <v>36</v>
      </c>
      <c r="B379" s="1099" t="s">
        <v>500</v>
      </c>
      <c r="C379" s="1100"/>
      <c r="D379" s="1101"/>
      <c r="E379" s="610"/>
      <c r="F379" s="612"/>
      <c r="G379" s="1196"/>
      <c r="H379" s="1196"/>
      <c r="I379" s="1240"/>
      <c r="J379" s="1133"/>
    </row>
    <row r="380" spans="1:12" s="44" customFormat="1" ht="48" hidden="1" customHeight="1" x14ac:dyDescent="0.25">
      <c r="A380" s="633" t="s">
        <v>77</v>
      </c>
      <c r="B380" s="1357" t="s">
        <v>479</v>
      </c>
      <c r="C380" s="1358"/>
      <c r="D380" s="1359"/>
      <c r="E380" s="1349"/>
      <c r="F380" s="1350"/>
      <c r="G380" s="1349"/>
      <c r="H380" s="1350"/>
      <c r="I380" s="1351">
        <f>I381+I382</f>
        <v>0</v>
      </c>
      <c r="J380" s="1352"/>
    </row>
    <row r="381" spans="1:12" s="44" customFormat="1" ht="30" hidden="1" customHeight="1" x14ac:dyDescent="0.25">
      <c r="A381" s="95" t="s">
        <v>374</v>
      </c>
      <c r="B381" s="1099" t="s">
        <v>504</v>
      </c>
      <c r="C381" s="1100"/>
      <c r="D381" s="1101"/>
      <c r="E381" s="610"/>
      <c r="F381" s="612"/>
      <c r="G381" s="1044"/>
      <c r="H381" s="1045"/>
      <c r="I381" s="1261"/>
      <c r="J381" s="1262"/>
    </row>
    <row r="382" spans="1:12" ht="16.5" hidden="1" customHeight="1" x14ac:dyDescent="0.25">
      <c r="A382" s="95" t="s">
        <v>503</v>
      </c>
      <c r="B382" s="1245"/>
      <c r="C382" s="1245"/>
      <c r="D382" s="1245"/>
      <c r="E382" s="610"/>
      <c r="F382" s="612"/>
      <c r="G382" s="1196"/>
      <c r="H382" s="1196"/>
      <c r="I382" s="1240"/>
      <c r="J382" s="1133"/>
    </row>
    <row r="383" spans="1:12" hidden="1" x14ac:dyDescent="0.25">
      <c r="A383" s="95"/>
      <c r="B383" s="1338" t="s">
        <v>13</v>
      </c>
      <c r="C383" s="1338"/>
      <c r="D383" s="1338"/>
      <c r="E383" s="1342" t="s">
        <v>74</v>
      </c>
      <c r="F383" s="1343"/>
      <c r="G383" s="1341" t="s">
        <v>14</v>
      </c>
      <c r="H383" s="1341"/>
      <c r="I383" s="1347">
        <f>SUM(I371:J376)</f>
        <v>0</v>
      </c>
      <c r="J383" s="1341"/>
    </row>
    <row r="384" spans="1:12" ht="56.25" hidden="1" customHeight="1" x14ac:dyDescent="0.25">
      <c r="A384" s="1333" t="s">
        <v>572</v>
      </c>
      <c r="B384" s="1334"/>
      <c r="C384" s="1334"/>
      <c r="D384" s="1334"/>
      <c r="E384" s="1334"/>
      <c r="F384" s="1334"/>
      <c r="G384" s="1334"/>
      <c r="H384" s="1334"/>
      <c r="I384" s="1334"/>
      <c r="J384" s="1335"/>
    </row>
    <row r="385" spans="1:11" ht="15.75" hidden="1" x14ac:dyDescent="0.25">
      <c r="A385" s="639">
        <v>1</v>
      </c>
      <c r="B385" s="1367" t="s">
        <v>570</v>
      </c>
      <c r="C385" s="1367"/>
      <c r="D385" s="1367"/>
      <c r="E385" s="652"/>
      <c r="F385" s="652"/>
      <c r="G385" s="1341"/>
      <c r="H385" s="1341"/>
      <c r="I385" s="1366">
        <v>0</v>
      </c>
      <c r="J385" s="1366"/>
    </row>
    <row r="386" spans="1:11" hidden="1" x14ac:dyDescent="0.25">
      <c r="A386" s="95"/>
      <c r="B386" s="1341"/>
      <c r="C386" s="1341"/>
      <c r="D386" s="1341"/>
      <c r="E386" s="652"/>
      <c r="F386" s="652"/>
      <c r="G386" s="1341"/>
      <c r="H386" s="1341"/>
      <c r="I386" s="1347">
        <f>I385</f>
        <v>0</v>
      </c>
      <c r="J386" s="1347"/>
    </row>
    <row r="387" spans="1:11" ht="15.75" hidden="1" x14ac:dyDescent="0.25">
      <c r="A387" s="1368" t="s">
        <v>501</v>
      </c>
      <c r="B387" s="1368"/>
      <c r="C387" s="1368"/>
      <c r="D387" s="1368"/>
      <c r="E387" s="1368"/>
      <c r="F387" s="1368"/>
      <c r="G387" s="1368"/>
      <c r="H387" s="1368"/>
      <c r="I387" s="1368"/>
      <c r="J387" s="1368"/>
    </row>
    <row r="388" spans="1:11" ht="25.5" hidden="1" x14ac:dyDescent="0.25">
      <c r="A388" s="638" t="s">
        <v>1</v>
      </c>
      <c r="B388" s="1346" t="s">
        <v>15</v>
      </c>
      <c r="C388" s="1346"/>
      <c r="D388" s="1346"/>
      <c r="E388" s="1346" t="s">
        <v>58</v>
      </c>
      <c r="F388" s="1346"/>
      <c r="G388" s="1346" t="s">
        <v>66</v>
      </c>
      <c r="H388" s="1346"/>
      <c r="I388" s="1346" t="s">
        <v>260</v>
      </c>
      <c r="J388" s="1346"/>
    </row>
    <row r="389" spans="1:11" hidden="1" x14ac:dyDescent="0.25">
      <c r="A389" s="638">
        <v>1</v>
      </c>
      <c r="B389" s="1346">
        <v>2</v>
      </c>
      <c r="C389" s="1346"/>
      <c r="D389" s="1346"/>
      <c r="E389" s="1346">
        <v>3</v>
      </c>
      <c r="F389" s="1346"/>
      <c r="G389" s="1346">
        <v>4</v>
      </c>
      <c r="H389" s="1346"/>
      <c r="I389" s="1346">
        <v>5</v>
      </c>
      <c r="J389" s="1346"/>
    </row>
    <row r="390" spans="1:11" ht="46.5" hidden="1" customHeight="1" x14ac:dyDescent="0.25">
      <c r="A390" s="1333" t="s">
        <v>748</v>
      </c>
      <c r="B390" s="1334"/>
      <c r="C390" s="1334"/>
      <c r="D390" s="1334"/>
      <c r="E390" s="1334"/>
      <c r="F390" s="1334"/>
      <c r="G390" s="1334"/>
      <c r="H390" s="1334"/>
      <c r="I390" s="1334"/>
      <c r="J390" s="1335"/>
    </row>
    <row r="391" spans="1:11" ht="21.75" hidden="1" customHeight="1" x14ac:dyDescent="0.25">
      <c r="A391" s="638">
        <v>1</v>
      </c>
      <c r="B391" s="1330" t="s">
        <v>773</v>
      </c>
      <c r="C391" s="1331"/>
      <c r="D391" s="1332"/>
      <c r="E391" s="610"/>
      <c r="F391" s="612"/>
      <c r="G391" s="1196"/>
      <c r="H391" s="1196"/>
      <c r="I391" s="1240">
        <v>0</v>
      </c>
      <c r="J391" s="1133"/>
    </row>
    <row r="392" spans="1:11" ht="19.5" hidden="1" customHeight="1" x14ac:dyDescent="0.25">
      <c r="A392" s="638">
        <v>2</v>
      </c>
      <c r="B392" s="1322" t="s">
        <v>774</v>
      </c>
      <c r="C392" s="1322"/>
      <c r="D392" s="1322"/>
      <c r="E392" s="610"/>
      <c r="F392" s="612"/>
      <c r="G392" s="1044"/>
      <c r="H392" s="1045"/>
      <c r="I392" s="1291">
        <v>0</v>
      </c>
      <c r="J392" s="1291"/>
    </row>
    <row r="393" spans="1:11" ht="19.5" hidden="1" customHeight="1" x14ac:dyDescent="0.25">
      <c r="A393" s="638">
        <v>3</v>
      </c>
      <c r="B393" s="1322" t="s">
        <v>775</v>
      </c>
      <c r="C393" s="1322"/>
      <c r="D393" s="1322"/>
      <c r="E393" s="610"/>
      <c r="F393" s="612"/>
      <c r="G393" s="1196"/>
      <c r="H393" s="1196"/>
      <c r="I393" s="1291">
        <v>0</v>
      </c>
      <c r="J393" s="1291"/>
    </row>
    <row r="394" spans="1:11" ht="37.5" hidden="1" customHeight="1" x14ac:dyDescent="0.25">
      <c r="A394" s="1333" t="s">
        <v>747</v>
      </c>
      <c r="B394" s="1334"/>
      <c r="C394" s="1334"/>
      <c r="D394" s="1334"/>
      <c r="E394" s="1334"/>
      <c r="F394" s="1334"/>
      <c r="G394" s="1334"/>
      <c r="H394" s="1334"/>
      <c r="I394" s="1334"/>
      <c r="J394" s="1335"/>
    </row>
    <row r="395" spans="1:11" ht="15.75" hidden="1" x14ac:dyDescent="0.25">
      <c r="A395" s="638">
        <v>4</v>
      </c>
      <c r="B395" s="1330" t="s">
        <v>722</v>
      </c>
      <c r="C395" s="1331"/>
      <c r="D395" s="1332"/>
      <c r="E395" s="610"/>
      <c r="F395" s="612"/>
      <c r="G395" s="600"/>
      <c r="H395" s="601"/>
      <c r="I395" s="1261">
        <v>0</v>
      </c>
      <c r="J395" s="1262"/>
    </row>
    <row r="396" spans="1:11" ht="34.5" hidden="1" customHeight="1" x14ac:dyDescent="0.25">
      <c r="A396" s="1333" t="s">
        <v>749</v>
      </c>
      <c r="B396" s="1334"/>
      <c r="C396" s="1334"/>
      <c r="D396" s="1334"/>
      <c r="E396" s="1334"/>
      <c r="F396" s="1334"/>
      <c r="G396" s="1334"/>
      <c r="H396" s="1334"/>
      <c r="I396" s="1334"/>
      <c r="J396" s="1335"/>
    </row>
    <row r="397" spans="1:11" ht="31.5" hidden="1" customHeight="1" x14ac:dyDescent="0.25">
      <c r="A397" s="638">
        <v>5</v>
      </c>
      <c r="B397" s="1330" t="s">
        <v>723</v>
      </c>
      <c r="C397" s="1331"/>
      <c r="D397" s="1332"/>
      <c r="E397" s="611"/>
      <c r="F397" s="615"/>
      <c r="G397" s="600"/>
      <c r="H397" s="601"/>
      <c r="I397" s="1261">
        <v>0</v>
      </c>
      <c r="J397" s="1262"/>
    </row>
    <row r="398" spans="1:11" hidden="1" x14ac:dyDescent="0.25">
      <c r="A398" s="95"/>
      <c r="B398" s="1338" t="s">
        <v>13</v>
      </c>
      <c r="C398" s="1338"/>
      <c r="D398" s="1338"/>
      <c r="E398" s="1342" t="s">
        <v>74</v>
      </c>
      <c r="F398" s="1343"/>
      <c r="G398" s="1341" t="s">
        <v>14</v>
      </c>
      <c r="H398" s="1341"/>
      <c r="I398" s="1347">
        <f>I391+I392+I395+I397+I393</f>
        <v>0</v>
      </c>
      <c r="J398" s="1341"/>
    </row>
    <row r="399" spans="1:11" ht="23.25" hidden="1" customHeight="1" x14ac:dyDescent="0.25">
      <c r="A399" s="95"/>
      <c r="B399" s="1338" t="s">
        <v>13</v>
      </c>
      <c r="C399" s="1338"/>
      <c r="D399" s="1338"/>
      <c r="E399" s="1325"/>
      <c r="F399" s="1326"/>
      <c r="G399" s="1372"/>
      <c r="H399" s="1372"/>
      <c r="I399" s="1336">
        <f>I338+I383+I398+I366+I331+I386+I345+I352</f>
        <v>0</v>
      </c>
      <c r="J399" s="1337"/>
      <c r="K399" s="166">
        <f>I398+I383+I366+I331</f>
        <v>0</v>
      </c>
    </row>
    <row r="400" spans="1:11" ht="15.75" hidden="1" x14ac:dyDescent="0.25">
      <c r="A400" s="1413" t="s">
        <v>378</v>
      </c>
      <c r="B400" s="1413"/>
      <c r="C400" s="1413"/>
      <c r="D400" s="1413"/>
      <c r="E400" s="1413"/>
      <c r="F400" s="1413"/>
      <c r="G400" s="1413"/>
      <c r="H400" s="1413"/>
      <c r="I400" s="1413"/>
      <c r="J400" s="1413"/>
    </row>
    <row r="401" spans="1:10" hidden="1" x14ac:dyDescent="0.25">
      <c r="A401" s="1414" t="s">
        <v>1</v>
      </c>
      <c r="B401" s="1416" t="s">
        <v>15</v>
      </c>
      <c r="C401" s="1417"/>
      <c r="D401" s="1418"/>
      <c r="E401" s="1416" t="s">
        <v>64</v>
      </c>
      <c r="F401" s="1418"/>
      <c r="G401" s="1346" t="s">
        <v>65</v>
      </c>
      <c r="H401" s="1346"/>
      <c r="I401" s="1346"/>
      <c r="J401" s="1346"/>
    </row>
    <row r="402" spans="1:10" ht="25.5" hidden="1" x14ac:dyDescent="0.25">
      <c r="A402" s="1415"/>
      <c r="B402" s="1419"/>
      <c r="C402" s="1420"/>
      <c r="D402" s="1421"/>
      <c r="E402" s="1419"/>
      <c r="F402" s="1421"/>
      <c r="G402" s="638" t="s">
        <v>298</v>
      </c>
      <c r="H402" s="638" t="s">
        <v>295</v>
      </c>
      <c r="I402" s="638" t="s">
        <v>296</v>
      </c>
      <c r="J402" s="638" t="s">
        <v>297</v>
      </c>
    </row>
    <row r="403" spans="1:10" hidden="1" x14ac:dyDescent="0.25">
      <c r="A403" s="638">
        <v>1</v>
      </c>
      <c r="B403" s="1346">
        <v>2</v>
      </c>
      <c r="C403" s="1346"/>
      <c r="D403" s="1346"/>
      <c r="E403" s="1344">
        <v>3</v>
      </c>
      <c r="F403" s="1345"/>
      <c r="G403" s="1346">
        <v>4</v>
      </c>
      <c r="H403" s="1346"/>
      <c r="I403" s="1346"/>
      <c r="J403" s="1346"/>
    </row>
    <row r="404" spans="1:10" hidden="1" x14ac:dyDescent="0.25">
      <c r="A404" s="639" t="s">
        <v>70</v>
      </c>
      <c r="B404" s="1386" t="s">
        <v>339</v>
      </c>
      <c r="C404" s="1386"/>
      <c r="D404" s="1386"/>
      <c r="E404" s="1387">
        <v>1</v>
      </c>
      <c r="F404" s="1388"/>
      <c r="G404" s="639" t="s">
        <v>299</v>
      </c>
      <c r="H404" s="639">
        <v>1</v>
      </c>
      <c r="I404" s="92"/>
      <c r="J404" s="101">
        <v>0</v>
      </c>
    </row>
    <row r="405" spans="1:10" hidden="1" x14ac:dyDescent="0.25">
      <c r="A405" s="639" t="s">
        <v>75</v>
      </c>
      <c r="B405" s="1386" t="s">
        <v>340</v>
      </c>
      <c r="C405" s="1386"/>
      <c r="D405" s="1386"/>
      <c r="E405" s="1387">
        <v>1</v>
      </c>
      <c r="F405" s="1388"/>
      <c r="G405" s="639" t="s">
        <v>299</v>
      </c>
      <c r="H405" s="639">
        <v>1</v>
      </c>
      <c r="I405" s="92"/>
      <c r="J405" s="101">
        <f t="shared" ref="J405:J406" si="16">H405*I405</f>
        <v>0</v>
      </c>
    </row>
    <row r="406" spans="1:10" hidden="1" x14ac:dyDescent="0.25">
      <c r="A406" s="639" t="s">
        <v>77</v>
      </c>
      <c r="B406" s="1386" t="s">
        <v>335</v>
      </c>
      <c r="C406" s="1386"/>
      <c r="D406" s="1386"/>
      <c r="E406" s="1387">
        <v>1</v>
      </c>
      <c r="F406" s="1388"/>
      <c r="G406" s="639" t="s">
        <v>299</v>
      </c>
      <c r="H406" s="643">
        <v>1</v>
      </c>
      <c r="I406" s="92"/>
      <c r="J406" s="101">
        <f t="shared" si="16"/>
        <v>0</v>
      </c>
    </row>
    <row r="407" spans="1:10" ht="15.75" hidden="1" x14ac:dyDescent="0.25">
      <c r="A407" s="381"/>
      <c r="B407" s="1393" t="s">
        <v>13</v>
      </c>
      <c r="C407" s="1393"/>
      <c r="D407" s="1393"/>
      <c r="E407" s="1394" t="s">
        <v>14</v>
      </c>
      <c r="F407" s="1395"/>
      <c r="G407" s="1396">
        <f>SUM(J404:J406)</f>
        <v>0</v>
      </c>
      <c r="H407" s="1397"/>
      <c r="I407" s="1397"/>
      <c r="J407" s="1397"/>
    </row>
    <row r="408" spans="1:10" hidden="1" x14ac:dyDescent="0.25">
      <c r="A408" s="81"/>
      <c r="B408" s="81"/>
      <c r="C408" s="81"/>
      <c r="D408" s="81"/>
      <c r="E408" s="81"/>
      <c r="F408" s="81"/>
      <c r="G408" s="81"/>
      <c r="H408" s="81"/>
      <c r="I408" s="81"/>
      <c r="J408" s="81"/>
    </row>
    <row r="409" spans="1:10" ht="32.25" customHeight="1" x14ac:dyDescent="0.25">
      <c r="A409" s="81"/>
      <c r="B409" s="81"/>
      <c r="C409" s="81"/>
      <c r="D409" s="81"/>
      <c r="E409" s="81"/>
      <c r="F409" s="81"/>
      <c r="G409" s="81"/>
      <c r="H409" s="96" t="s">
        <v>212</v>
      </c>
      <c r="I409" s="1441">
        <f>J87+J94+I122+I162+I183+I199+I213+I241+G271+I307+I399+G407+I172+I321+G310</f>
        <v>5468399.9960000003</v>
      </c>
      <c r="J409" s="1441"/>
    </row>
    <row r="410" spans="1:10" x14ac:dyDescent="0.25">
      <c r="A410" s="81"/>
      <c r="B410" s="81"/>
      <c r="C410" s="81"/>
      <c r="D410" s="81"/>
      <c r="E410" s="81"/>
      <c r="F410" s="81"/>
      <c r="G410" s="81"/>
      <c r="H410" s="97" t="s">
        <v>248</v>
      </c>
      <c r="I410" s="81"/>
      <c r="J410" s="81"/>
    </row>
    <row r="411" spans="1:10" ht="17.25" x14ac:dyDescent="0.4">
      <c r="A411" s="81"/>
      <c r="B411" s="81"/>
      <c r="C411" s="81"/>
      <c r="D411" s="81"/>
      <c r="E411" s="81"/>
      <c r="F411" s="81"/>
      <c r="G411" s="81"/>
      <c r="H411" s="97" t="s">
        <v>724</v>
      </c>
      <c r="I411" s="1435">
        <f>I397</f>
        <v>0</v>
      </c>
      <c r="J411" s="1435"/>
    </row>
    <row r="412" spans="1:10" ht="17.25" x14ac:dyDescent="0.4">
      <c r="A412" s="81"/>
      <c r="B412" s="81"/>
      <c r="C412" s="81"/>
      <c r="D412" s="81"/>
      <c r="E412" s="81"/>
      <c r="F412" s="81"/>
      <c r="G412" s="81"/>
      <c r="H412" s="97" t="s">
        <v>521</v>
      </c>
      <c r="I412" s="1435">
        <f>I103+I120+I121+J279+J280+I357+I371+I372+I373+I374+I391+I392+J281+I319+I320+I393+I376+I375+J282</f>
        <v>0</v>
      </c>
      <c r="J412" s="1435"/>
    </row>
    <row r="413" spans="1:10" ht="15.75" customHeight="1" x14ac:dyDescent="0.4">
      <c r="A413" s="81"/>
      <c r="B413" s="81"/>
      <c r="C413" s="81"/>
      <c r="D413" s="81"/>
      <c r="E413" s="81"/>
      <c r="F413" s="81"/>
      <c r="G413" s="81"/>
      <c r="H413" s="97" t="s">
        <v>725</v>
      </c>
      <c r="I413" s="1435">
        <f>I395+J287</f>
        <v>0</v>
      </c>
      <c r="J413" s="1435"/>
    </row>
    <row r="414" spans="1:10" ht="17.25" x14ac:dyDescent="0.4">
      <c r="A414" s="81"/>
      <c r="B414" s="81"/>
      <c r="C414" s="81"/>
      <c r="D414" s="81"/>
      <c r="E414" s="81"/>
      <c r="F414" s="81"/>
      <c r="G414" s="81"/>
      <c r="H414" s="97" t="s">
        <v>522</v>
      </c>
      <c r="I414" s="1435">
        <f>J253+I315+I316</f>
        <v>0</v>
      </c>
      <c r="J414" s="1435"/>
    </row>
    <row r="415" spans="1:10" hidden="1" x14ac:dyDescent="0.25">
      <c r="A415" s="81"/>
      <c r="B415" s="81"/>
      <c r="C415" s="81"/>
      <c r="D415" s="81"/>
      <c r="E415" s="81"/>
      <c r="F415" s="81"/>
      <c r="G415" s="81"/>
      <c r="H415" s="97" t="s">
        <v>546</v>
      </c>
      <c r="I415" s="1436">
        <f>I172</f>
        <v>0</v>
      </c>
      <c r="J415" s="1436"/>
    </row>
    <row r="416" spans="1:10" hidden="1" x14ac:dyDescent="0.25">
      <c r="A416" s="233"/>
      <c r="B416" s="233"/>
      <c r="C416" s="233"/>
      <c r="D416" s="661"/>
      <c r="E416" s="661"/>
      <c r="F416" s="662"/>
      <c r="G416" s="1412" t="s">
        <v>551</v>
      </c>
      <c r="H416" s="1412"/>
      <c r="I416" s="1411">
        <v>0</v>
      </c>
      <c r="J416" s="1440"/>
    </row>
    <row r="417" spans="1:10" ht="14.25" hidden="1" customHeight="1" x14ac:dyDescent="0.25">
      <c r="A417" s="233"/>
      <c r="B417" s="233"/>
      <c r="C417" s="233"/>
      <c r="D417" s="1412" t="s">
        <v>561</v>
      </c>
      <c r="E417" s="1412"/>
      <c r="F417" s="1412"/>
      <c r="G417" s="1412"/>
      <c r="H417" s="1412"/>
      <c r="I417" s="1411">
        <f>J257</f>
        <v>0</v>
      </c>
      <c r="J417" s="1411"/>
    </row>
    <row r="418" spans="1:10" ht="16.5" hidden="1" customHeight="1" x14ac:dyDescent="0.25">
      <c r="A418" s="233"/>
      <c r="B418" s="233"/>
      <c r="C418" s="233"/>
      <c r="D418" s="661"/>
      <c r="E418" s="661"/>
      <c r="F418" s="1412" t="s">
        <v>553</v>
      </c>
      <c r="G418" s="1412"/>
      <c r="H418" s="1412"/>
      <c r="I418" s="1411" t="e">
        <f>#REF!</f>
        <v>#REF!</v>
      </c>
      <c r="J418" s="1411"/>
    </row>
    <row r="419" spans="1:10" x14ac:dyDescent="0.25">
      <c r="A419" s="233"/>
      <c r="B419" s="233"/>
      <c r="C419" s="233"/>
      <c r="D419" s="661"/>
      <c r="E419" s="661"/>
      <c r="F419" s="1438" t="s">
        <v>564</v>
      </c>
      <c r="G419" s="1438"/>
      <c r="H419" s="1438"/>
      <c r="I419" s="1439">
        <f>J68+I144+I93</f>
        <v>5468400</v>
      </c>
      <c r="J419" s="1439"/>
    </row>
    <row r="420" spans="1:10" hidden="1" x14ac:dyDescent="0.25">
      <c r="A420" s="233"/>
      <c r="B420" s="233"/>
      <c r="C420" s="233"/>
      <c r="D420" s="661"/>
      <c r="E420" s="661"/>
      <c r="F420" s="651"/>
      <c r="G420" s="651"/>
      <c r="H420" s="651" t="s">
        <v>571</v>
      </c>
      <c r="I420" s="1411">
        <f>I386</f>
        <v>0</v>
      </c>
      <c r="J420" s="1411"/>
    </row>
    <row r="421" spans="1:10" x14ac:dyDescent="0.25">
      <c r="A421" s="233"/>
      <c r="B421" s="233"/>
      <c r="C421" s="233"/>
      <c r="D421" s="661"/>
      <c r="E421" s="661"/>
      <c r="F421" s="651"/>
      <c r="G421" s="651"/>
      <c r="H421" s="97" t="s">
        <v>761</v>
      </c>
      <c r="I421" s="1439">
        <f>I100+I112+I113+I114+I115+I116+I170+I171</f>
        <v>0</v>
      </c>
      <c r="J421" s="1439"/>
    </row>
    <row r="422" spans="1:10" x14ac:dyDescent="0.25">
      <c r="A422" s="233"/>
      <c r="B422" s="233"/>
      <c r="C422" s="233"/>
      <c r="D422" s="661"/>
      <c r="E422" s="661"/>
      <c r="F422" s="651"/>
      <c r="G422" s="651"/>
      <c r="H422" s="97" t="s">
        <v>764</v>
      </c>
      <c r="I422" s="1439">
        <f>I309</f>
        <v>0</v>
      </c>
      <c r="J422" s="1439"/>
    </row>
    <row r="423" spans="1:10" x14ac:dyDescent="0.25">
      <c r="A423" s="1410" t="s">
        <v>258</v>
      </c>
      <c r="B423" s="1410"/>
      <c r="C423" s="1410"/>
      <c r="D423" s="141"/>
      <c r="E423" s="141"/>
      <c r="F423" s="142" t="s">
        <v>416</v>
      </c>
      <c r="G423" s="142"/>
      <c r="H423" s="142"/>
      <c r="I423" s="142"/>
      <c r="J423" s="45"/>
    </row>
    <row r="424" spans="1:10" x14ac:dyDescent="0.25">
      <c r="A424" s="650"/>
      <c r="B424" s="650"/>
      <c r="C424" s="650"/>
      <c r="D424" s="1236" t="s">
        <v>272</v>
      </c>
      <c r="E424" s="1236"/>
      <c r="F424" s="1237" t="s">
        <v>273</v>
      </c>
      <c r="G424" s="1237"/>
      <c r="H424" s="1237"/>
      <c r="I424" s="1237"/>
      <c r="J424" s="44"/>
    </row>
    <row r="425" spans="1:10" x14ac:dyDescent="0.25">
      <c r="A425" s="1410" t="s">
        <v>415</v>
      </c>
      <c r="B425" s="1410"/>
      <c r="C425" s="1410"/>
      <c r="D425" s="141"/>
      <c r="E425" s="141"/>
      <c r="F425" s="142" t="s">
        <v>417</v>
      </c>
      <c r="G425" s="142"/>
      <c r="H425" s="142"/>
      <c r="I425" s="142"/>
      <c r="J425" s="45"/>
    </row>
    <row r="426" spans="1:10" x14ac:dyDescent="0.25">
      <c r="A426" s="649"/>
      <c r="B426" s="649"/>
      <c r="C426" s="649"/>
      <c r="D426" s="1236" t="s">
        <v>272</v>
      </c>
      <c r="E426" s="1236"/>
      <c r="F426" s="1237" t="s">
        <v>273</v>
      </c>
      <c r="G426" s="1237"/>
      <c r="H426" s="1237"/>
      <c r="I426" s="1237"/>
      <c r="J426" s="44"/>
    </row>
    <row r="427" spans="1:10" x14ac:dyDescent="0.25">
      <c r="A427" s="649"/>
      <c r="B427" s="649"/>
      <c r="C427" s="649"/>
      <c r="D427" s="649"/>
      <c r="E427" s="649"/>
      <c r="F427" s="649"/>
      <c r="G427" s="44"/>
      <c r="H427" s="44"/>
      <c r="I427" s="44"/>
      <c r="J427" s="44"/>
    </row>
    <row r="428" spans="1:10" x14ac:dyDescent="0.25">
      <c r="A428" s="1437" t="s">
        <v>418</v>
      </c>
      <c r="B428" s="1437"/>
      <c r="C428" s="649"/>
      <c r="D428" s="649"/>
      <c r="E428" s="649"/>
      <c r="F428" s="649"/>
      <c r="G428" s="44"/>
      <c r="H428" s="44"/>
      <c r="I428" s="44"/>
      <c r="J428" s="44"/>
    </row>
    <row r="429" spans="1:10" x14ac:dyDescent="0.25">
      <c r="A429" s="649"/>
      <c r="B429" s="649"/>
      <c r="C429" s="649"/>
      <c r="D429" s="649"/>
      <c r="E429" s="649"/>
      <c r="F429" s="649"/>
      <c r="G429" s="44"/>
      <c r="H429" s="44"/>
      <c r="I429" s="44"/>
      <c r="J429" s="44"/>
    </row>
    <row r="430" spans="1:10" x14ac:dyDescent="0.25">
      <c r="A430" s="1434"/>
      <c r="B430" s="1434"/>
      <c r="C430" s="649"/>
      <c r="D430" s="649"/>
      <c r="E430" s="649"/>
      <c r="F430" s="649"/>
      <c r="G430" s="44"/>
      <c r="H430" s="44"/>
      <c r="I430" s="44"/>
      <c r="J430" s="44"/>
    </row>
  </sheetData>
  <mergeCells count="891">
    <mergeCell ref="D424:E424"/>
    <mergeCell ref="F424:I424"/>
    <mergeCell ref="A425:C425"/>
    <mergeCell ref="D426:E426"/>
    <mergeCell ref="F426:I426"/>
    <mergeCell ref="A428:B428"/>
    <mergeCell ref="A430:B430"/>
    <mergeCell ref="G416:H416"/>
    <mergeCell ref="D417:H417"/>
    <mergeCell ref="F418:H418"/>
    <mergeCell ref="F419:H419"/>
    <mergeCell ref="I419:J419"/>
    <mergeCell ref="I420:J420"/>
    <mergeCell ref="I421:J421"/>
    <mergeCell ref="I422:J422"/>
    <mergeCell ref="A423:C423"/>
    <mergeCell ref="I416:J416"/>
    <mergeCell ref="I417:J417"/>
    <mergeCell ref="I418:J418"/>
    <mergeCell ref="B406:D406"/>
    <mergeCell ref="E406:F406"/>
    <mergeCell ref="B407:D407"/>
    <mergeCell ref="E407:F407"/>
    <mergeCell ref="G407:J407"/>
    <mergeCell ref="G401:J401"/>
    <mergeCell ref="B404:D404"/>
    <mergeCell ref="E404:F404"/>
    <mergeCell ref="B405:D405"/>
    <mergeCell ref="E405:F405"/>
    <mergeCell ref="B386:D386"/>
    <mergeCell ref="G386:H386"/>
    <mergeCell ref="I386:J386"/>
    <mergeCell ref="A387:J387"/>
    <mergeCell ref="B389:D389"/>
    <mergeCell ref="E389:F389"/>
    <mergeCell ref="G389:H389"/>
    <mergeCell ref="I389:J389"/>
    <mergeCell ref="B388:D388"/>
    <mergeCell ref="E388:F388"/>
    <mergeCell ref="G388:H388"/>
    <mergeCell ref="I388:J388"/>
    <mergeCell ref="K371:L371"/>
    <mergeCell ref="K372:L372"/>
    <mergeCell ref="K373:L373"/>
    <mergeCell ref="K374:L374"/>
    <mergeCell ref="E378:F378"/>
    <mergeCell ref="E380:F380"/>
    <mergeCell ref="B383:D383"/>
    <mergeCell ref="E383:F383"/>
    <mergeCell ref="G383:H383"/>
    <mergeCell ref="I383:J383"/>
    <mergeCell ref="B372:D372"/>
    <mergeCell ref="G378:H378"/>
    <mergeCell ref="I378:J378"/>
    <mergeCell ref="B374:D374"/>
    <mergeCell ref="I374:J374"/>
    <mergeCell ref="B375:D375"/>
    <mergeCell ref="I375:J375"/>
    <mergeCell ref="B376:D376"/>
    <mergeCell ref="I376:J376"/>
    <mergeCell ref="B373:D373"/>
    <mergeCell ref="I373:J373"/>
    <mergeCell ref="B379:D379"/>
    <mergeCell ref="G379:H379"/>
    <mergeCell ref="I379:J379"/>
    <mergeCell ref="A370:J370"/>
    <mergeCell ref="B371:D371"/>
    <mergeCell ref="G371:H371"/>
    <mergeCell ref="I371:J371"/>
    <mergeCell ref="B366:D366"/>
    <mergeCell ref="G366:H366"/>
    <mergeCell ref="I366:J366"/>
    <mergeCell ref="B365:D365"/>
    <mergeCell ref="I365:J365"/>
    <mergeCell ref="B369:D369"/>
    <mergeCell ref="E369:F369"/>
    <mergeCell ref="G369:H369"/>
    <mergeCell ref="I369:J369"/>
    <mergeCell ref="B361:D361"/>
    <mergeCell ref="G361:H361"/>
    <mergeCell ref="I361:J361"/>
    <mergeCell ref="E365:F365"/>
    <mergeCell ref="G365:H365"/>
    <mergeCell ref="A367:J367"/>
    <mergeCell ref="B368:D368"/>
    <mergeCell ref="E368:F368"/>
    <mergeCell ref="G368:H368"/>
    <mergeCell ref="I368:J368"/>
    <mergeCell ref="E366:F366"/>
    <mergeCell ref="B362:D362"/>
    <mergeCell ref="I362:J362"/>
    <mergeCell ref="B348:D348"/>
    <mergeCell ref="E348:F348"/>
    <mergeCell ref="G348:H348"/>
    <mergeCell ref="I348:J348"/>
    <mergeCell ref="A346:J346"/>
    <mergeCell ref="B347:D347"/>
    <mergeCell ref="E347:F347"/>
    <mergeCell ref="G347:H347"/>
    <mergeCell ref="I347:J347"/>
    <mergeCell ref="A335:J335"/>
    <mergeCell ref="B336:D336"/>
    <mergeCell ref="G336:H336"/>
    <mergeCell ref="I336:J336"/>
    <mergeCell ref="G325:H325"/>
    <mergeCell ref="E334:F334"/>
    <mergeCell ref="G334:H334"/>
    <mergeCell ref="I334:J334"/>
    <mergeCell ref="B330:D330"/>
    <mergeCell ref="G330:H330"/>
    <mergeCell ref="I330:J330"/>
    <mergeCell ref="B331:D331"/>
    <mergeCell ref="G331:H331"/>
    <mergeCell ref="I331:J331"/>
    <mergeCell ref="E331:F331"/>
    <mergeCell ref="A332:J332"/>
    <mergeCell ref="B333:D333"/>
    <mergeCell ref="E333:F333"/>
    <mergeCell ref="G333:H333"/>
    <mergeCell ref="I333:J333"/>
    <mergeCell ref="B334:D334"/>
    <mergeCell ref="A308:J308"/>
    <mergeCell ref="B309:D309"/>
    <mergeCell ref="G309:H309"/>
    <mergeCell ref="I309:J309"/>
    <mergeCell ref="G310:J310"/>
    <mergeCell ref="A311:J311"/>
    <mergeCell ref="B312:D312"/>
    <mergeCell ref="E312:F312"/>
    <mergeCell ref="G312:H312"/>
    <mergeCell ref="I312:J312"/>
    <mergeCell ref="B310:D310"/>
    <mergeCell ref="E310:F310"/>
    <mergeCell ref="B295:D295"/>
    <mergeCell ref="E295:F295"/>
    <mergeCell ref="B298:D298"/>
    <mergeCell ref="E298:F298"/>
    <mergeCell ref="A299:J299"/>
    <mergeCell ref="A302:J302"/>
    <mergeCell ref="B304:D304"/>
    <mergeCell ref="E304:F304"/>
    <mergeCell ref="G304:H304"/>
    <mergeCell ref="I304:J304"/>
    <mergeCell ref="I301:J301"/>
    <mergeCell ref="B297:D297"/>
    <mergeCell ref="E297:F297"/>
    <mergeCell ref="B296:D296"/>
    <mergeCell ref="E296:F296"/>
    <mergeCell ref="B300:D300"/>
    <mergeCell ref="E300:F300"/>
    <mergeCell ref="E303:F303"/>
    <mergeCell ref="G303:H303"/>
    <mergeCell ref="I303:J303"/>
    <mergeCell ref="G300:H300"/>
    <mergeCell ref="I300:J300"/>
    <mergeCell ref="B301:D301"/>
    <mergeCell ref="E301:F301"/>
    <mergeCell ref="I246:J246"/>
    <mergeCell ref="A247:J247"/>
    <mergeCell ref="A248:A249"/>
    <mergeCell ref="B248:D249"/>
    <mergeCell ref="E248:E249"/>
    <mergeCell ref="F248:F249"/>
    <mergeCell ref="G248:J248"/>
    <mergeCell ref="G250:J250"/>
    <mergeCell ref="A256:J256"/>
    <mergeCell ref="B243:D243"/>
    <mergeCell ref="E243:F243"/>
    <mergeCell ref="G243:H243"/>
    <mergeCell ref="I243:J243"/>
    <mergeCell ref="B244:D244"/>
    <mergeCell ref="E244:F244"/>
    <mergeCell ref="G244:H244"/>
    <mergeCell ref="I244:J244"/>
    <mergeCell ref="I241:J241"/>
    <mergeCell ref="A242:J242"/>
    <mergeCell ref="E217:F217"/>
    <mergeCell ref="G217:H217"/>
    <mergeCell ref="E218:F218"/>
    <mergeCell ref="G218:H218"/>
    <mergeCell ref="E219:F219"/>
    <mergeCell ref="G219:H219"/>
    <mergeCell ref="A220:J220"/>
    <mergeCell ref="B237:D237"/>
    <mergeCell ref="F237:G237"/>
    <mergeCell ref="I237:J237"/>
    <mergeCell ref="B225:D225"/>
    <mergeCell ref="F225:G225"/>
    <mergeCell ref="I225:J225"/>
    <mergeCell ref="B226:D226"/>
    <mergeCell ref="F226:G226"/>
    <mergeCell ref="I226:J226"/>
    <mergeCell ref="B223:D223"/>
    <mergeCell ref="F223:G223"/>
    <mergeCell ref="I223:J223"/>
    <mergeCell ref="B224:D224"/>
    <mergeCell ref="F224:G224"/>
    <mergeCell ref="I224:J224"/>
    <mergeCell ref="B229:D229"/>
    <mergeCell ref="F229:G229"/>
    <mergeCell ref="A203:J203"/>
    <mergeCell ref="B209:D209"/>
    <mergeCell ref="G209:H209"/>
    <mergeCell ref="I209:J209"/>
    <mergeCell ref="B204:D204"/>
    <mergeCell ref="G204:H204"/>
    <mergeCell ref="I204:J204"/>
    <mergeCell ref="B205:D205"/>
    <mergeCell ref="G205:H205"/>
    <mergeCell ref="I205:J205"/>
    <mergeCell ref="G197:H197"/>
    <mergeCell ref="I197:J197"/>
    <mergeCell ref="B195:D195"/>
    <mergeCell ref="B198:D198"/>
    <mergeCell ref="E198:F198"/>
    <mergeCell ref="G198:H198"/>
    <mergeCell ref="I198:J198"/>
    <mergeCell ref="E199:F199"/>
    <mergeCell ref="A200:J200"/>
    <mergeCell ref="B199:D199"/>
    <mergeCell ref="G199:H199"/>
    <mergeCell ref="I199:J199"/>
    <mergeCell ref="K184:L184"/>
    <mergeCell ref="B187:D187"/>
    <mergeCell ref="E187:F187"/>
    <mergeCell ref="G187:H187"/>
    <mergeCell ref="I187:J187"/>
    <mergeCell ref="B188:D188"/>
    <mergeCell ref="E188:F188"/>
    <mergeCell ref="G188:H188"/>
    <mergeCell ref="I188:J188"/>
    <mergeCell ref="B180:D180"/>
    <mergeCell ref="E180:F180"/>
    <mergeCell ref="G180:H180"/>
    <mergeCell ref="I180:J180"/>
    <mergeCell ref="B181:D181"/>
    <mergeCell ref="E181:F181"/>
    <mergeCell ref="G181:H181"/>
    <mergeCell ref="I181:J181"/>
    <mergeCell ref="A184:J184"/>
    <mergeCell ref="B182:D182"/>
    <mergeCell ref="E182:F182"/>
    <mergeCell ref="G182:H182"/>
    <mergeCell ref="I182:J182"/>
    <mergeCell ref="B183:D183"/>
    <mergeCell ref="E183:F183"/>
    <mergeCell ref="G183:H183"/>
    <mergeCell ref="I183:J183"/>
    <mergeCell ref="E179:F179"/>
    <mergeCell ref="G179:H179"/>
    <mergeCell ref="I179:J179"/>
    <mergeCell ref="B171:D171"/>
    <mergeCell ref="E171:F171"/>
    <mergeCell ref="G171:H171"/>
    <mergeCell ref="I171:J171"/>
    <mergeCell ref="B172:D172"/>
    <mergeCell ref="E172:F172"/>
    <mergeCell ref="G172:H172"/>
    <mergeCell ref="I172:J172"/>
    <mergeCell ref="E316:F316"/>
    <mergeCell ref="B317:D317"/>
    <mergeCell ref="E317:F317"/>
    <mergeCell ref="G317:H317"/>
    <mergeCell ref="I317:J317"/>
    <mergeCell ref="A318:J318"/>
    <mergeCell ref="E319:F319"/>
    <mergeCell ref="B329:D329"/>
    <mergeCell ref="G329:H329"/>
    <mergeCell ref="I329:J329"/>
    <mergeCell ref="B328:D328"/>
    <mergeCell ref="G328:H328"/>
    <mergeCell ref="I328:J328"/>
    <mergeCell ref="I325:J325"/>
    <mergeCell ref="B325:D325"/>
    <mergeCell ref="E325:F325"/>
    <mergeCell ref="G324:H324"/>
    <mergeCell ref="I324:J324"/>
    <mergeCell ref="A326:J326"/>
    <mergeCell ref="B327:D327"/>
    <mergeCell ref="G327:H327"/>
    <mergeCell ref="I327:J327"/>
    <mergeCell ref="G349:H349"/>
    <mergeCell ref="I349:J349"/>
    <mergeCell ref="B350:D350"/>
    <mergeCell ref="G350:H350"/>
    <mergeCell ref="I350:J350"/>
    <mergeCell ref="G351:H351"/>
    <mergeCell ref="I351:J351"/>
    <mergeCell ref="B351:D351"/>
    <mergeCell ref="B352:D352"/>
    <mergeCell ref="G352:H352"/>
    <mergeCell ref="I352:J352"/>
    <mergeCell ref="B349:D349"/>
    <mergeCell ref="B337:D337"/>
    <mergeCell ref="G337:H337"/>
    <mergeCell ref="G342:H342"/>
    <mergeCell ref="I342:J342"/>
    <mergeCell ref="B344:D344"/>
    <mergeCell ref="G344:H344"/>
    <mergeCell ref="I344:J344"/>
    <mergeCell ref="B345:D345"/>
    <mergeCell ref="G345:H345"/>
    <mergeCell ref="I345:J345"/>
    <mergeCell ref="B343:D343"/>
    <mergeCell ref="G343:H343"/>
    <mergeCell ref="I343:J343"/>
    <mergeCell ref="E338:F338"/>
    <mergeCell ref="A339:J339"/>
    <mergeCell ref="B340:D340"/>
    <mergeCell ref="E340:F340"/>
    <mergeCell ref="G340:H340"/>
    <mergeCell ref="I340:J340"/>
    <mergeCell ref="I337:J337"/>
    <mergeCell ref="B338:D338"/>
    <mergeCell ref="G338:H338"/>
    <mergeCell ref="I338:J338"/>
    <mergeCell ref="E345:F345"/>
    <mergeCell ref="E313:F313"/>
    <mergeCell ref="E315:F315"/>
    <mergeCell ref="B363:D363"/>
    <mergeCell ref="I363:J363"/>
    <mergeCell ref="A323:J323"/>
    <mergeCell ref="B313:D313"/>
    <mergeCell ref="G313:H313"/>
    <mergeCell ref="I313:J313"/>
    <mergeCell ref="E320:F320"/>
    <mergeCell ref="E321:F321"/>
    <mergeCell ref="G321:H321"/>
    <mergeCell ref="I321:J321"/>
    <mergeCell ref="B321:D321"/>
    <mergeCell ref="B316:D316"/>
    <mergeCell ref="G316:H316"/>
    <mergeCell ref="I316:J316"/>
    <mergeCell ref="A322:J322"/>
    <mergeCell ref="B324:D324"/>
    <mergeCell ref="E324:F324"/>
    <mergeCell ref="B341:D341"/>
    <mergeCell ref="E341:F341"/>
    <mergeCell ref="G341:H341"/>
    <mergeCell ref="I341:J341"/>
    <mergeCell ref="B342:D342"/>
    <mergeCell ref="B260:D260"/>
    <mergeCell ref="B261:D261"/>
    <mergeCell ref="B252:D252"/>
    <mergeCell ref="B253:D253"/>
    <mergeCell ref="B254:D254"/>
    <mergeCell ref="B255:D255"/>
    <mergeCell ref="B262:D262"/>
    <mergeCell ref="B263:D263"/>
    <mergeCell ref="B264:D264"/>
    <mergeCell ref="B265:D265"/>
    <mergeCell ref="B266:D266"/>
    <mergeCell ref="B275:D275"/>
    <mergeCell ref="E275:F275"/>
    <mergeCell ref="B270:D270"/>
    <mergeCell ref="G275:J275"/>
    <mergeCell ref="B277:D277"/>
    <mergeCell ref="E277:F277"/>
    <mergeCell ref="B279:D279"/>
    <mergeCell ref="E279:F279"/>
    <mergeCell ref="A276:J276"/>
    <mergeCell ref="B267:D267"/>
    <mergeCell ref="B268:D268"/>
    <mergeCell ref="B269:D269"/>
    <mergeCell ref="B271:D271"/>
    <mergeCell ref="G271:J271"/>
    <mergeCell ref="A272:J272"/>
    <mergeCell ref="A273:A274"/>
    <mergeCell ref="B273:D274"/>
    <mergeCell ref="E273:F274"/>
    <mergeCell ref="G273:J273"/>
    <mergeCell ref="B160:F160"/>
    <mergeCell ref="G160:H160"/>
    <mergeCell ref="I160:J160"/>
    <mergeCell ref="B245:D245"/>
    <mergeCell ref="B250:D250"/>
    <mergeCell ref="B257:D257"/>
    <mergeCell ref="B258:D258"/>
    <mergeCell ref="B259:D259"/>
    <mergeCell ref="A251:J251"/>
    <mergeCell ref="E245:F245"/>
    <mergeCell ref="G245:H245"/>
    <mergeCell ref="I245:J245"/>
    <mergeCell ref="B246:D246"/>
    <mergeCell ref="E246:F246"/>
    <mergeCell ref="G246:H246"/>
    <mergeCell ref="I168:J168"/>
    <mergeCell ref="A169:J169"/>
    <mergeCell ref="B170:D170"/>
    <mergeCell ref="E170:F170"/>
    <mergeCell ref="G170:H170"/>
    <mergeCell ref="I170:J170"/>
    <mergeCell ref="A173:J173"/>
    <mergeCell ref="A178:A179"/>
    <mergeCell ref="B178:C179"/>
    <mergeCell ref="K162:L162"/>
    <mergeCell ref="A163:J163"/>
    <mergeCell ref="A1:J1"/>
    <mergeCell ref="A2:J2"/>
    <mergeCell ref="A3:J3"/>
    <mergeCell ref="A5:J5"/>
    <mergeCell ref="A8:J8"/>
    <mergeCell ref="A9:A11"/>
    <mergeCell ref="B9:B11"/>
    <mergeCell ref="C9:C11"/>
    <mergeCell ref="D9:G9"/>
    <mergeCell ref="H9:H11"/>
    <mergeCell ref="A22:J22"/>
    <mergeCell ref="A23:J23"/>
    <mergeCell ref="A36:J36"/>
    <mergeCell ref="A51:J51"/>
    <mergeCell ref="A56:J56"/>
    <mergeCell ref="A65:I65"/>
    <mergeCell ref="I9:I11"/>
    <mergeCell ref="J9:J11"/>
    <mergeCell ref="D10:D11"/>
    <mergeCell ref="G157:H157"/>
    <mergeCell ref="I157:J157"/>
    <mergeCell ref="B158:F158"/>
    <mergeCell ref="E10:G10"/>
    <mergeCell ref="A13:J13"/>
    <mergeCell ref="A14:J14"/>
    <mergeCell ref="A66:B66"/>
    <mergeCell ref="A68:I68"/>
    <mergeCell ref="A71:A73"/>
    <mergeCell ref="B71:B73"/>
    <mergeCell ref="C71:C73"/>
    <mergeCell ref="D71:G71"/>
    <mergeCell ref="H71:H73"/>
    <mergeCell ref="I71:I73"/>
    <mergeCell ref="A67:B67"/>
    <mergeCell ref="A85:J85"/>
    <mergeCell ref="A86:B86"/>
    <mergeCell ref="A87:I87"/>
    <mergeCell ref="A89:J89"/>
    <mergeCell ref="B90:D90"/>
    <mergeCell ref="E90:F90"/>
    <mergeCell ref="G90:H90"/>
    <mergeCell ref="I90:J90"/>
    <mergeCell ref="J71:J73"/>
    <mergeCell ref="D72:D73"/>
    <mergeCell ref="E72:G72"/>
    <mergeCell ref="A75:J75"/>
    <mergeCell ref="A82:I82"/>
    <mergeCell ref="A83:I83"/>
    <mergeCell ref="B93:D93"/>
    <mergeCell ref="E93:F93"/>
    <mergeCell ref="G93:H93"/>
    <mergeCell ref="I93:J93"/>
    <mergeCell ref="B94:D94"/>
    <mergeCell ref="E94:F94"/>
    <mergeCell ref="G94:H94"/>
    <mergeCell ref="B91:D91"/>
    <mergeCell ref="E91:F91"/>
    <mergeCell ref="G91:H91"/>
    <mergeCell ref="I91:J91"/>
    <mergeCell ref="B92:D92"/>
    <mergeCell ref="E92:F92"/>
    <mergeCell ref="G92:H92"/>
    <mergeCell ref="I92:J92"/>
    <mergeCell ref="A98:J98"/>
    <mergeCell ref="A99:J99"/>
    <mergeCell ref="B100:D100"/>
    <mergeCell ref="E100:F100"/>
    <mergeCell ref="G100:H100"/>
    <mergeCell ref="I100:J100"/>
    <mergeCell ref="A95:J95"/>
    <mergeCell ref="B96:D96"/>
    <mergeCell ref="E96:F96"/>
    <mergeCell ref="I96:J96"/>
    <mergeCell ref="B97:D97"/>
    <mergeCell ref="E97:F97"/>
    <mergeCell ref="I97:J97"/>
    <mergeCell ref="B104:D104"/>
    <mergeCell ref="E104:F104"/>
    <mergeCell ref="G104:H104"/>
    <mergeCell ref="I104:J104"/>
    <mergeCell ref="B105:D105"/>
    <mergeCell ref="E105:F105"/>
    <mergeCell ref="G105:H105"/>
    <mergeCell ref="I105:J105"/>
    <mergeCell ref="B101:D101"/>
    <mergeCell ref="E101:F101"/>
    <mergeCell ref="G101:H101"/>
    <mergeCell ref="I101:J101"/>
    <mergeCell ref="A102:J102"/>
    <mergeCell ref="B103:D103"/>
    <mergeCell ref="E103:F103"/>
    <mergeCell ref="G103:H103"/>
    <mergeCell ref="I103:J103"/>
    <mergeCell ref="B109:D109"/>
    <mergeCell ref="E109:F109"/>
    <mergeCell ref="I109:J109"/>
    <mergeCell ref="A110:J110"/>
    <mergeCell ref="B106:D106"/>
    <mergeCell ref="E106:F106"/>
    <mergeCell ref="G106:H106"/>
    <mergeCell ref="I106:J106"/>
    <mergeCell ref="A107:J107"/>
    <mergeCell ref="B108:D108"/>
    <mergeCell ref="E108:F108"/>
    <mergeCell ref="I108:J108"/>
    <mergeCell ref="A111:J111"/>
    <mergeCell ref="B115:D115"/>
    <mergeCell ref="E115:F115"/>
    <mergeCell ref="I115:J115"/>
    <mergeCell ref="B116:D116"/>
    <mergeCell ref="E116:F116"/>
    <mergeCell ref="I116:J116"/>
    <mergeCell ref="B112:D112"/>
    <mergeCell ref="E112:F112"/>
    <mergeCell ref="I112:J112"/>
    <mergeCell ref="B113:D113"/>
    <mergeCell ref="E113:F113"/>
    <mergeCell ref="I113:J113"/>
    <mergeCell ref="B114:D114"/>
    <mergeCell ref="E114:F114"/>
    <mergeCell ref="I114:J114"/>
    <mergeCell ref="I120:J120"/>
    <mergeCell ref="I121:J121"/>
    <mergeCell ref="B117:D117"/>
    <mergeCell ref="E117:F117"/>
    <mergeCell ref="I117:J117"/>
    <mergeCell ref="B120:D120"/>
    <mergeCell ref="E120:F120"/>
    <mergeCell ref="B121:D121"/>
    <mergeCell ref="E121:F121"/>
    <mergeCell ref="B118:D118"/>
    <mergeCell ref="E118:F118"/>
    <mergeCell ref="I118:J118"/>
    <mergeCell ref="A119:J119"/>
    <mergeCell ref="I124:J124"/>
    <mergeCell ref="I125:J125"/>
    <mergeCell ref="I122:J122"/>
    <mergeCell ref="B122:D122"/>
    <mergeCell ref="E122:F122"/>
    <mergeCell ref="A123:J123"/>
    <mergeCell ref="B124:D124"/>
    <mergeCell ref="E124:F124"/>
    <mergeCell ref="B125:D125"/>
    <mergeCell ref="E125:F125"/>
    <mergeCell ref="B129:F129"/>
    <mergeCell ref="G129:H129"/>
    <mergeCell ref="I129:J129"/>
    <mergeCell ref="I126:J126"/>
    <mergeCell ref="I127:J127"/>
    <mergeCell ref="B126:D126"/>
    <mergeCell ref="E126:F126"/>
    <mergeCell ref="B127:D127"/>
    <mergeCell ref="E127:F127"/>
    <mergeCell ref="A128:J128"/>
    <mergeCell ref="B132:F132"/>
    <mergeCell ref="G132:H132"/>
    <mergeCell ref="I132:J132"/>
    <mergeCell ref="B133:F133"/>
    <mergeCell ref="G133:H133"/>
    <mergeCell ref="I133:J133"/>
    <mergeCell ref="B130:F130"/>
    <mergeCell ref="G130:H130"/>
    <mergeCell ref="I130:J130"/>
    <mergeCell ref="B131:F131"/>
    <mergeCell ref="G131:H131"/>
    <mergeCell ref="I131:J131"/>
    <mergeCell ref="B136:F136"/>
    <mergeCell ref="G136:H136"/>
    <mergeCell ref="I136:J136"/>
    <mergeCell ref="B137:F137"/>
    <mergeCell ref="G137:H137"/>
    <mergeCell ref="I137:J137"/>
    <mergeCell ref="B134:F134"/>
    <mergeCell ref="G134:H134"/>
    <mergeCell ref="I134:J134"/>
    <mergeCell ref="B135:F135"/>
    <mergeCell ref="G135:H135"/>
    <mergeCell ref="I135:J135"/>
    <mergeCell ref="B140:F140"/>
    <mergeCell ref="G140:H140"/>
    <mergeCell ref="I140:J140"/>
    <mergeCell ref="B141:F141"/>
    <mergeCell ref="G141:H141"/>
    <mergeCell ref="I141:J141"/>
    <mergeCell ref="B138:F138"/>
    <mergeCell ref="G138:H138"/>
    <mergeCell ref="I138:J138"/>
    <mergeCell ref="B139:F139"/>
    <mergeCell ref="G139:H139"/>
    <mergeCell ref="I139:J139"/>
    <mergeCell ref="B144:F144"/>
    <mergeCell ref="G144:H144"/>
    <mergeCell ref="I144:J144"/>
    <mergeCell ref="B145:F145"/>
    <mergeCell ref="G145:H145"/>
    <mergeCell ref="I145:J145"/>
    <mergeCell ref="B142:F142"/>
    <mergeCell ref="G142:H142"/>
    <mergeCell ref="I142:J142"/>
    <mergeCell ref="B143:F143"/>
    <mergeCell ref="G143:H143"/>
    <mergeCell ref="I143:J143"/>
    <mergeCell ref="B148:F148"/>
    <mergeCell ref="G148:H148"/>
    <mergeCell ref="I148:J148"/>
    <mergeCell ref="B149:F149"/>
    <mergeCell ref="G149:H149"/>
    <mergeCell ref="I149:J149"/>
    <mergeCell ref="B146:F146"/>
    <mergeCell ref="G146:H146"/>
    <mergeCell ref="I146:J146"/>
    <mergeCell ref="B147:F147"/>
    <mergeCell ref="G147:H147"/>
    <mergeCell ref="I147:J147"/>
    <mergeCell ref="B150:F150"/>
    <mergeCell ref="G150:H150"/>
    <mergeCell ref="I150:J150"/>
    <mergeCell ref="B151:F151"/>
    <mergeCell ref="I151:J151"/>
    <mergeCell ref="B152:F152"/>
    <mergeCell ref="G152:H152"/>
    <mergeCell ref="I152:J152"/>
    <mergeCell ref="G151:H151"/>
    <mergeCell ref="A164:J164"/>
    <mergeCell ref="B153:F153"/>
    <mergeCell ref="G153:H153"/>
    <mergeCell ref="I153:J153"/>
    <mergeCell ref="B154:F154"/>
    <mergeCell ref="G154:H154"/>
    <mergeCell ref="I154:J154"/>
    <mergeCell ref="B155:F155"/>
    <mergeCell ref="G155:H155"/>
    <mergeCell ref="G162:H162"/>
    <mergeCell ref="I162:J162"/>
    <mergeCell ref="I155:J155"/>
    <mergeCell ref="B156:F156"/>
    <mergeCell ref="I156:J156"/>
    <mergeCell ref="B157:F157"/>
    <mergeCell ref="G156:H156"/>
    <mergeCell ref="B161:F161"/>
    <mergeCell ref="I161:J161"/>
    <mergeCell ref="B162:F162"/>
    <mergeCell ref="G158:H158"/>
    <mergeCell ref="I158:J158"/>
    <mergeCell ref="B159:F159"/>
    <mergeCell ref="G159:H159"/>
    <mergeCell ref="I159:J159"/>
    <mergeCell ref="B167:D167"/>
    <mergeCell ref="E167:F167"/>
    <mergeCell ref="G167:H167"/>
    <mergeCell ref="I167:J167"/>
    <mergeCell ref="B177:D177"/>
    <mergeCell ref="E177:F177"/>
    <mergeCell ref="G177:H177"/>
    <mergeCell ref="I177:J177"/>
    <mergeCell ref="E178:F178"/>
    <mergeCell ref="G178:H178"/>
    <mergeCell ref="I178:J178"/>
    <mergeCell ref="B176:D176"/>
    <mergeCell ref="E176:F176"/>
    <mergeCell ref="G176:H176"/>
    <mergeCell ref="I176:J176"/>
    <mergeCell ref="B168:D168"/>
    <mergeCell ref="E168:F168"/>
    <mergeCell ref="G168:H168"/>
    <mergeCell ref="B190:D190"/>
    <mergeCell ref="E190:F190"/>
    <mergeCell ref="G190:H190"/>
    <mergeCell ref="I190:J190"/>
    <mergeCell ref="B189:D189"/>
    <mergeCell ref="E189:F189"/>
    <mergeCell ref="G189:H189"/>
    <mergeCell ref="I189:J189"/>
    <mergeCell ref="A191:J191"/>
    <mergeCell ref="B212:D212"/>
    <mergeCell ref="I212:J212"/>
    <mergeCell ref="G211:H211"/>
    <mergeCell ref="G212:H212"/>
    <mergeCell ref="G213:H213"/>
    <mergeCell ref="A194:J194"/>
    <mergeCell ref="B208:D208"/>
    <mergeCell ref="G208:H208"/>
    <mergeCell ref="I208:J208"/>
    <mergeCell ref="B206:D206"/>
    <mergeCell ref="G206:H206"/>
    <mergeCell ref="I206:J206"/>
    <mergeCell ref="B207:D207"/>
    <mergeCell ref="G207:H207"/>
    <mergeCell ref="I207:J207"/>
    <mergeCell ref="E195:F195"/>
    <mergeCell ref="G195:H195"/>
    <mergeCell ref="I195:J195"/>
    <mergeCell ref="B196:D196"/>
    <mergeCell ref="E196:F196"/>
    <mergeCell ref="G196:H196"/>
    <mergeCell ref="I196:J196"/>
    <mergeCell ref="B197:D197"/>
    <mergeCell ref="E197:F197"/>
    <mergeCell ref="B210:D210"/>
    <mergeCell ref="G210:H210"/>
    <mergeCell ref="I210:J210"/>
    <mergeCell ref="A215:J215"/>
    <mergeCell ref="B221:D221"/>
    <mergeCell ref="F221:G221"/>
    <mergeCell ref="I221:J221"/>
    <mergeCell ref="B222:D222"/>
    <mergeCell ref="F222:G222"/>
    <mergeCell ref="I222:J222"/>
    <mergeCell ref="B219:D219"/>
    <mergeCell ref="I219:J219"/>
    <mergeCell ref="B217:D217"/>
    <mergeCell ref="I217:J217"/>
    <mergeCell ref="B218:D218"/>
    <mergeCell ref="I218:J218"/>
    <mergeCell ref="B216:D216"/>
    <mergeCell ref="I216:J216"/>
    <mergeCell ref="E216:F216"/>
    <mergeCell ref="G216:H216"/>
    <mergeCell ref="B213:D213"/>
    <mergeCell ref="I213:J213"/>
    <mergeCell ref="B211:D211"/>
    <mergeCell ref="I211:J211"/>
    <mergeCell ref="I229:J229"/>
    <mergeCell ref="B230:D230"/>
    <mergeCell ref="F230:G230"/>
    <mergeCell ref="I230:J230"/>
    <mergeCell ref="B227:D227"/>
    <mergeCell ref="F227:G227"/>
    <mergeCell ref="I227:J227"/>
    <mergeCell ref="B228:D228"/>
    <mergeCell ref="F228:G228"/>
    <mergeCell ref="I228:J228"/>
    <mergeCell ref="B234:D234"/>
    <mergeCell ref="I234:J234"/>
    <mergeCell ref="B235:D235"/>
    <mergeCell ref="I235:J235"/>
    <mergeCell ref="B231:D231"/>
    <mergeCell ref="F231:G231"/>
    <mergeCell ref="I231:J231"/>
    <mergeCell ref="B233:D233"/>
    <mergeCell ref="I233:J233"/>
    <mergeCell ref="B232:D232"/>
    <mergeCell ref="F232:G232"/>
    <mergeCell ref="I232:J232"/>
    <mergeCell ref="F233:G233"/>
    <mergeCell ref="F234:G234"/>
    <mergeCell ref="F235:G235"/>
    <mergeCell ref="B236:D236"/>
    <mergeCell ref="I236:J236"/>
    <mergeCell ref="F236:G236"/>
    <mergeCell ref="B238:D238"/>
    <mergeCell ref="I238:J238"/>
    <mergeCell ref="B239:D239"/>
    <mergeCell ref="I239:J239"/>
    <mergeCell ref="I240:J240"/>
    <mergeCell ref="B241:D241"/>
    <mergeCell ref="F238:G238"/>
    <mergeCell ref="F239:G239"/>
    <mergeCell ref="F240:G240"/>
    <mergeCell ref="F241:G241"/>
    <mergeCell ref="B240:D240"/>
    <mergeCell ref="B280:D280"/>
    <mergeCell ref="E280:F280"/>
    <mergeCell ref="B282:D282"/>
    <mergeCell ref="E282:F282"/>
    <mergeCell ref="A286:J286"/>
    <mergeCell ref="B290:D290"/>
    <mergeCell ref="E290:F290"/>
    <mergeCell ref="B291:D291"/>
    <mergeCell ref="A278:J278"/>
    <mergeCell ref="B281:D281"/>
    <mergeCell ref="E281:F281"/>
    <mergeCell ref="B283:D283"/>
    <mergeCell ref="E283:F283"/>
    <mergeCell ref="B284:D284"/>
    <mergeCell ref="E284:F284"/>
    <mergeCell ref="B285:D285"/>
    <mergeCell ref="E285:F285"/>
    <mergeCell ref="B292:D292"/>
    <mergeCell ref="E292:F292"/>
    <mergeCell ref="B294:D294"/>
    <mergeCell ref="E294:F294"/>
    <mergeCell ref="B287:D287"/>
    <mergeCell ref="E287:F287"/>
    <mergeCell ref="B288:D288"/>
    <mergeCell ref="B289:D289"/>
    <mergeCell ref="E289:F289"/>
    <mergeCell ref="B293:D293"/>
    <mergeCell ref="E293:F293"/>
    <mergeCell ref="E288:F288"/>
    <mergeCell ref="G301:H301"/>
    <mergeCell ref="B319:D319"/>
    <mergeCell ref="G319:H319"/>
    <mergeCell ref="I319:J319"/>
    <mergeCell ref="A314:J314"/>
    <mergeCell ref="B315:D315"/>
    <mergeCell ref="G315:H315"/>
    <mergeCell ref="I315:J315"/>
    <mergeCell ref="B320:D320"/>
    <mergeCell ref="B303:D303"/>
    <mergeCell ref="G320:H320"/>
    <mergeCell ref="I320:J320"/>
    <mergeCell ref="B307:D307"/>
    <mergeCell ref="G307:H307"/>
    <mergeCell ref="I307:J307"/>
    <mergeCell ref="B305:D305"/>
    <mergeCell ref="E305:F305"/>
    <mergeCell ref="G305:H305"/>
    <mergeCell ref="I305:J305"/>
    <mergeCell ref="B306:D306"/>
    <mergeCell ref="E306:F306"/>
    <mergeCell ref="G306:H306"/>
    <mergeCell ref="I306:J306"/>
    <mergeCell ref="E307:F307"/>
    <mergeCell ref="G359:H359"/>
    <mergeCell ref="I359:J359"/>
    <mergeCell ref="E352:F352"/>
    <mergeCell ref="A353:J353"/>
    <mergeCell ref="B354:D354"/>
    <mergeCell ref="E354:F354"/>
    <mergeCell ref="G354:H354"/>
    <mergeCell ref="I354:J354"/>
    <mergeCell ref="B364:D364"/>
    <mergeCell ref="I364:J364"/>
    <mergeCell ref="A360:J360"/>
    <mergeCell ref="B355:D355"/>
    <mergeCell ref="E355:F355"/>
    <mergeCell ref="G355:H355"/>
    <mergeCell ref="I355:J355"/>
    <mergeCell ref="A356:J356"/>
    <mergeCell ref="B357:D357"/>
    <mergeCell ref="G357:H357"/>
    <mergeCell ref="I357:J357"/>
    <mergeCell ref="E359:F359"/>
    <mergeCell ref="B359:D359"/>
    <mergeCell ref="B358:D358"/>
    <mergeCell ref="G358:H358"/>
    <mergeCell ref="I358:J358"/>
    <mergeCell ref="I372:J372"/>
    <mergeCell ref="B377:D377"/>
    <mergeCell ref="G377:H377"/>
    <mergeCell ref="I377:J377"/>
    <mergeCell ref="G382:H382"/>
    <mergeCell ref="I382:J382"/>
    <mergeCell ref="G385:H385"/>
    <mergeCell ref="I385:J385"/>
    <mergeCell ref="B380:D380"/>
    <mergeCell ref="G380:H380"/>
    <mergeCell ref="I380:J380"/>
    <mergeCell ref="B381:D381"/>
    <mergeCell ref="G381:H381"/>
    <mergeCell ref="I381:J381"/>
    <mergeCell ref="E377:F377"/>
    <mergeCell ref="B378:D378"/>
    <mergeCell ref="A384:J384"/>
    <mergeCell ref="B382:D382"/>
    <mergeCell ref="B385:D385"/>
    <mergeCell ref="A390:J390"/>
    <mergeCell ref="B391:D391"/>
    <mergeCell ref="B393:D393"/>
    <mergeCell ref="I391:J391"/>
    <mergeCell ref="I393:J393"/>
    <mergeCell ref="B395:D395"/>
    <mergeCell ref="I395:J395"/>
    <mergeCell ref="A394:J394"/>
    <mergeCell ref="G391:H391"/>
    <mergeCell ref="B392:D392"/>
    <mergeCell ref="G392:H392"/>
    <mergeCell ref="I392:J392"/>
    <mergeCell ref="G393:H393"/>
    <mergeCell ref="B397:D397"/>
    <mergeCell ref="I397:J397"/>
    <mergeCell ref="I412:J412"/>
    <mergeCell ref="I413:J413"/>
    <mergeCell ref="I414:J414"/>
    <mergeCell ref="I415:J415"/>
    <mergeCell ref="B403:D403"/>
    <mergeCell ref="E403:F403"/>
    <mergeCell ref="A396:J396"/>
    <mergeCell ref="I409:J409"/>
    <mergeCell ref="I411:J411"/>
    <mergeCell ref="B398:D398"/>
    <mergeCell ref="E398:F398"/>
    <mergeCell ref="G398:H398"/>
    <mergeCell ref="I398:J398"/>
    <mergeCell ref="B399:D399"/>
    <mergeCell ref="E399:F399"/>
    <mergeCell ref="G399:H399"/>
    <mergeCell ref="I399:J399"/>
    <mergeCell ref="A400:J400"/>
    <mergeCell ref="A401:A402"/>
    <mergeCell ref="B401:D402"/>
    <mergeCell ref="E401:F402"/>
    <mergeCell ref="G403:J403"/>
  </mergeCells>
  <pageMargins left="0.70866141732283472" right="0.70866141732283472" top="0.74803149606299213" bottom="0.74803149606299213" header="0.31496062992125984" footer="0.31496062992125984"/>
  <pageSetup paperSize="9" scale="49" fitToHeight="2"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400"/>
  <sheetViews>
    <sheetView workbookViewId="0">
      <selection activeCell="A396" sqref="A1:J396"/>
    </sheetView>
  </sheetViews>
  <sheetFormatPr defaultColWidth="9.140625" defaultRowHeight="15" x14ac:dyDescent="0.25"/>
  <cols>
    <col min="1" max="1" width="5.140625" style="1" customWidth="1"/>
    <col min="2" max="2" width="25" style="1" customWidth="1"/>
    <col min="3" max="3" width="9.140625" style="1"/>
    <col min="4" max="4" width="17.140625" style="1" customWidth="1"/>
    <col min="5" max="5" width="13.140625" style="1" customWidth="1"/>
    <col min="6" max="6" width="10.7109375" style="1" customWidth="1"/>
    <col min="7" max="7" width="12.28515625" style="1" customWidth="1"/>
    <col min="8" max="8" width="10.7109375" style="1" customWidth="1"/>
    <col min="9" max="9" width="11.5703125" style="1" customWidth="1"/>
    <col min="10" max="10" width="24.85546875" style="1" customWidth="1"/>
    <col min="11" max="11" width="16.42578125" style="1" customWidth="1"/>
    <col min="12" max="12" width="18.140625" style="1" customWidth="1"/>
    <col min="13" max="13" width="9.7109375" style="1" customWidth="1"/>
    <col min="14" max="14" width="14" style="1" customWidth="1"/>
    <col min="15" max="16384" width="9.140625" style="1"/>
  </cols>
  <sheetData>
    <row r="1" spans="1:14" ht="26.25" customHeight="1" x14ac:dyDescent="0.25">
      <c r="A1" s="1585" t="s">
        <v>68</v>
      </c>
      <c r="B1" s="1585"/>
      <c r="C1" s="1585"/>
      <c r="D1" s="1585"/>
      <c r="E1" s="1585"/>
      <c r="F1" s="1585"/>
      <c r="G1" s="1585"/>
      <c r="H1" s="1585"/>
      <c r="I1" s="1585"/>
      <c r="J1" s="1585"/>
    </row>
    <row r="2" spans="1:14" ht="17.25" customHeight="1" x14ac:dyDescent="0.25">
      <c r="A2" s="1585" t="s">
        <v>419</v>
      </c>
      <c r="B2" s="1585"/>
      <c r="C2" s="1585"/>
      <c r="D2" s="1585"/>
      <c r="E2" s="1585"/>
      <c r="F2" s="1585"/>
      <c r="G2" s="1585"/>
      <c r="H2" s="1585"/>
      <c r="I2" s="1585"/>
      <c r="J2" s="1585"/>
    </row>
    <row r="3" spans="1:14" ht="47.25" customHeight="1" x14ac:dyDescent="0.25">
      <c r="A3" s="1585" t="s">
        <v>525</v>
      </c>
      <c r="B3" s="1585"/>
      <c r="C3" s="1585"/>
      <c r="D3" s="1585"/>
      <c r="E3" s="1585"/>
      <c r="F3" s="1585"/>
      <c r="G3" s="1585"/>
      <c r="H3" s="1585"/>
      <c r="I3" s="1585"/>
      <c r="J3" s="1585"/>
    </row>
    <row r="4" spans="1:14" ht="15.75" x14ac:dyDescent="0.25">
      <c r="A4" s="80"/>
      <c r="B4" s="81"/>
      <c r="C4" s="81"/>
      <c r="D4" s="82" t="s">
        <v>263</v>
      </c>
      <c r="E4" s="457" t="s">
        <v>1179</v>
      </c>
      <c r="F4" s="83" t="s">
        <v>533</v>
      </c>
      <c r="G4" s="81"/>
      <c r="H4" s="81"/>
      <c r="I4" s="81"/>
      <c r="J4" s="81"/>
    </row>
    <row r="5" spans="1:14" ht="15.75" x14ac:dyDescent="0.25">
      <c r="A5" s="1446" t="s">
        <v>0</v>
      </c>
      <c r="B5" s="1446"/>
      <c r="C5" s="1446"/>
      <c r="D5" s="1446"/>
      <c r="E5" s="1446"/>
      <c r="F5" s="1446"/>
      <c r="G5" s="1446"/>
      <c r="H5" s="1446"/>
      <c r="I5" s="1446"/>
      <c r="J5" s="1446"/>
    </row>
    <row r="6" spans="1:14" ht="19.5" customHeight="1" x14ac:dyDescent="0.25">
      <c r="A6" s="80" t="s">
        <v>80</v>
      </c>
      <c r="B6" s="81"/>
      <c r="C6" s="307">
        <v>111</v>
      </c>
      <c r="D6" s="307">
        <v>112</v>
      </c>
      <c r="E6" s="307">
        <v>119</v>
      </c>
      <c r="F6" s="85"/>
      <c r="G6" s="85"/>
      <c r="H6" s="85"/>
      <c r="I6" s="85"/>
      <c r="J6" s="85"/>
    </row>
    <row r="7" spans="1:14" ht="22.5" customHeight="1" x14ac:dyDescent="0.25">
      <c r="A7" s="80" t="s">
        <v>81</v>
      </c>
      <c r="B7" s="81"/>
      <c r="C7" s="81"/>
      <c r="D7" s="81"/>
      <c r="E7" s="86" t="s">
        <v>82</v>
      </c>
      <c r="F7" s="87"/>
      <c r="G7" s="86"/>
      <c r="H7" s="87"/>
      <c r="I7" s="87"/>
      <c r="J7" s="87"/>
    </row>
    <row r="8" spans="1:14" ht="21" customHeight="1" x14ac:dyDescent="0.25">
      <c r="A8" s="1442" t="s">
        <v>350</v>
      </c>
      <c r="B8" s="1442"/>
      <c r="C8" s="1442"/>
      <c r="D8" s="1442"/>
      <c r="E8" s="1442"/>
      <c r="F8" s="1442"/>
      <c r="G8" s="1442"/>
      <c r="H8" s="1442"/>
      <c r="I8" s="1442"/>
      <c r="J8" s="1442"/>
      <c r="L8" s="1">
        <v>4362.7700000000004</v>
      </c>
      <c r="M8" s="1">
        <v>54</v>
      </c>
      <c r="N8" s="1">
        <f>L8*M8</f>
        <v>235589.58000000002</v>
      </c>
    </row>
    <row r="9" spans="1:14" x14ac:dyDescent="0.25">
      <c r="A9" s="1574" t="s">
        <v>1</v>
      </c>
      <c r="B9" s="1579" t="s">
        <v>2</v>
      </c>
      <c r="C9" s="1579" t="s">
        <v>3</v>
      </c>
      <c r="D9" s="1574" t="s">
        <v>4</v>
      </c>
      <c r="E9" s="1574"/>
      <c r="F9" s="1574"/>
      <c r="G9" s="1574"/>
      <c r="H9" s="1574" t="s">
        <v>5</v>
      </c>
      <c r="I9" s="1579" t="s">
        <v>6</v>
      </c>
      <c r="J9" s="1579" t="s">
        <v>305</v>
      </c>
    </row>
    <row r="10" spans="1:14" ht="33" customHeight="1" x14ac:dyDescent="0.25">
      <c r="A10" s="1574"/>
      <c r="B10" s="1579"/>
      <c r="C10" s="1579"/>
      <c r="D10" s="1579" t="s">
        <v>8</v>
      </c>
      <c r="E10" s="1579" t="s">
        <v>9</v>
      </c>
      <c r="F10" s="1579"/>
      <c r="G10" s="1579"/>
      <c r="H10" s="1574"/>
      <c r="I10" s="1579"/>
      <c r="J10" s="1579"/>
    </row>
    <row r="11" spans="1:14" ht="75" x14ac:dyDescent="0.25">
      <c r="A11" s="1574"/>
      <c r="B11" s="1579"/>
      <c r="C11" s="1579"/>
      <c r="D11" s="1579"/>
      <c r="E11" s="628" t="s">
        <v>10</v>
      </c>
      <c r="F11" s="628" t="s">
        <v>11</v>
      </c>
      <c r="G11" s="628" t="s">
        <v>12</v>
      </c>
      <c r="H11" s="1574"/>
      <c r="I11" s="1579"/>
      <c r="J11" s="1579"/>
    </row>
    <row r="12" spans="1:14" ht="14.25" customHeight="1" x14ac:dyDescent="0.25">
      <c r="A12" s="665">
        <v>1</v>
      </c>
      <c r="B12" s="665">
        <v>2</v>
      </c>
      <c r="C12" s="665">
        <v>3</v>
      </c>
      <c r="D12" s="665">
        <v>4</v>
      </c>
      <c r="E12" s="665">
        <v>5</v>
      </c>
      <c r="F12" s="665">
        <v>6</v>
      </c>
      <c r="G12" s="665">
        <v>7</v>
      </c>
      <c r="H12" s="665">
        <v>8</v>
      </c>
      <c r="I12" s="665">
        <v>9</v>
      </c>
      <c r="J12" s="665">
        <v>10</v>
      </c>
    </row>
    <row r="13" spans="1:14" s="41" customFormat="1" x14ac:dyDescent="0.2">
      <c r="A13" s="1580" t="s">
        <v>351</v>
      </c>
      <c r="B13" s="1579"/>
      <c r="C13" s="1579"/>
      <c r="D13" s="1579"/>
      <c r="E13" s="1579"/>
      <c r="F13" s="1579"/>
      <c r="G13" s="1579"/>
      <c r="H13" s="1579"/>
      <c r="I13" s="1579"/>
      <c r="J13" s="1579"/>
    </row>
    <row r="14" spans="1:14" s="41" customFormat="1" hidden="1" x14ac:dyDescent="0.2">
      <c r="A14" s="1581" t="s">
        <v>420</v>
      </c>
      <c r="B14" s="1573"/>
      <c r="C14" s="1573"/>
      <c r="D14" s="1573"/>
      <c r="E14" s="1573"/>
      <c r="F14" s="1573"/>
      <c r="G14" s="1573"/>
      <c r="H14" s="1573"/>
      <c r="I14" s="1573"/>
      <c r="J14" s="1573"/>
    </row>
    <row r="15" spans="1:14" ht="20.25" hidden="1" customHeight="1" x14ac:dyDescent="0.25">
      <c r="A15" s="624">
        <v>1</v>
      </c>
      <c r="B15" s="102" t="s">
        <v>257</v>
      </c>
      <c r="C15" s="624"/>
      <c r="D15" s="103">
        <v>0</v>
      </c>
      <c r="E15" s="103">
        <v>75000</v>
      </c>
      <c r="F15" s="103">
        <v>0</v>
      </c>
      <c r="G15" s="103">
        <v>20000</v>
      </c>
      <c r="H15" s="104">
        <v>50</v>
      </c>
      <c r="I15" s="624">
        <v>1.7</v>
      </c>
      <c r="J15" s="105">
        <f>((C15*D15*(H15/100+I15))*12)</f>
        <v>0</v>
      </c>
      <c r="K15" s="128"/>
    </row>
    <row r="16" spans="1:14" ht="45" hidden="1" customHeight="1" x14ac:dyDescent="0.25">
      <c r="A16" s="624">
        <v>1</v>
      </c>
      <c r="B16" s="102" t="s">
        <v>421</v>
      </c>
      <c r="C16" s="624">
        <v>0</v>
      </c>
      <c r="D16" s="103">
        <v>0</v>
      </c>
      <c r="E16" s="103">
        <v>3000</v>
      </c>
      <c r="F16" s="103">
        <v>2600</v>
      </c>
      <c r="G16" s="103">
        <v>1000</v>
      </c>
      <c r="H16" s="104">
        <v>50</v>
      </c>
      <c r="I16" s="624">
        <v>1.7</v>
      </c>
      <c r="J16" s="105">
        <f>((C16*D16*(H16/100+I16))*12)*1.2</f>
        <v>0</v>
      </c>
    </row>
    <row r="17" spans="1:12" ht="45" hidden="1" customHeight="1" x14ac:dyDescent="0.25">
      <c r="A17" s="624">
        <v>3</v>
      </c>
      <c r="B17" s="102" t="s">
        <v>422</v>
      </c>
      <c r="C17" s="624"/>
      <c r="D17" s="103"/>
      <c r="E17" s="103">
        <v>37800</v>
      </c>
      <c r="F17" s="103">
        <v>0</v>
      </c>
      <c r="G17" s="103">
        <f t="shared" ref="G17:G19" si="0">E17*20%</f>
        <v>7560</v>
      </c>
      <c r="H17" s="104">
        <v>50</v>
      </c>
      <c r="I17" s="624">
        <v>1.7</v>
      </c>
      <c r="J17" s="105">
        <f t="shared" ref="J17:J20" si="1">((C17*D17*(H17/100+I17))*12)*1.2</f>
        <v>0</v>
      </c>
    </row>
    <row r="18" spans="1:12" ht="45" hidden="1" customHeight="1" x14ac:dyDescent="0.25">
      <c r="A18" s="624">
        <v>4</v>
      </c>
      <c r="B18" s="102" t="s">
        <v>423</v>
      </c>
      <c r="C18" s="624"/>
      <c r="D18" s="103"/>
      <c r="E18" s="103">
        <v>37800</v>
      </c>
      <c r="F18" s="103">
        <v>0</v>
      </c>
      <c r="G18" s="103">
        <f t="shared" si="0"/>
        <v>7560</v>
      </c>
      <c r="H18" s="104">
        <v>50</v>
      </c>
      <c r="I18" s="624">
        <v>17</v>
      </c>
      <c r="J18" s="105">
        <f t="shared" si="1"/>
        <v>0</v>
      </c>
      <c r="L18" s="1">
        <f>((C18*D18+(H18/100+I18)*12))</f>
        <v>210</v>
      </c>
    </row>
    <row r="19" spans="1:12" ht="49.5" hidden="1" customHeight="1" x14ac:dyDescent="0.25">
      <c r="A19" s="624">
        <v>5</v>
      </c>
      <c r="B19" s="102" t="s">
        <v>424</v>
      </c>
      <c r="C19" s="624"/>
      <c r="D19" s="103"/>
      <c r="E19" s="103">
        <v>37800</v>
      </c>
      <c r="F19" s="103">
        <v>0</v>
      </c>
      <c r="G19" s="103">
        <f t="shared" si="0"/>
        <v>7560</v>
      </c>
      <c r="H19" s="104">
        <v>50</v>
      </c>
      <c r="I19" s="624">
        <v>1.7</v>
      </c>
      <c r="J19" s="105">
        <f t="shared" si="1"/>
        <v>0</v>
      </c>
    </row>
    <row r="20" spans="1:12" hidden="1" x14ac:dyDescent="0.25">
      <c r="A20" s="624">
        <v>2</v>
      </c>
      <c r="B20" s="102" t="s">
        <v>258</v>
      </c>
      <c r="C20" s="624">
        <v>0</v>
      </c>
      <c r="D20" s="103">
        <v>0</v>
      </c>
      <c r="E20" s="103">
        <v>3000</v>
      </c>
      <c r="F20" s="103">
        <v>2600</v>
      </c>
      <c r="G20" s="103">
        <v>1500</v>
      </c>
      <c r="H20" s="104">
        <v>50</v>
      </c>
      <c r="I20" s="624">
        <v>1.7</v>
      </c>
      <c r="J20" s="105">
        <f t="shared" si="1"/>
        <v>0</v>
      </c>
    </row>
    <row r="21" spans="1:12" ht="28.5" hidden="1" x14ac:dyDescent="0.25">
      <c r="A21" s="106"/>
      <c r="B21" s="107" t="s">
        <v>425</v>
      </c>
      <c r="C21" s="108">
        <f>SUM(C15:C20)</f>
        <v>0</v>
      </c>
      <c r="D21" s="109">
        <f>SUM(D15:D20)</f>
        <v>0</v>
      </c>
      <c r="E21" s="108" t="s">
        <v>14</v>
      </c>
      <c r="F21" s="108" t="s">
        <v>14</v>
      </c>
      <c r="G21" s="108" t="s">
        <v>14</v>
      </c>
      <c r="H21" s="108" t="s">
        <v>14</v>
      </c>
      <c r="I21" s="108" t="s">
        <v>14</v>
      </c>
      <c r="J21" s="109">
        <f>SUM(J15:J20)</f>
        <v>0</v>
      </c>
      <c r="K21" s="129"/>
    </row>
    <row r="22" spans="1:12" x14ac:dyDescent="0.25">
      <c r="A22" s="1572" t="s">
        <v>426</v>
      </c>
      <c r="B22" s="1575"/>
      <c r="C22" s="1575"/>
      <c r="D22" s="1575"/>
      <c r="E22" s="1575"/>
      <c r="F22" s="1575"/>
      <c r="G22" s="1575"/>
      <c r="H22" s="1575"/>
      <c r="I22" s="1575"/>
      <c r="J22" s="1575"/>
    </row>
    <row r="23" spans="1:12" ht="18.75" customHeight="1" x14ac:dyDescent="0.25">
      <c r="A23" s="1576" t="s">
        <v>427</v>
      </c>
      <c r="B23" s="1577"/>
      <c r="C23" s="1577"/>
      <c r="D23" s="1577"/>
      <c r="E23" s="1577"/>
      <c r="F23" s="1577"/>
      <c r="G23" s="1577"/>
      <c r="H23" s="1577"/>
      <c r="I23" s="1577"/>
      <c r="J23" s="1578"/>
    </row>
    <row r="24" spans="1:12" hidden="1" x14ac:dyDescent="0.25">
      <c r="A24" s="624">
        <v>1</v>
      </c>
      <c r="B24" s="102" t="s">
        <v>428</v>
      </c>
      <c r="C24" s="624"/>
      <c r="D24" s="103">
        <f>E24+F24+G24</f>
        <v>12240</v>
      </c>
      <c r="E24" s="127">
        <v>10200</v>
      </c>
      <c r="F24" s="103">
        <v>0</v>
      </c>
      <c r="G24" s="103">
        <f>E24*20%</f>
        <v>2040</v>
      </c>
      <c r="H24" s="104">
        <v>50</v>
      </c>
      <c r="I24" s="624">
        <v>1.7</v>
      </c>
      <c r="J24" s="132">
        <f>(C24*D24*(H24/100+I24))*13.8</f>
        <v>0</v>
      </c>
      <c r="K24" s="125"/>
    </row>
    <row r="25" spans="1:12" ht="75" hidden="1" x14ac:dyDescent="0.25">
      <c r="A25" s="624">
        <v>2</v>
      </c>
      <c r="B25" s="102" t="s">
        <v>429</v>
      </c>
      <c r="C25" s="624"/>
      <c r="D25" s="103">
        <f t="shared" ref="D25:D63" si="2">E25+F25+G25</f>
        <v>30000</v>
      </c>
      <c r="E25" s="127">
        <v>25000</v>
      </c>
      <c r="F25" s="103">
        <v>0</v>
      </c>
      <c r="G25" s="103">
        <v>5000</v>
      </c>
      <c r="H25" s="104">
        <v>50</v>
      </c>
      <c r="I25" s="624">
        <v>1.7</v>
      </c>
      <c r="J25" s="132">
        <f>(C25*D25*(H25/100+I25))*13</f>
        <v>0</v>
      </c>
    </row>
    <row r="26" spans="1:12" hidden="1" x14ac:dyDescent="0.25">
      <c r="A26" s="624">
        <v>3</v>
      </c>
      <c r="B26" s="102" t="s">
        <v>316</v>
      </c>
      <c r="C26" s="624"/>
      <c r="D26" s="103">
        <f t="shared" si="2"/>
        <v>37800</v>
      </c>
      <c r="E26" s="127">
        <v>31500</v>
      </c>
      <c r="F26" s="103">
        <v>0</v>
      </c>
      <c r="G26" s="103">
        <f t="shared" ref="G26:G28" si="3">E26*20%</f>
        <v>6300</v>
      </c>
      <c r="H26" s="104">
        <v>50</v>
      </c>
      <c r="I26" s="624">
        <v>1.7</v>
      </c>
      <c r="J26" s="132">
        <f>(C26*D26*(H26/100+I26))*11.4</f>
        <v>0</v>
      </c>
    </row>
    <row r="27" spans="1:12" hidden="1" x14ac:dyDescent="0.25">
      <c r="A27" s="624">
        <v>4</v>
      </c>
      <c r="B27" s="102" t="s">
        <v>430</v>
      </c>
      <c r="C27" s="624"/>
      <c r="D27" s="103">
        <f t="shared" si="2"/>
        <v>17400</v>
      </c>
      <c r="E27" s="127">
        <v>14500</v>
      </c>
      <c r="F27" s="103">
        <v>0</v>
      </c>
      <c r="G27" s="103">
        <f t="shared" si="3"/>
        <v>2900</v>
      </c>
      <c r="H27" s="104">
        <v>50</v>
      </c>
      <c r="I27" s="624">
        <v>1.7</v>
      </c>
      <c r="J27" s="132">
        <f>(C27*D27*(H27/100+I27))*14.6</f>
        <v>0</v>
      </c>
    </row>
    <row r="28" spans="1:12" hidden="1" x14ac:dyDescent="0.25">
      <c r="A28" s="624">
        <v>5</v>
      </c>
      <c r="B28" s="102" t="s">
        <v>317</v>
      </c>
      <c r="C28" s="624"/>
      <c r="D28" s="103">
        <f t="shared" si="2"/>
        <v>36000</v>
      </c>
      <c r="E28" s="127">
        <v>30000</v>
      </c>
      <c r="F28" s="103">
        <v>0</v>
      </c>
      <c r="G28" s="103">
        <f t="shared" si="3"/>
        <v>6000</v>
      </c>
      <c r="H28" s="104">
        <v>50</v>
      </c>
      <c r="I28" s="624">
        <v>1.7</v>
      </c>
      <c r="J28" s="132">
        <f t="shared" ref="J28" si="4">(C28*D28*(H28/100+I28))*14.6</f>
        <v>0</v>
      </c>
    </row>
    <row r="29" spans="1:12" ht="14.25" customHeight="1" x14ac:dyDescent="0.25">
      <c r="A29" s="761">
        <v>1</v>
      </c>
      <c r="B29" s="102" t="s">
        <v>315</v>
      </c>
      <c r="C29" s="761">
        <f>0.03*3</f>
        <v>0.09</v>
      </c>
      <c r="D29" s="335">
        <f t="shared" si="2"/>
        <v>9921.7000000000007</v>
      </c>
      <c r="E29" s="335">
        <f>7498*1.5*1.1+50-2500</f>
        <v>9921.7000000000007</v>
      </c>
      <c r="F29" s="552">
        <v>0</v>
      </c>
      <c r="G29" s="335">
        <v>0</v>
      </c>
      <c r="H29" s="591">
        <v>0.5</v>
      </c>
      <c r="I29" s="760">
        <v>1.7</v>
      </c>
      <c r="J29" s="554">
        <f>((D29*C29)*(H29+I29))*4</f>
        <v>7857.9864000000016</v>
      </c>
    </row>
    <row r="30" spans="1:12" ht="14.25" hidden="1" customHeight="1" x14ac:dyDescent="0.25">
      <c r="A30" s="761">
        <v>7</v>
      </c>
      <c r="B30" s="102" t="s">
        <v>314</v>
      </c>
      <c r="C30" s="761"/>
      <c r="D30" s="103">
        <f t="shared" si="2"/>
        <v>14906.04</v>
      </c>
      <c r="E30" s="335">
        <f t="shared" ref="E30:E31" si="5">7498*1.5*1.1+50</f>
        <v>12421.7</v>
      </c>
      <c r="F30" s="103">
        <v>0</v>
      </c>
      <c r="G30" s="335">
        <f t="shared" ref="G30:G31" si="6">(E30+F30)*20%</f>
        <v>2484.34</v>
      </c>
      <c r="H30" s="104">
        <v>50</v>
      </c>
      <c r="I30" s="761">
        <v>1.7</v>
      </c>
      <c r="J30" s="105">
        <f t="shared" ref="J30:J34" si="7">((C30*D30*(H30/100+I30))*12)*1.2</f>
        <v>0</v>
      </c>
    </row>
    <row r="31" spans="1:12" ht="30" hidden="1" customHeight="1" x14ac:dyDescent="0.25">
      <c r="A31" s="761">
        <v>6</v>
      </c>
      <c r="B31" s="102" t="s">
        <v>431</v>
      </c>
      <c r="C31" s="761"/>
      <c r="D31" s="103">
        <f t="shared" si="2"/>
        <v>14906.04</v>
      </c>
      <c r="E31" s="335">
        <f t="shared" si="5"/>
        <v>12421.7</v>
      </c>
      <c r="F31" s="103">
        <v>0</v>
      </c>
      <c r="G31" s="335">
        <f t="shared" si="6"/>
        <v>2484.34</v>
      </c>
      <c r="H31" s="104">
        <v>50</v>
      </c>
      <c r="I31" s="761">
        <v>1.7</v>
      </c>
      <c r="J31" s="105">
        <f t="shared" si="7"/>
        <v>0</v>
      </c>
      <c r="K31" s="77"/>
    </row>
    <row r="32" spans="1:12" ht="20.25" customHeight="1" x14ac:dyDescent="0.25">
      <c r="A32" s="761">
        <v>2</v>
      </c>
      <c r="B32" s="102" t="s">
        <v>316</v>
      </c>
      <c r="C32" s="761">
        <f>0.06*3</f>
        <v>0.18</v>
      </c>
      <c r="D32" s="335">
        <f t="shared" si="2"/>
        <v>9921.7000000000007</v>
      </c>
      <c r="E32" s="335">
        <f>7498*1.5*1.1+50-2500</f>
        <v>9921.7000000000007</v>
      </c>
      <c r="F32" s="552">
        <v>0</v>
      </c>
      <c r="G32" s="335">
        <v>0</v>
      </c>
      <c r="H32" s="591">
        <v>0.5</v>
      </c>
      <c r="I32" s="760">
        <v>1.7</v>
      </c>
      <c r="J32" s="554">
        <f>((D32*C32)*(H32+I32))*4</f>
        <v>15715.972800000003</v>
      </c>
      <c r="K32" s="77"/>
    </row>
    <row r="33" spans="1:11" ht="14.25" customHeight="1" x14ac:dyDescent="0.25">
      <c r="A33" s="761">
        <v>3</v>
      </c>
      <c r="B33" s="102" t="s">
        <v>712</v>
      </c>
      <c r="C33" s="761">
        <f>0.4*3</f>
        <v>1.2000000000000002</v>
      </c>
      <c r="D33" s="335">
        <f>E33+F33+G33</f>
        <v>11321.7</v>
      </c>
      <c r="E33" s="335">
        <f>(7498*1.5*1.1+50)-1100</f>
        <v>11321.7</v>
      </c>
      <c r="F33" s="552">
        <v>0</v>
      </c>
      <c r="G33" s="335">
        <v>0</v>
      </c>
      <c r="H33" s="591">
        <v>0.5</v>
      </c>
      <c r="I33" s="760">
        <v>1.7</v>
      </c>
      <c r="J33" s="554">
        <f>((D33*C33)*(H33+I33))*4</f>
        <v>119557.15200000003</v>
      </c>
      <c r="K33" s="77"/>
    </row>
    <row r="34" spans="1:11" x14ac:dyDescent="0.25">
      <c r="A34" s="761">
        <v>4</v>
      </c>
      <c r="B34" s="102" t="s">
        <v>711</v>
      </c>
      <c r="C34" s="761">
        <v>0</v>
      </c>
      <c r="D34" s="103">
        <f t="shared" si="2"/>
        <v>0</v>
      </c>
      <c r="E34" s="335">
        <v>0</v>
      </c>
      <c r="F34" s="103">
        <v>0</v>
      </c>
      <c r="G34" s="103">
        <v>0</v>
      </c>
      <c r="H34" s="104">
        <v>50</v>
      </c>
      <c r="I34" s="761">
        <v>1.7</v>
      </c>
      <c r="J34" s="105">
        <f t="shared" si="7"/>
        <v>0</v>
      </c>
      <c r="K34" s="77"/>
    </row>
    <row r="35" spans="1:11" s="206" customFormat="1" x14ac:dyDescent="0.25">
      <c r="A35" s="203"/>
      <c r="B35" s="204" t="s">
        <v>434</v>
      </c>
      <c r="C35" s="203">
        <f>SUM(C24:C34)</f>
        <v>1.4700000000000002</v>
      </c>
      <c r="D35" s="203">
        <f t="shared" ref="D35:J35" si="8">SUM(D24:D34)</f>
        <v>194417.18000000005</v>
      </c>
      <c r="E35" s="203">
        <f t="shared" si="8"/>
        <v>167208.50000000003</v>
      </c>
      <c r="F35" s="203">
        <f t="shared" si="8"/>
        <v>0</v>
      </c>
      <c r="G35" s="203">
        <f t="shared" si="8"/>
        <v>27208.68</v>
      </c>
      <c r="H35" s="203">
        <v>0</v>
      </c>
      <c r="I35" s="203">
        <v>0</v>
      </c>
      <c r="J35" s="759">
        <f t="shared" si="8"/>
        <v>143131.11120000004</v>
      </c>
      <c r="K35" s="205"/>
    </row>
    <row r="36" spans="1:11" ht="15" customHeight="1" x14ac:dyDescent="0.25">
      <c r="A36" s="1576" t="s">
        <v>435</v>
      </c>
      <c r="B36" s="1577"/>
      <c r="C36" s="1577"/>
      <c r="D36" s="1577"/>
      <c r="E36" s="1577"/>
      <c r="F36" s="1577"/>
      <c r="G36" s="1577"/>
      <c r="H36" s="1577"/>
      <c r="I36" s="1577"/>
      <c r="J36" s="1578"/>
      <c r="K36" s="77"/>
    </row>
    <row r="37" spans="1:11" ht="15" hidden="1" customHeight="1" x14ac:dyDescent="0.25">
      <c r="A37" s="761">
        <v>1</v>
      </c>
      <c r="B37" s="102" t="s">
        <v>441</v>
      </c>
      <c r="C37" s="761"/>
      <c r="D37" s="103">
        <v>14000</v>
      </c>
      <c r="E37" s="127">
        <v>12600</v>
      </c>
      <c r="F37" s="103">
        <v>0</v>
      </c>
      <c r="G37" s="103">
        <f t="shared" ref="G37:G48" si="9">E37*20%</f>
        <v>2520</v>
      </c>
      <c r="H37" s="104">
        <v>50</v>
      </c>
      <c r="I37" s="761">
        <v>1.7</v>
      </c>
      <c r="J37" s="105">
        <f t="shared" ref="J37:J44" si="10">((C37*D37*(H37/100+I37))*12)*1.2</f>
        <v>0</v>
      </c>
      <c r="K37" s="77"/>
    </row>
    <row r="38" spans="1:11" x14ac:dyDescent="0.25">
      <c r="A38" s="761">
        <v>1</v>
      </c>
      <c r="B38" s="102" t="s">
        <v>440</v>
      </c>
      <c r="C38" s="761">
        <v>0</v>
      </c>
      <c r="D38" s="335">
        <f t="shared" ref="D38:D41" si="11">E38+F38+G38</f>
        <v>0</v>
      </c>
      <c r="E38" s="127">
        <v>0</v>
      </c>
      <c r="F38" s="103">
        <v>0</v>
      </c>
      <c r="G38" s="103">
        <f t="shared" si="9"/>
        <v>0</v>
      </c>
      <c r="H38" s="104">
        <v>50</v>
      </c>
      <c r="I38" s="415">
        <v>1.7</v>
      </c>
      <c r="J38" s="105">
        <f t="shared" si="10"/>
        <v>0</v>
      </c>
      <c r="K38" s="77"/>
    </row>
    <row r="39" spans="1:11" x14ac:dyDescent="0.25">
      <c r="A39" s="761">
        <v>2</v>
      </c>
      <c r="B39" s="102" t="s">
        <v>439</v>
      </c>
      <c r="C39" s="761">
        <v>0</v>
      </c>
      <c r="D39" s="335">
        <f t="shared" si="11"/>
        <v>0</v>
      </c>
      <c r="E39" s="127">
        <v>0</v>
      </c>
      <c r="F39" s="103">
        <v>0</v>
      </c>
      <c r="G39" s="103">
        <f t="shared" si="9"/>
        <v>0</v>
      </c>
      <c r="H39" s="104">
        <v>50</v>
      </c>
      <c r="I39" s="415">
        <v>1.7</v>
      </c>
      <c r="J39" s="105">
        <f t="shared" si="10"/>
        <v>0</v>
      </c>
      <c r="K39" s="77"/>
    </row>
    <row r="40" spans="1:11" x14ac:dyDescent="0.25">
      <c r="A40" s="761">
        <v>3</v>
      </c>
      <c r="B40" s="102" t="s">
        <v>319</v>
      </c>
      <c r="C40" s="761">
        <v>0</v>
      </c>
      <c r="D40" s="335">
        <f t="shared" si="11"/>
        <v>0</v>
      </c>
      <c r="E40" s="127">
        <v>0</v>
      </c>
      <c r="F40" s="103">
        <v>0</v>
      </c>
      <c r="G40" s="103">
        <f t="shared" si="9"/>
        <v>0</v>
      </c>
      <c r="H40" s="104">
        <v>50</v>
      </c>
      <c r="I40" s="415">
        <v>1.7</v>
      </c>
      <c r="J40" s="105">
        <f t="shared" si="10"/>
        <v>0</v>
      </c>
      <c r="K40" s="77"/>
    </row>
    <row r="41" spans="1:11" x14ac:dyDescent="0.25">
      <c r="A41" s="761">
        <v>4</v>
      </c>
      <c r="B41" s="102" t="s">
        <v>320</v>
      </c>
      <c r="C41" s="761">
        <v>0</v>
      </c>
      <c r="D41" s="103">
        <f t="shared" si="11"/>
        <v>0</v>
      </c>
      <c r="E41" s="127">
        <v>0</v>
      </c>
      <c r="F41" s="103">
        <v>0</v>
      </c>
      <c r="G41" s="103">
        <f t="shared" si="9"/>
        <v>0</v>
      </c>
      <c r="H41" s="104">
        <v>0</v>
      </c>
      <c r="I41" s="761">
        <v>1.7</v>
      </c>
      <c r="J41" s="105">
        <f t="shared" si="10"/>
        <v>0</v>
      </c>
      <c r="K41" s="77"/>
    </row>
    <row r="42" spans="1:11" ht="15" hidden="1" customHeight="1" x14ac:dyDescent="0.25">
      <c r="A42" s="761">
        <v>6</v>
      </c>
      <c r="B42" s="102" t="s">
        <v>438</v>
      </c>
      <c r="C42" s="761"/>
      <c r="D42" s="103">
        <f t="shared" si="2"/>
        <v>13200</v>
      </c>
      <c r="E42" s="127">
        <v>11000</v>
      </c>
      <c r="F42" s="103">
        <v>0</v>
      </c>
      <c r="G42" s="103">
        <f t="shared" si="9"/>
        <v>2200</v>
      </c>
      <c r="H42" s="104">
        <v>50</v>
      </c>
      <c r="I42" s="761">
        <v>1.7</v>
      </c>
      <c r="J42" s="105">
        <f t="shared" si="10"/>
        <v>0</v>
      </c>
      <c r="K42" s="77"/>
    </row>
    <row r="43" spans="1:11" ht="30" hidden="1" customHeight="1" x14ac:dyDescent="0.25">
      <c r="A43" s="761">
        <v>7</v>
      </c>
      <c r="B43" s="102" t="s">
        <v>437</v>
      </c>
      <c r="C43" s="761"/>
      <c r="D43" s="103">
        <f t="shared" si="2"/>
        <v>14400</v>
      </c>
      <c r="E43" s="127">
        <v>12000</v>
      </c>
      <c r="F43" s="103">
        <v>0</v>
      </c>
      <c r="G43" s="103">
        <f t="shared" si="9"/>
        <v>2400</v>
      </c>
      <c r="H43" s="104">
        <v>50</v>
      </c>
      <c r="I43" s="761">
        <v>1.7</v>
      </c>
      <c r="J43" s="105">
        <f t="shared" si="10"/>
        <v>0</v>
      </c>
      <c r="K43" s="77"/>
    </row>
    <row r="44" spans="1:11" ht="30" hidden="1" customHeight="1" x14ac:dyDescent="0.25">
      <c r="A44" s="761">
        <v>8</v>
      </c>
      <c r="B44" s="102" t="s">
        <v>436</v>
      </c>
      <c r="C44" s="761"/>
      <c r="D44" s="103">
        <f t="shared" si="2"/>
        <v>26400</v>
      </c>
      <c r="E44" s="127">
        <v>22000</v>
      </c>
      <c r="F44" s="103">
        <v>0</v>
      </c>
      <c r="G44" s="103">
        <f t="shared" si="9"/>
        <v>4400</v>
      </c>
      <c r="H44" s="104">
        <v>50</v>
      </c>
      <c r="I44" s="761">
        <v>1.7</v>
      </c>
      <c r="J44" s="105">
        <f t="shared" si="10"/>
        <v>0</v>
      </c>
      <c r="K44" s="77"/>
    </row>
    <row r="45" spans="1:11" ht="30" hidden="1" customHeight="1" x14ac:dyDescent="0.25">
      <c r="A45" s="761">
        <v>9</v>
      </c>
      <c r="B45" s="102" t="s">
        <v>318</v>
      </c>
      <c r="C45" s="761"/>
      <c r="D45" s="103">
        <f t="shared" si="2"/>
        <v>16800</v>
      </c>
      <c r="E45" s="127">
        <v>14000</v>
      </c>
      <c r="F45" s="103">
        <v>0</v>
      </c>
      <c r="G45" s="103">
        <f t="shared" si="9"/>
        <v>2800</v>
      </c>
      <c r="H45" s="104">
        <v>50</v>
      </c>
      <c r="I45" s="761">
        <v>1.7</v>
      </c>
      <c r="J45" s="105">
        <f>((C45*D45*(H45/100+I45))*12)*1.2</f>
        <v>0</v>
      </c>
      <c r="K45" s="128"/>
    </row>
    <row r="46" spans="1:11" ht="15" hidden="1" customHeight="1" x14ac:dyDescent="0.25">
      <c r="A46" s="761">
        <v>10</v>
      </c>
      <c r="B46" s="102" t="s">
        <v>442</v>
      </c>
      <c r="C46" s="761"/>
      <c r="D46" s="103">
        <f t="shared" si="2"/>
        <v>15600</v>
      </c>
      <c r="E46" s="127">
        <v>13000</v>
      </c>
      <c r="F46" s="103">
        <v>0</v>
      </c>
      <c r="G46" s="103">
        <f t="shared" si="9"/>
        <v>2600</v>
      </c>
      <c r="H46" s="104">
        <v>50</v>
      </c>
      <c r="I46" s="761">
        <v>1.7</v>
      </c>
      <c r="J46" s="105">
        <f>((C46*D46*(H46/100+I46))*12)*1</f>
        <v>0</v>
      </c>
    </row>
    <row r="47" spans="1:11" ht="15" hidden="1" customHeight="1" x14ac:dyDescent="0.25">
      <c r="A47" s="761">
        <v>11</v>
      </c>
      <c r="B47" s="102" t="s">
        <v>443</v>
      </c>
      <c r="C47" s="761"/>
      <c r="D47" s="103">
        <f t="shared" si="2"/>
        <v>14400</v>
      </c>
      <c r="E47" s="127">
        <v>12000</v>
      </c>
      <c r="F47" s="103">
        <v>0</v>
      </c>
      <c r="G47" s="103">
        <f t="shared" si="9"/>
        <v>2400</v>
      </c>
      <c r="H47" s="104">
        <v>50</v>
      </c>
      <c r="I47" s="761">
        <v>1.7</v>
      </c>
      <c r="J47" s="105">
        <f>((C47*D47*(H47/100+I47))*12)*1.4</f>
        <v>0</v>
      </c>
    </row>
    <row r="48" spans="1:11" ht="15" hidden="1" customHeight="1" x14ac:dyDescent="0.25">
      <c r="A48" s="761">
        <v>12</v>
      </c>
      <c r="B48" s="102" t="s">
        <v>444</v>
      </c>
      <c r="C48" s="761"/>
      <c r="D48" s="103">
        <f t="shared" si="2"/>
        <v>16800</v>
      </c>
      <c r="E48" s="127">
        <v>14000</v>
      </c>
      <c r="F48" s="103">
        <v>0</v>
      </c>
      <c r="G48" s="103">
        <f t="shared" si="9"/>
        <v>2800</v>
      </c>
      <c r="H48" s="104">
        <v>50</v>
      </c>
      <c r="I48" s="761">
        <v>1.7</v>
      </c>
      <c r="J48" s="105">
        <f>((C48*D48*(H48/100+I48))*12)*1.3</f>
        <v>0</v>
      </c>
    </row>
    <row r="49" spans="1:11" s="206" customFormat="1" x14ac:dyDescent="0.25">
      <c r="A49" s="203"/>
      <c r="B49" s="204" t="s">
        <v>445</v>
      </c>
      <c r="C49" s="203">
        <v>0</v>
      </c>
      <c r="D49" s="203">
        <v>0</v>
      </c>
      <c r="E49" s="203">
        <v>0</v>
      </c>
      <c r="F49" s="203">
        <f t="shared" ref="F49:J49" si="12">SUM(F37:F48)</f>
        <v>0</v>
      </c>
      <c r="G49" s="526">
        <v>0</v>
      </c>
      <c r="H49" s="203">
        <v>0</v>
      </c>
      <c r="I49" s="203">
        <v>0</v>
      </c>
      <c r="J49" s="203">
        <f t="shared" si="12"/>
        <v>0</v>
      </c>
    </row>
    <row r="50" spans="1:11" ht="28.5" x14ac:dyDescent="0.25">
      <c r="A50" s="106"/>
      <c r="B50" s="107" t="s">
        <v>446</v>
      </c>
      <c r="C50" s="108">
        <f>C35+C49</f>
        <v>1.4700000000000002</v>
      </c>
      <c r="D50" s="108">
        <f>D35+D49</f>
        <v>194417.18000000005</v>
      </c>
      <c r="E50" s="108" t="s">
        <v>14</v>
      </c>
      <c r="F50" s="108" t="s">
        <v>14</v>
      </c>
      <c r="G50" s="108" t="s">
        <v>14</v>
      </c>
      <c r="H50" s="108" t="s">
        <v>14</v>
      </c>
      <c r="I50" s="108" t="s">
        <v>14</v>
      </c>
      <c r="J50" s="758">
        <f>J35+J49</f>
        <v>143131.11120000004</v>
      </c>
    </row>
    <row r="51" spans="1:11" ht="15" hidden="1" customHeight="1" x14ac:dyDescent="0.25">
      <c r="A51" s="1572" t="s">
        <v>450</v>
      </c>
      <c r="B51" s="1575"/>
      <c r="C51" s="1575"/>
      <c r="D51" s="1575"/>
      <c r="E51" s="1575"/>
      <c r="F51" s="1575"/>
      <c r="G51" s="1575"/>
      <c r="H51" s="1575"/>
      <c r="I51" s="1575"/>
      <c r="J51" s="1575"/>
    </row>
    <row r="52" spans="1:11" ht="15" hidden="1" customHeight="1" x14ac:dyDescent="0.25">
      <c r="A52" s="761">
        <v>1</v>
      </c>
      <c r="B52" s="102" t="s">
        <v>321</v>
      </c>
      <c r="C52" s="761"/>
      <c r="D52" s="103">
        <f t="shared" si="2"/>
        <v>12000</v>
      </c>
      <c r="E52" s="127">
        <v>10000</v>
      </c>
      <c r="F52" s="103">
        <v>0</v>
      </c>
      <c r="G52" s="103">
        <f>E52*20%</f>
        <v>2000</v>
      </c>
      <c r="H52" s="104">
        <v>50</v>
      </c>
      <c r="I52" s="761">
        <v>1.7</v>
      </c>
      <c r="J52" s="105">
        <f>((C52*D52*(H52/100+I52))*12)*1.37</f>
        <v>0</v>
      </c>
      <c r="K52" s="128"/>
    </row>
    <row r="53" spans="1:11" ht="15" hidden="1" customHeight="1" x14ac:dyDescent="0.25">
      <c r="A53" s="761">
        <v>2</v>
      </c>
      <c r="B53" s="102" t="s">
        <v>448</v>
      </c>
      <c r="C53" s="761"/>
      <c r="D53" s="103">
        <f t="shared" si="2"/>
        <v>9500</v>
      </c>
      <c r="E53" s="127">
        <v>9500</v>
      </c>
      <c r="F53" s="103">
        <v>0</v>
      </c>
      <c r="G53" s="103"/>
      <c r="H53" s="104">
        <v>50</v>
      </c>
      <c r="I53" s="761">
        <v>1.7</v>
      </c>
      <c r="J53" s="105">
        <f>((C53*D53*(H53/100+I53))*12)*1.37</f>
        <v>0</v>
      </c>
      <c r="K53" s="128"/>
    </row>
    <row r="54" spans="1:11" ht="30" hidden="1" customHeight="1" x14ac:dyDescent="0.25">
      <c r="A54" s="761">
        <v>3</v>
      </c>
      <c r="B54" s="102" t="s">
        <v>449</v>
      </c>
      <c r="C54" s="761"/>
      <c r="D54" s="103">
        <f t="shared" si="2"/>
        <v>10200</v>
      </c>
      <c r="E54" s="127">
        <v>8500</v>
      </c>
      <c r="F54" s="103">
        <v>0</v>
      </c>
      <c r="G54" s="103">
        <f>E54*20%</f>
        <v>1700</v>
      </c>
      <c r="H54" s="104">
        <v>50</v>
      </c>
      <c r="I54" s="761">
        <v>1.7</v>
      </c>
      <c r="J54" s="105">
        <f>((C54*D54*(H54/100+I54))*12)*1.22</f>
        <v>0</v>
      </c>
    </row>
    <row r="55" spans="1:11" ht="28.5" hidden="1" customHeight="1" x14ac:dyDescent="0.25">
      <c r="A55" s="106"/>
      <c r="B55" s="107" t="s">
        <v>447</v>
      </c>
      <c r="C55" s="108">
        <f>SUM(C52:C54)</f>
        <v>0</v>
      </c>
      <c r="D55" s="110">
        <f>SUM(D52:D54)</f>
        <v>31700</v>
      </c>
      <c r="E55" s="108" t="s">
        <v>14</v>
      </c>
      <c r="F55" s="108" t="s">
        <v>14</v>
      </c>
      <c r="G55" s="108" t="s">
        <v>14</v>
      </c>
      <c r="H55" s="108" t="s">
        <v>14</v>
      </c>
      <c r="I55" s="108" t="s">
        <v>14</v>
      </c>
      <c r="J55" s="111">
        <f>SUM(J52:J54)</f>
        <v>0</v>
      </c>
    </row>
    <row r="56" spans="1:11" ht="15" customHeight="1" x14ac:dyDescent="0.25">
      <c r="A56" s="1572" t="s">
        <v>451</v>
      </c>
      <c r="B56" s="1573"/>
      <c r="C56" s="1573"/>
      <c r="D56" s="1573"/>
      <c r="E56" s="1573"/>
      <c r="F56" s="1573"/>
      <c r="G56" s="1573"/>
      <c r="H56" s="1573"/>
      <c r="I56" s="1573"/>
      <c r="J56" s="1573"/>
    </row>
    <row r="57" spans="1:11" ht="30" x14ac:dyDescent="0.25">
      <c r="A57" s="761">
        <v>1</v>
      </c>
      <c r="B57" s="102" t="s">
        <v>309</v>
      </c>
      <c r="C57" s="761">
        <v>0.15</v>
      </c>
      <c r="D57" s="103">
        <f t="shared" si="2"/>
        <v>1421.7000000000007</v>
      </c>
      <c r="E57" s="335">
        <f>7498*1.5*1.1+50-11000</f>
        <v>1421.7000000000007</v>
      </c>
      <c r="F57" s="103">
        <v>0</v>
      </c>
      <c r="G57" s="335">
        <v>0</v>
      </c>
      <c r="H57" s="104">
        <v>50</v>
      </c>
      <c r="I57" s="761">
        <v>1.7</v>
      </c>
      <c r="J57" s="105">
        <f>((C57*D57*(H57/100+I57))*4)*1.2-383.08</f>
        <v>1868.8928000000014</v>
      </c>
      <c r="K57" s="128"/>
    </row>
    <row r="58" spans="1:11" ht="15" hidden="1" customHeight="1" x14ac:dyDescent="0.25">
      <c r="A58" s="761">
        <v>2</v>
      </c>
      <c r="B58" s="102" t="s">
        <v>452</v>
      </c>
      <c r="C58" s="761"/>
      <c r="D58" s="103">
        <f>E58+F58+G58</f>
        <v>14400</v>
      </c>
      <c r="E58" s="127">
        <v>12000</v>
      </c>
      <c r="F58" s="103">
        <v>0</v>
      </c>
      <c r="G58" s="103">
        <f>E58*20%</f>
        <v>2400</v>
      </c>
      <c r="H58" s="104">
        <v>50</v>
      </c>
      <c r="I58" s="761">
        <v>1.7</v>
      </c>
      <c r="J58" s="105">
        <f>((C58*D58*(H58/100+I58))*12)*1.2</f>
        <v>0</v>
      </c>
      <c r="K58" s="128"/>
    </row>
    <row r="59" spans="1:11" ht="45" hidden="1" customHeight="1" x14ac:dyDescent="0.25">
      <c r="A59" s="761">
        <v>3</v>
      </c>
      <c r="B59" s="102" t="s">
        <v>307</v>
      </c>
      <c r="C59" s="761"/>
      <c r="D59" s="103">
        <f t="shared" si="2"/>
        <v>13200</v>
      </c>
      <c r="E59" s="127">
        <v>11000</v>
      </c>
      <c r="F59" s="103">
        <v>0</v>
      </c>
      <c r="G59" s="103">
        <f>E59*20%</f>
        <v>2200</v>
      </c>
      <c r="H59" s="104">
        <v>50</v>
      </c>
      <c r="I59" s="761">
        <v>1.7</v>
      </c>
      <c r="J59" s="105">
        <f>((C59*D59*(H59/100+I59))*12)*1.13</f>
        <v>0</v>
      </c>
    </row>
    <row r="60" spans="1:11" ht="15" hidden="1" customHeight="1" x14ac:dyDescent="0.25">
      <c r="A60" s="761">
        <v>4</v>
      </c>
      <c r="B60" s="102" t="s">
        <v>310</v>
      </c>
      <c r="C60" s="761"/>
      <c r="D60" s="103">
        <f t="shared" si="2"/>
        <v>14400</v>
      </c>
      <c r="E60" s="127">
        <v>12000</v>
      </c>
      <c r="F60" s="103">
        <v>0</v>
      </c>
      <c r="G60" s="103">
        <f t="shared" ref="G60:G63" si="13">E60*20%</f>
        <v>2400</v>
      </c>
      <c r="H60" s="104">
        <v>50</v>
      </c>
      <c r="I60" s="761">
        <v>1.7</v>
      </c>
      <c r="J60" s="105">
        <f t="shared" ref="J60:J63" si="14">((C60*D60*(H60/100+I60))*12)*1.13</f>
        <v>0</v>
      </c>
    </row>
    <row r="61" spans="1:11" ht="15" hidden="1" customHeight="1" x14ac:dyDescent="0.25">
      <c r="A61" s="761">
        <v>5</v>
      </c>
      <c r="B61" s="102" t="s">
        <v>453</v>
      </c>
      <c r="C61" s="761"/>
      <c r="D61" s="103">
        <f t="shared" si="2"/>
        <v>9600</v>
      </c>
      <c r="E61" s="127">
        <v>8000</v>
      </c>
      <c r="F61" s="103">
        <v>0</v>
      </c>
      <c r="G61" s="103">
        <f t="shared" si="13"/>
        <v>1600</v>
      </c>
      <c r="H61" s="104">
        <v>50</v>
      </c>
      <c r="I61" s="761">
        <v>1.7</v>
      </c>
      <c r="J61" s="105">
        <f t="shared" si="14"/>
        <v>0</v>
      </c>
    </row>
    <row r="62" spans="1:11" ht="15" hidden="1" customHeight="1" x14ac:dyDescent="0.25">
      <c r="A62" s="761">
        <v>6</v>
      </c>
      <c r="B62" s="102" t="s">
        <v>308</v>
      </c>
      <c r="C62" s="761"/>
      <c r="D62" s="103">
        <f t="shared" si="2"/>
        <v>12000</v>
      </c>
      <c r="E62" s="127">
        <v>10000</v>
      </c>
      <c r="F62" s="103">
        <v>0</v>
      </c>
      <c r="G62" s="103">
        <f t="shared" si="13"/>
        <v>2000</v>
      </c>
      <c r="H62" s="104">
        <v>50</v>
      </c>
      <c r="I62" s="761">
        <v>1.7</v>
      </c>
      <c r="J62" s="105">
        <f t="shared" si="14"/>
        <v>0</v>
      </c>
    </row>
    <row r="63" spans="1:11" ht="15" hidden="1" customHeight="1" x14ac:dyDescent="0.25">
      <c r="A63" s="761">
        <v>7</v>
      </c>
      <c r="B63" s="102" t="s">
        <v>311</v>
      </c>
      <c r="C63" s="761"/>
      <c r="D63" s="103">
        <f t="shared" si="2"/>
        <v>12000</v>
      </c>
      <c r="E63" s="127">
        <v>10000</v>
      </c>
      <c r="F63" s="103">
        <v>0</v>
      </c>
      <c r="G63" s="103">
        <f t="shared" si="13"/>
        <v>2000</v>
      </c>
      <c r="H63" s="104">
        <v>50</v>
      </c>
      <c r="I63" s="761">
        <v>1.7</v>
      </c>
      <c r="J63" s="105">
        <f t="shared" si="14"/>
        <v>0</v>
      </c>
    </row>
    <row r="64" spans="1:11" ht="28.5" x14ac:dyDescent="0.25">
      <c r="A64" s="106"/>
      <c r="B64" s="107" t="s">
        <v>454</v>
      </c>
      <c r="C64" s="108">
        <f>SUM(C57:C63)</f>
        <v>0.15</v>
      </c>
      <c r="D64" s="110">
        <f>SUM(D57:D63)</f>
        <v>77021.7</v>
      </c>
      <c r="E64" s="108" t="s">
        <v>14</v>
      </c>
      <c r="F64" s="108" t="s">
        <v>14</v>
      </c>
      <c r="G64" s="108" t="s">
        <v>14</v>
      </c>
      <c r="H64" s="108" t="s">
        <v>14</v>
      </c>
      <c r="I64" s="108" t="s">
        <v>14</v>
      </c>
      <c r="J64" s="111">
        <f>SUM(J57:J63)</f>
        <v>1868.8928000000014</v>
      </c>
      <c r="K64" s="129"/>
    </row>
    <row r="65" spans="1:12" s="41" customFormat="1" x14ac:dyDescent="0.2">
      <c r="A65" s="762"/>
      <c r="B65" s="762" t="s">
        <v>527</v>
      </c>
      <c r="C65" s="762"/>
      <c r="D65" s="762"/>
      <c r="E65" s="762"/>
      <c r="F65" s="762"/>
      <c r="G65" s="762"/>
      <c r="H65" s="762"/>
      <c r="I65" s="762"/>
      <c r="J65" s="120">
        <v>0</v>
      </c>
    </row>
    <row r="66" spans="1:12" ht="15" customHeight="1" x14ac:dyDescent="0.25">
      <c r="A66" s="1584" t="s">
        <v>727</v>
      </c>
      <c r="B66" s="1584"/>
      <c r="C66" s="78">
        <f>C21+C50+C55+C64</f>
        <v>1.62</v>
      </c>
      <c r="D66" s="79">
        <f>D21+D50+D55+D64</f>
        <v>303138.88000000006</v>
      </c>
      <c r="E66" s="78" t="s">
        <v>14</v>
      </c>
      <c r="F66" s="78" t="s">
        <v>14</v>
      </c>
      <c r="G66" s="78" t="s">
        <v>14</v>
      </c>
      <c r="H66" s="78" t="s">
        <v>14</v>
      </c>
      <c r="I66" s="78" t="s">
        <v>14</v>
      </c>
      <c r="J66" s="144">
        <f>J21+J50+J55+J64</f>
        <v>145000.00400000004</v>
      </c>
      <c r="L66" s="77"/>
    </row>
    <row r="67" spans="1:12" ht="39.75" hidden="1" customHeight="1" x14ac:dyDescent="0.25">
      <c r="A67" s="1576" t="s">
        <v>328</v>
      </c>
      <c r="B67" s="1639"/>
      <c r="C67" s="1639"/>
      <c r="D67" s="1639"/>
      <c r="E67" s="1639"/>
      <c r="F67" s="1639"/>
      <c r="G67" s="1639"/>
      <c r="H67" s="1639"/>
      <c r="I67" s="1640"/>
      <c r="J67" s="143">
        <v>0</v>
      </c>
      <c r="L67" s="77"/>
    </row>
    <row r="68" spans="1:12" ht="21.75" hidden="1" customHeight="1" x14ac:dyDescent="0.25">
      <c r="A68" s="1586" t="s">
        <v>324</v>
      </c>
      <c r="B68" s="1587"/>
      <c r="C68" s="1587"/>
      <c r="D68" s="1587"/>
      <c r="E68" s="1587"/>
      <c r="F68" s="1587"/>
      <c r="G68" s="1587"/>
      <c r="H68" s="1587"/>
      <c r="I68" s="1588"/>
      <c r="J68" s="210">
        <f>J66+J67</f>
        <v>145000.00400000004</v>
      </c>
      <c r="L68" s="77"/>
    </row>
    <row r="69" spans="1:12" ht="39.75" hidden="1" customHeight="1" x14ac:dyDescent="0.25">
      <c r="A69" s="629"/>
      <c r="B69" s="654"/>
      <c r="C69" s="654"/>
      <c r="D69" s="654"/>
      <c r="E69" s="654"/>
      <c r="F69" s="654"/>
      <c r="G69" s="654"/>
      <c r="H69" s="654"/>
      <c r="I69" s="655"/>
      <c r="J69" s="143"/>
      <c r="L69" s="77"/>
    </row>
    <row r="70" spans="1:12" ht="15.75" hidden="1" x14ac:dyDescent="0.25">
      <c r="A70" s="112"/>
      <c r="B70" s="112"/>
      <c r="C70" s="630"/>
      <c r="D70" s="113"/>
      <c r="E70" s="630"/>
      <c r="F70" s="630"/>
      <c r="G70" s="630"/>
      <c r="H70" s="630"/>
      <c r="I70" s="630"/>
      <c r="J70" s="114"/>
    </row>
    <row r="71" spans="1:12" hidden="1" x14ac:dyDescent="0.25">
      <c r="A71" s="1579" t="s">
        <v>1</v>
      </c>
      <c r="B71" s="1579" t="s">
        <v>2</v>
      </c>
      <c r="C71" s="1579" t="s">
        <v>3</v>
      </c>
      <c r="D71" s="1574" t="s">
        <v>4</v>
      </c>
      <c r="E71" s="1574"/>
      <c r="F71" s="1574"/>
      <c r="G71" s="1574"/>
      <c r="H71" s="1579" t="s">
        <v>5</v>
      </c>
      <c r="I71" s="1579" t="s">
        <v>6</v>
      </c>
      <c r="J71" s="1579" t="s">
        <v>305</v>
      </c>
    </row>
    <row r="72" spans="1:12" hidden="1" x14ac:dyDescent="0.25">
      <c r="A72" s="1579"/>
      <c r="B72" s="1579"/>
      <c r="C72" s="1579"/>
      <c r="D72" s="1579" t="s">
        <v>8</v>
      </c>
      <c r="E72" s="1574" t="s">
        <v>9</v>
      </c>
      <c r="F72" s="1574"/>
      <c r="G72" s="1574"/>
      <c r="H72" s="1579"/>
      <c r="I72" s="1579"/>
      <c r="J72" s="1579"/>
    </row>
    <row r="73" spans="1:12" ht="75" hidden="1" x14ac:dyDescent="0.25">
      <c r="A73" s="1579"/>
      <c r="B73" s="1579"/>
      <c r="C73" s="1579"/>
      <c r="D73" s="1579"/>
      <c r="E73" s="628" t="s">
        <v>10</v>
      </c>
      <c r="F73" s="628" t="s">
        <v>11</v>
      </c>
      <c r="G73" s="628" t="s">
        <v>12</v>
      </c>
      <c r="H73" s="1579"/>
      <c r="I73" s="1579"/>
      <c r="J73" s="1579"/>
    </row>
    <row r="74" spans="1:12" hidden="1" x14ac:dyDescent="0.25">
      <c r="A74" s="624">
        <v>1</v>
      </c>
      <c r="B74" s="624">
        <v>2</v>
      </c>
      <c r="C74" s="624">
        <v>3</v>
      </c>
      <c r="D74" s="624">
        <v>4</v>
      </c>
      <c r="E74" s="624">
        <v>5</v>
      </c>
      <c r="F74" s="624">
        <v>6</v>
      </c>
      <c r="G74" s="624">
        <v>7</v>
      </c>
      <c r="H74" s="624">
        <v>8</v>
      </c>
      <c r="I74" s="624">
        <v>9</v>
      </c>
      <c r="J74" s="624">
        <v>10</v>
      </c>
    </row>
    <row r="75" spans="1:12" hidden="1" x14ac:dyDescent="0.25">
      <c r="A75" s="1572" t="s">
        <v>306</v>
      </c>
      <c r="B75" s="1573"/>
      <c r="C75" s="1573"/>
      <c r="D75" s="1573"/>
      <c r="E75" s="1573"/>
      <c r="F75" s="1573"/>
      <c r="G75" s="1573"/>
      <c r="H75" s="1573"/>
      <c r="I75" s="1573"/>
      <c r="J75" s="1573"/>
    </row>
    <row r="76" spans="1:12" ht="45" hidden="1" x14ac:dyDescent="0.25">
      <c r="A76" s="624">
        <v>1</v>
      </c>
      <c r="B76" s="102" t="s">
        <v>307</v>
      </c>
      <c r="C76" s="624"/>
      <c r="D76" s="115">
        <f>E76+F76+G76</f>
        <v>0</v>
      </c>
      <c r="E76" s="130"/>
      <c r="F76" s="115"/>
      <c r="G76" s="115">
        <f>(E76+F76)*20%</f>
        <v>0</v>
      </c>
      <c r="H76" s="104">
        <v>50</v>
      </c>
      <c r="I76" s="624">
        <v>1.7</v>
      </c>
      <c r="J76" s="116">
        <f>(C76*D76*(H76/100+I76))*12.5</f>
        <v>0</v>
      </c>
      <c r="L76" s="77"/>
    </row>
    <row r="77" spans="1:12" ht="15.75" hidden="1" customHeight="1" x14ac:dyDescent="0.25">
      <c r="A77" s="624">
        <v>2</v>
      </c>
      <c r="B77" s="102" t="s">
        <v>308</v>
      </c>
      <c r="C77" s="624"/>
      <c r="D77" s="115">
        <f t="shared" ref="D77:D78" si="15">E77+F77+G77</f>
        <v>0</v>
      </c>
      <c r="E77" s="130"/>
      <c r="F77" s="115"/>
      <c r="G77" s="115">
        <f>(E77+F77)*20%</f>
        <v>0</v>
      </c>
      <c r="H77" s="104">
        <v>50</v>
      </c>
      <c r="I77" s="624">
        <v>1.7</v>
      </c>
      <c r="J77" s="116">
        <f>(C77*D77*(H77/100+I77))*12.5</f>
        <v>0</v>
      </c>
    </row>
    <row r="78" spans="1:12" ht="30" hidden="1" x14ac:dyDescent="0.25">
      <c r="A78" s="624">
        <v>3</v>
      </c>
      <c r="B78" s="102" t="s">
        <v>309</v>
      </c>
      <c r="C78" s="624"/>
      <c r="D78" s="115">
        <f t="shared" si="15"/>
        <v>0</v>
      </c>
      <c r="E78" s="115"/>
      <c r="F78" s="115"/>
      <c r="G78" s="115">
        <f>(E78+F78)*20%</f>
        <v>0</v>
      </c>
      <c r="H78" s="104">
        <v>50</v>
      </c>
      <c r="I78" s="624">
        <v>1.7</v>
      </c>
      <c r="J78" s="116">
        <f>(C78*D78*(H78/100+I78))*12.5</f>
        <v>0</v>
      </c>
    </row>
    <row r="79" spans="1:12" hidden="1" x14ac:dyDescent="0.25">
      <c r="A79" s="624">
        <v>4</v>
      </c>
      <c r="B79" s="102" t="s">
        <v>310</v>
      </c>
      <c r="C79" s="624"/>
      <c r="D79" s="115">
        <f>E79+F79+G79</f>
        <v>0</v>
      </c>
      <c r="E79" s="115"/>
      <c r="F79" s="115"/>
      <c r="G79" s="115">
        <f>(E79+F79)*20%</f>
        <v>0</v>
      </c>
      <c r="H79" s="104">
        <v>50</v>
      </c>
      <c r="I79" s="624">
        <v>1.7</v>
      </c>
      <c r="J79" s="116">
        <f>(C79*D79*(H79/100+I79))*12.5</f>
        <v>0</v>
      </c>
    </row>
    <row r="80" spans="1:12" ht="21.75" hidden="1" customHeight="1" x14ac:dyDescent="0.25">
      <c r="A80" s="624">
        <v>5</v>
      </c>
      <c r="B80" s="102" t="s">
        <v>311</v>
      </c>
      <c r="C80" s="624"/>
      <c r="D80" s="115">
        <f t="shared" ref="D80" si="16">E80+F80+G80</f>
        <v>0</v>
      </c>
      <c r="E80" s="115"/>
      <c r="F80" s="115"/>
      <c r="G80" s="115">
        <f t="shared" ref="G80" si="17">(E80+F80)*20%</f>
        <v>0</v>
      </c>
      <c r="H80" s="104">
        <v>50</v>
      </c>
      <c r="I80" s="624">
        <v>1.7</v>
      </c>
      <c r="J80" s="116">
        <f>(C80*D80*(H80/100+I80))*12.5</f>
        <v>0</v>
      </c>
      <c r="K80" s="77"/>
    </row>
    <row r="81" spans="1:12" ht="16.5" hidden="1" customHeight="1" x14ac:dyDescent="0.25">
      <c r="A81" s="106"/>
      <c r="B81" s="117" t="s">
        <v>312</v>
      </c>
      <c r="C81" s="118">
        <f>SUM(C76:C80)</f>
        <v>0</v>
      </c>
      <c r="D81" s="119">
        <f>SUM(D76:D80)</f>
        <v>0</v>
      </c>
      <c r="E81" s="118" t="s">
        <v>14</v>
      </c>
      <c r="F81" s="118" t="s">
        <v>14</v>
      </c>
      <c r="G81" s="118" t="s">
        <v>14</v>
      </c>
      <c r="H81" s="118" t="s">
        <v>14</v>
      </c>
      <c r="I81" s="118" t="s">
        <v>14</v>
      </c>
      <c r="J81" s="120">
        <f>SUM(J76:J80)</f>
        <v>0</v>
      </c>
    </row>
    <row r="82" spans="1:12" ht="15.75" hidden="1" customHeight="1" x14ac:dyDescent="0.25">
      <c r="A82" s="1590" t="s">
        <v>336</v>
      </c>
      <c r="B82" s="1591"/>
      <c r="C82" s="1591"/>
      <c r="D82" s="1591"/>
      <c r="E82" s="1591"/>
      <c r="F82" s="1591"/>
      <c r="G82" s="1591"/>
      <c r="H82" s="1591"/>
      <c r="I82" s="1592"/>
      <c r="J82" s="120"/>
    </row>
    <row r="83" spans="1:12" s="41" customFormat="1" hidden="1" x14ac:dyDescent="0.2">
      <c r="A83" s="1590" t="s">
        <v>413</v>
      </c>
      <c r="B83" s="1591"/>
      <c r="C83" s="1591"/>
      <c r="D83" s="1591"/>
      <c r="E83" s="1591"/>
      <c r="F83" s="1591"/>
      <c r="G83" s="1591"/>
      <c r="H83" s="1591"/>
      <c r="I83" s="1592"/>
      <c r="J83" s="134"/>
    </row>
    <row r="84" spans="1:12" s="41" customFormat="1" x14ac:dyDescent="0.2">
      <c r="A84" s="207" t="s">
        <v>372</v>
      </c>
      <c r="B84" s="208"/>
      <c r="C84" s="209"/>
      <c r="D84" s="209"/>
      <c r="E84" s="209"/>
      <c r="F84" s="209"/>
      <c r="G84" s="209"/>
      <c r="H84" s="209"/>
      <c r="I84" s="209"/>
      <c r="J84" s="134">
        <v>0</v>
      </c>
    </row>
    <row r="85" spans="1:12" s="41" customFormat="1" ht="15.75" x14ac:dyDescent="0.2">
      <c r="A85" s="1593" t="s">
        <v>456</v>
      </c>
      <c r="B85" s="1594"/>
      <c r="C85" s="1594"/>
      <c r="D85" s="1594"/>
      <c r="E85" s="1594"/>
      <c r="F85" s="1594"/>
      <c r="G85" s="1594"/>
      <c r="H85" s="1594"/>
      <c r="I85" s="1594"/>
      <c r="J85" s="1595"/>
    </row>
    <row r="86" spans="1:12" ht="21" customHeight="1" x14ac:dyDescent="0.25">
      <c r="A86" s="1596" t="s">
        <v>457</v>
      </c>
      <c r="B86" s="1597"/>
      <c r="C86" s="121">
        <v>2.4</v>
      </c>
      <c r="D86" s="122">
        <f>D81</f>
        <v>0</v>
      </c>
      <c r="E86" s="123" t="s">
        <v>14</v>
      </c>
      <c r="F86" s="123" t="s">
        <v>14</v>
      </c>
      <c r="G86" s="123" t="s">
        <v>14</v>
      </c>
      <c r="H86" s="123" t="s">
        <v>14</v>
      </c>
      <c r="I86" s="123" t="s">
        <v>14</v>
      </c>
      <c r="J86" s="217">
        <v>0</v>
      </c>
      <c r="K86" s="77"/>
      <c r="L86" s="77"/>
    </row>
    <row r="87" spans="1:12" ht="21" customHeight="1" x14ac:dyDescent="0.25">
      <c r="A87" s="1598" t="s">
        <v>528</v>
      </c>
      <c r="B87" s="1599"/>
      <c r="C87" s="1599"/>
      <c r="D87" s="1599"/>
      <c r="E87" s="1599"/>
      <c r="F87" s="1599"/>
      <c r="G87" s="1599"/>
      <c r="H87" s="1599"/>
      <c r="I87" s="1599"/>
      <c r="J87" s="218">
        <f>J66+J65</f>
        <v>145000.00400000004</v>
      </c>
      <c r="K87" s="77"/>
      <c r="L87" s="77"/>
    </row>
    <row r="88" spans="1:12" ht="21" customHeight="1" x14ac:dyDescent="0.25">
      <c r="A88" s="658"/>
      <c r="B88" s="212"/>
      <c r="C88" s="620"/>
      <c r="D88" s="214"/>
      <c r="E88" s="659"/>
      <c r="F88" s="659"/>
      <c r="G88" s="659"/>
      <c r="H88" s="659"/>
      <c r="I88" s="659"/>
      <c r="J88" s="660"/>
      <c r="K88" s="77"/>
      <c r="L88" s="77"/>
    </row>
    <row r="89" spans="1:12" ht="20.25" customHeight="1" x14ac:dyDescent="0.25">
      <c r="A89" s="1562" t="s">
        <v>352</v>
      </c>
      <c r="B89" s="1563"/>
      <c r="C89" s="1563"/>
      <c r="D89" s="1563"/>
      <c r="E89" s="1563"/>
      <c r="F89" s="1563"/>
      <c r="G89" s="1563"/>
      <c r="H89" s="1563"/>
      <c r="I89" s="1563"/>
      <c r="J89" s="1564"/>
    </row>
    <row r="90" spans="1:12" ht="30" customHeight="1" x14ac:dyDescent="0.25">
      <c r="A90" s="626" t="s">
        <v>1</v>
      </c>
      <c r="B90" s="1600" t="s">
        <v>44</v>
      </c>
      <c r="C90" s="1600"/>
      <c r="D90" s="1600"/>
      <c r="E90" s="1600" t="s">
        <v>45</v>
      </c>
      <c r="F90" s="1600"/>
      <c r="G90" s="1600" t="s">
        <v>46</v>
      </c>
      <c r="H90" s="1600"/>
      <c r="I90" s="1600" t="s">
        <v>102</v>
      </c>
      <c r="J90" s="1600"/>
    </row>
    <row r="91" spans="1:12" ht="16.5" customHeight="1" x14ac:dyDescent="0.25">
      <c r="A91" s="623">
        <v>1</v>
      </c>
      <c r="B91" s="1535">
        <v>2</v>
      </c>
      <c r="C91" s="1535"/>
      <c r="D91" s="1535"/>
      <c r="E91" s="1535">
        <v>3</v>
      </c>
      <c r="F91" s="1535"/>
      <c r="G91" s="1535">
        <v>4</v>
      </c>
      <c r="H91" s="1535"/>
      <c r="I91" s="1535">
        <v>5</v>
      </c>
      <c r="J91" s="1535"/>
    </row>
    <row r="92" spans="1:12" ht="47.25" customHeight="1" x14ac:dyDescent="0.25">
      <c r="A92" s="150">
        <v>1</v>
      </c>
      <c r="B92" s="1463" t="s">
        <v>363</v>
      </c>
      <c r="C92" s="1464"/>
      <c r="D92" s="1465"/>
      <c r="E92" s="1571">
        <f>I92/G92</f>
        <v>0</v>
      </c>
      <c r="F92" s="1571"/>
      <c r="G92" s="1540">
        <v>12</v>
      </c>
      <c r="H92" s="1540"/>
      <c r="I92" s="1589">
        <v>0</v>
      </c>
      <c r="J92" s="1589"/>
    </row>
    <row r="93" spans="1:12" ht="51.75" customHeight="1" x14ac:dyDescent="0.25">
      <c r="A93" s="150" t="s">
        <v>75</v>
      </c>
      <c r="B93" s="1463" t="s">
        <v>364</v>
      </c>
      <c r="C93" s="1464"/>
      <c r="D93" s="1465"/>
      <c r="E93" s="1571">
        <f>I93/G93</f>
        <v>0</v>
      </c>
      <c r="F93" s="1571"/>
      <c r="G93" s="1540">
        <v>72</v>
      </c>
      <c r="H93" s="1540"/>
      <c r="I93" s="1589">
        <v>0</v>
      </c>
      <c r="J93" s="1589"/>
    </row>
    <row r="94" spans="1:12" ht="33.75" customHeight="1" x14ac:dyDescent="0.25">
      <c r="A94" s="618"/>
      <c r="B94" s="1177" t="s">
        <v>324</v>
      </c>
      <c r="C94" s="1178"/>
      <c r="D94" s="1601"/>
      <c r="E94" s="1167" t="s">
        <v>14</v>
      </c>
      <c r="F94" s="1168"/>
      <c r="G94" s="1167" t="s">
        <v>14</v>
      </c>
      <c r="H94" s="1201"/>
      <c r="I94" s="617"/>
      <c r="J94" s="619">
        <f>I93</f>
        <v>0</v>
      </c>
    </row>
    <row r="95" spans="1:12" s="41" customFormat="1" ht="40.5" customHeight="1" x14ac:dyDescent="0.25">
      <c r="A95" s="1507" t="s">
        <v>353</v>
      </c>
      <c r="B95" s="1507"/>
      <c r="C95" s="1507"/>
      <c r="D95" s="1507"/>
      <c r="E95" s="1507"/>
      <c r="F95" s="1507"/>
      <c r="G95" s="1507"/>
      <c r="H95" s="1507"/>
      <c r="I95" s="1507"/>
      <c r="J95" s="1507"/>
    </row>
    <row r="96" spans="1:12" ht="38.25" x14ac:dyDescent="0.25">
      <c r="A96" s="623" t="s">
        <v>1</v>
      </c>
      <c r="B96" s="1535" t="s">
        <v>15</v>
      </c>
      <c r="C96" s="1535"/>
      <c r="D96" s="1535"/>
      <c r="E96" s="1535" t="s">
        <v>16</v>
      </c>
      <c r="F96" s="1535"/>
      <c r="G96" s="623" t="s">
        <v>17</v>
      </c>
      <c r="H96" s="623" t="s">
        <v>18</v>
      </c>
      <c r="I96" s="1535" t="s">
        <v>104</v>
      </c>
      <c r="J96" s="1535"/>
    </row>
    <row r="97" spans="1:10" x14ac:dyDescent="0.25">
      <c r="A97" s="623">
        <v>1</v>
      </c>
      <c r="B97" s="1535">
        <v>2</v>
      </c>
      <c r="C97" s="1535"/>
      <c r="D97" s="1535"/>
      <c r="E97" s="1535">
        <v>3</v>
      </c>
      <c r="F97" s="1535"/>
      <c r="G97" s="623">
        <v>4</v>
      </c>
      <c r="H97" s="623">
        <v>5</v>
      </c>
      <c r="I97" s="1535">
        <v>6</v>
      </c>
      <c r="J97" s="1535"/>
    </row>
    <row r="98" spans="1:10" ht="16.5" customHeight="1" x14ac:dyDescent="0.25">
      <c r="A98" s="1562" t="s">
        <v>354</v>
      </c>
      <c r="B98" s="1563"/>
      <c r="C98" s="1563"/>
      <c r="D98" s="1563"/>
      <c r="E98" s="1563"/>
      <c r="F98" s="1563"/>
      <c r="G98" s="1563"/>
      <c r="H98" s="1563"/>
      <c r="I98" s="1563"/>
      <c r="J98" s="1564"/>
    </row>
    <row r="99" spans="1:10" ht="75.75" customHeight="1" x14ac:dyDescent="0.25">
      <c r="A99" s="631" t="s">
        <v>70</v>
      </c>
      <c r="B99" s="1635" t="s">
        <v>609</v>
      </c>
      <c r="C99" s="1636"/>
      <c r="D99" s="1637"/>
      <c r="E99" s="1633">
        <v>300</v>
      </c>
      <c r="F99" s="1634"/>
      <c r="G99" s="631">
        <v>1</v>
      </c>
      <c r="H99" s="631">
        <v>5</v>
      </c>
      <c r="I99" s="1638">
        <f>E99*G99*H99</f>
        <v>1500</v>
      </c>
      <c r="J99" s="1638"/>
    </row>
    <row r="100" spans="1:10" ht="15" hidden="1" customHeight="1" x14ac:dyDescent="0.25">
      <c r="A100" s="1562" t="s">
        <v>356</v>
      </c>
      <c r="B100" s="1563"/>
      <c r="C100" s="1563"/>
      <c r="D100" s="1563"/>
      <c r="E100" s="1563"/>
      <c r="F100" s="1563"/>
      <c r="G100" s="1563"/>
      <c r="H100" s="1563"/>
      <c r="I100" s="1563"/>
      <c r="J100" s="1564"/>
    </row>
    <row r="101" spans="1:10" ht="53.25" hidden="1" customHeight="1" x14ac:dyDescent="0.25">
      <c r="A101" s="599" t="s">
        <v>70</v>
      </c>
      <c r="B101" s="1557" t="s">
        <v>458</v>
      </c>
      <c r="C101" s="1558"/>
      <c r="D101" s="1559"/>
      <c r="E101" s="1534">
        <v>22300</v>
      </c>
      <c r="F101" s="1534"/>
      <c r="G101" s="632">
        <v>45</v>
      </c>
      <c r="H101" s="632">
        <v>1</v>
      </c>
      <c r="I101" s="1569">
        <v>0</v>
      </c>
      <c r="J101" s="1570"/>
    </row>
    <row r="102" spans="1:10" ht="48.75" hidden="1" customHeight="1" x14ac:dyDescent="0.25">
      <c r="A102" s="631" t="s">
        <v>75</v>
      </c>
      <c r="B102" s="1557" t="s">
        <v>459</v>
      </c>
      <c r="C102" s="1558"/>
      <c r="D102" s="1559"/>
      <c r="E102" s="1560">
        <v>15600</v>
      </c>
      <c r="F102" s="1560"/>
      <c r="G102" s="131">
        <v>24</v>
      </c>
      <c r="H102" s="151">
        <v>1</v>
      </c>
      <c r="I102" s="1561">
        <v>0</v>
      </c>
      <c r="J102" s="1561"/>
    </row>
    <row r="103" spans="1:10" x14ac:dyDescent="0.25">
      <c r="A103" s="1562" t="s">
        <v>357</v>
      </c>
      <c r="B103" s="1563"/>
      <c r="C103" s="1563"/>
      <c r="D103" s="1563"/>
      <c r="E103" s="1563"/>
      <c r="F103" s="1563"/>
      <c r="G103" s="1563"/>
      <c r="H103" s="1563"/>
      <c r="I103" s="1563"/>
      <c r="J103" s="1564"/>
    </row>
    <row r="104" spans="1:10" ht="58.5" customHeight="1" x14ac:dyDescent="0.25">
      <c r="A104" s="152" t="s">
        <v>75</v>
      </c>
      <c r="B104" s="1630" t="s">
        <v>610</v>
      </c>
      <c r="C104" s="1631"/>
      <c r="D104" s="1632"/>
      <c r="E104" s="1628">
        <v>0</v>
      </c>
      <c r="F104" s="1628"/>
      <c r="G104" s="152">
        <v>3</v>
      </c>
      <c r="H104" s="152">
        <v>0</v>
      </c>
      <c r="I104" s="1629">
        <v>11500</v>
      </c>
      <c r="J104" s="1629"/>
    </row>
    <row r="105" spans="1:10" x14ac:dyDescent="0.25">
      <c r="A105" s="631"/>
      <c r="B105" s="1539" t="s">
        <v>13</v>
      </c>
      <c r="C105" s="1539"/>
      <c r="D105" s="1539"/>
      <c r="E105" s="1540" t="s">
        <v>14</v>
      </c>
      <c r="F105" s="1540"/>
      <c r="G105" s="631" t="s">
        <v>14</v>
      </c>
      <c r="H105" s="631" t="s">
        <v>14</v>
      </c>
      <c r="I105" s="1543">
        <f>I99+I102+I104+I101</f>
        <v>13000</v>
      </c>
      <c r="J105" s="1543"/>
    </row>
    <row r="106" spans="1:10" ht="19.5" hidden="1" customHeight="1" x14ac:dyDescent="0.25">
      <c r="A106" s="1480" t="s">
        <v>359</v>
      </c>
      <c r="B106" s="1480"/>
      <c r="C106" s="1480"/>
      <c r="D106" s="1480"/>
      <c r="E106" s="1480"/>
      <c r="F106" s="1480"/>
      <c r="G106" s="1480"/>
      <c r="H106" s="1480"/>
      <c r="I106" s="1480"/>
      <c r="J106" s="1480"/>
    </row>
    <row r="107" spans="1:10" ht="51" hidden="1" x14ac:dyDescent="0.25">
      <c r="A107" s="623" t="s">
        <v>1</v>
      </c>
      <c r="B107" s="1535" t="s">
        <v>15</v>
      </c>
      <c r="C107" s="1535"/>
      <c r="D107" s="1535"/>
      <c r="E107" s="1544" t="s">
        <v>20</v>
      </c>
      <c r="F107" s="1545"/>
      <c r="G107" s="623" t="s">
        <v>21</v>
      </c>
      <c r="H107" s="623" t="s">
        <v>22</v>
      </c>
      <c r="I107" s="1535" t="s">
        <v>19</v>
      </c>
      <c r="J107" s="1535"/>
    </row>
    <row r="108" spans="1:10" hidden="1" x14ac:dyDescent="0.25">
      <c r="A108" s="623">
        <v>1</v>
      </c>
      <c r="B108" s="1535">
        <v>2</v>
      </c>
      <c r="C108" s="1535"/>
      <c r="D108" s="1535"/>
      <c r="E108" s="1544">
        <v>3</v>
      </c>
      <c r="F108" s="1545"/>
      <c r="G108" s="623">
        <v>4</v>
      </c>
      <c r="H108" s="623">
        <v>5</v>
      </c>
      <c r="I108" s="1535">
        <v>6</v>
      </c>
      <c r="J108" s="1535"/>
    </row>
    <row r="109" spans="1:10" ht="47.25" hidden="1" customHeight="1" x14ac:dyDescent="0.25">
      <c r="A109" s="624" t="s">
        <v>70</v>
      </c>
      <c r="B109" s="1546" t="s">
        <v>79</v>
      </c>
      <c r="C109" s="1547"/>
      <c r="D109" s="1548"/>
      <c r="E109" s="1549"/>
      <c r="F109" s="1550"/>
      <c r="G109" s="154">
        <v>12</v>
      </c>
      <c r="H109" s="154">
        <v>85</v>
      </c>
      <c r="I109" s="1551">
        <f>E109*G109*H109</f>
        <v>0</v>
      </c>
      <c r="J109" s="1551"/>
    </row>
    <row r="110" spans="1:10" ht="17.25" hidden="1" customHeight="1" x14ac:dyDescent="0.25">
      <c r="A110" s="153"/>
      <c r="B110" s="1536" t="s">
        <v>13</v>
      </c>
      <c r="C110" s="1536"/>
      <c r="D110" s="1536"/>
      <c r="E110" s="1537" t="s">
        <v>14</v>
      </c>
      <c r="F110" s="1538"/>
      <c r="G110" s="631" t="s">
        <v>14</v>
      </c>
      <c r="H110" s="631" t="s">
        <v>14</v>
      </c>
      <c r="I110" s="1543">
        <f>SUM(I109)</f>
        <v>0</v>
      </c>
      <c r="J110" s="1552"/>
    </row>
    <row r="111" spans="1:10" s="41" customFormat="1" ht="54" customHeight="1" x14ac:dyDescent="0.25">
      <c r="A111" s="1507" t="s">
        <v>288</v>
      </c>
      <c r="B111" s="1507"/>
      <c r="C111" s="1507"/>
      <c r="D111" s="1507"/>
      <c r="E111" s="1507"/>
      <c r="F111" s="1507"/>
      <c r="G111" s="1507"/>
      <c r="H111" s="1507"/>
      <c r="I111" s="1507"/>
      <c r="J111" s="1507"/>
    </row>
    <row r="112" spans="1:10" ht="25.5" customHeight="1" x14ac:dyDescent="0.25">
      <c r="A112" s="642" t="s">
        <v>1</v>
      </c>
      <c r="B112" s="1508" t="s">
        <v>23</v>
      </c>
      <c r="C112" s="1508"/>
      <c r="D112" s="1508"/>
      <c r="E112" s="1508"/>
      <c r="F112" s="1508"/>
      <c r="G112" s="1508" t="s">
        <v>24</v>
      </c>
      <c r="H112" s="1508"/>
      <c r="I112" s="1508" t="s">
        <v>25</v>
      </c>
      <c r="J112" s="1508"/>
    </row>
    <row r="113" spans="1:10" ht="12" customHeight="1" x14ac:dyDescent="0.25">
      <c r="A113" s="638">
        <v>1</v>
      </c>
      <c r="B113" s="1346">
        <v>2</v>
      </c>
      <c r="C113" s="1346"/>
      <c r="D113" s="1346"/>
      <c r="E113" s="1346"/>
      <c r="F113" s="1346"/>
      <c r="G113" s="1346">
        <v>3</v>
      </c>
      <c r="H113" s="1346"/>
      <c r="I113" s="1346">
        <v>4</v>
      </c>
      <c r="J113" s="1346"/>
    </row>
    <row r="114" spans="1:10" ht="17.25" customHeight="1" x14ac:dyDescent="0.25">
      <c r="A114" s="633" t="s">
        <v>70</v>
      </c>
      <c r="B114" s="1527" t="s">
        <v>26</v>
      </c>
      <c r="C114" s="1527"/>
      <c r="D114" s="1527"/>
      <c r="E114" s="1527"/>
      <c r="F114" s="1527"/>
      <c r="G114" s="1532" t="s">
        <v>14</v>
      </c>
      <c r="H114" s="1532"/>
      <c r="I114" s="1531">
        <f>SUM(I116:J118)</f>
        <v>26444</v>
      </c>
      <c r="J114" s="1531"/>
    </row>
    <row r="115" spans="1:10" ht="16.5" customHeight="1" x14ac:dyDescent="0.25">
      <c r="A115" s="89"/>
      <c r="B115" s="1387" t="s">
        <v>9</v>
      </c>
      <c r="C115" s="1444"/>
      <c r="D115" s="1444"/>
      <c r="E115" s="1444"/>
      <c r="F115" s="1388"/>
      <c r="G115" s="1505"/>
      <c r="H115" s="1505"/>
      <c r="I115" s="1504"/>
      <c r="J115" s="1504"/>
    </row>
    <row r="116" spans="1:10" ht="17.25" customHeight="1" x14ac:dyDescent="0.25">
      <c r="A116" s="639" t="s">
        <v>27</v>
      </c>
      <c r="B116" s="1533" t="s">
        <v>28</v>
      </c>
      <c r="C116" s="1533"/>
      <c r="D116" s="1533"/>
      <c r="E116" s="1533"/>
      <c r="F116" s="1533"/>
      <c r="G116" s="1503">
        <v>120200</v>
      </c>
      <c r="H116" s="1503"/>
      <c r="I116" s="1504">
        <f>G116*22%</f>
        <v>26444</v>
      </c>
      <c r="J116" s="1504"/>
    </row>
    <row r="117" spans="1:10" ht="15" customHeight="1" x14ac:dyDescent="0.25">
      <c r="A117" s="639" t="s">
        <v>29</v>
      </c>
      <c r="B117" s="1386" t="s">
        <v>30</v>
      </c>
      <c r="C117" s="1386"/>
      <c r="D117" s="1386"/>
      <c r="E117" s="1386"/>
      <c r="F117" s="1386"/>
      <c r="G117" s="1505"/>
      <c r="H117" s="1505"/>
      <c r="I117" s="1504">
        <f>G117*10%</f>
        <v>0</v>
      </c>
      <c r="J117" s="1504"/>
    </row>
    <row r="118" spans="1:10" ht="29.45" customHeight="1" x14ac:dyDescent="0.25">
      <c r="A118" s="639" t="s">
        <v>31</v>
      </c>
      <c r="B118" s="1506" t="s">
        <v>32</v>
      </c>
      <c r="C118" s="1506"/>
      <c r="D118" s="1506"/>
      <c r="E118" s="1506"/>
      <c r="F118" s="1506"/>
      <c r="G118" s="1505"/>
      <c r="H118" s="1505"/>
      <c r="I118" s="1504"/>
      <c r="J118" s="1504"/>
    </row>
    <row r="119" spans="1:10" ht="29.25" customHeight="1" x14ac:dyDescent="0.25">
      <c r="A119" s="633" t="s">
        <v>75</v>
      </c>
      <c r="B119" s="1527" t="s">
        <v>33</v>
      </c>
      <c r="C119" s="1527"/>
      <c r="D119" s="1527"/>
      <c r="E119" s="1527"/>
      <c r="F119" s="1527"/>
      <c r="G119" s="1532" t="s">
        <v>14</v>
      </c>
      <c r="H119" s="1532"/>
      <c r="I119" s="1531">
        <f>SUM(I121:J125)</f>
        <v>3425.7999999999997</v>
      </c>
      <c r="J119" s="1531"/>
    </row>
    <row r="120" spans="1:10" ht="15.75" customHeight="1" x14ac:dyDescent="0.25">
      <c r="A120" s="89"/>
      <c r="B120" s="1387" t="s">
        <v>9</v>
      </c>
      <c r="C120" s="1444"/>
      <c r="D120" s="1444"/>
      <c r="E120" s="1444"/>
      <c r="F120" s="1388"/>
      <c r="G120" s="1505"/>
      <c r="H120" s="1505"/>
      <c r="I120" s="1504"/>
      <c r="J120" s="1504"/>
    </row>
    <row r="121" spans="1:10" ht="27.75" customHeight="1" x14ac:dyDescent="0.25">
      <c r="A121" s="639" t="s">
        <v>34</v>
      </c>
      <c r="B121" s="1506" t="s">
        <v>35</v>
      </c>
      <c r="C121" s="1506"/>
      <c r="D121" s="1506"/>
      <c r="E121" s="1506"/>
      <c r="F121" s="1506"/>
      <c r="G121" s="1503">
        <f>G116+G117</f>
        <v>120200</v>
      </c>
      <c r="H121" s="1503"/>
      <c r="I121" s="1504">
        <f>G121*2.9%-300.4</f>
        <v>3185.3999999999996</v>
      </c>
      <c r="J121" s="1504"/>
    </row>
    <row r="122" spans="1:10" ht="15" customHeight="1" x14ac:dyDescent="0.25">
      <c r="A122" s="639" t="s">
        <v>36</v>
      </c>
      <c r="B122" s="1506" t="s">
        <v>37</v>
      </c>
      <c r="C122" s="1506"/>
      <c r="D122" s="1506"/>
      <c r="E122" s="1506"/>
      <c r="F122" s="1506"/>
      <c r="G122" s="1505"/>
      <c r="H122" s="1505"/>
      <c r="I122" s="1504"/>
      <c r="J122" s="1504"/>
    </row>
    <row r="123" spans="1:10" ht="35.25" customHeight="1" x14ac:dyDescent="0.25">
      <c r="A123" s="639" t="s">
        <v>38</v>
      </c>
      <c r="B123" s="1506" t="s">
        <v>39</v>
      </c>
      <c r="C123" s="1506"/>
      <c r="D123" s="1506"/>
      <c r="E123" s="1506"/>
      <c r="F123" s="1506"/>
      <c r="G123" s="1503">
        <f>G116+G117</f>
        <v>120200</v>
      </c>
      <c r="H123" s="1503"/>
      <c r="I123" s="1504">
        <f>G123*0.2%</f>
        <v>240.4</v>
      </c>
      <c r="J123" s="1504"/>
    </row>
    <row r="124" spans="1:10" s="41" customFormat="1" ht="15" customHeight="1" x14ac:dyDescent="0.25">
      <c r="A124" s="639" t="s">
        <v>40</v>
      </c>
      <c r="B124" s="1506" t="s">
        <v>41</v>
      </c>
      <c r="C124" s="1506"/>
      <c r="D124" s="1506"/>
      <c r="E124" s="1506"/>
      <c r="F124" s="1506"/>
      <c r="G124" s="1505"/>
      <c r="H124" s="1505"/>
      <c r="I124" s="1504"/>
      <c r="J124" s="1504"/>
    </row>
    <row r="125" spans="1:10" ht="15" customHeight="1" x14ac:dyDescent="0.25">
      <c r="A125" s="639" t="s">
        <v>42</v>
      </c>
      <c r="B125" s="1506" t="s">
        <v>41</v>
      </c>
      <c r="C125" s="1506"/>
      <c r="D125" s="1506"/>
      <c r="E125" s="1506"/>
      <c r="F125" s="1506"/>
      <c r="G125" s="1505"/>
      <c r="H125" s="1505"/>
      <c r="I125" s="1504"/>
      <c r="J125" s="1504"/>
    </row>
    <row r="126" spans="1:10" ht="30" customHeight="1" x14ac:dyDescent="0.25">
      <c r="A126" s="633" t="s">
        <v>77</v>
      </c>
      <c r="B126" s="1527" t="s">
        <v>43</v>
      </c>
      <c r="C126" s="1527"/>
      <c r="D126" s="1527"/>
      <c r="E126" s="1527"/>
      <c r="F126" s="1527"/>
      <c r="G126" s="1530">
        <f>G116+G117</f>
        <v>120200</v>
      </c>
      <c r="H126" s="1530"/>
      <c r="I126" s="1531">
        <f>G126*5.1%</f>
        <v>6130.2</v>
      </c>
      <c r="J126" s="1531"/>
    </row>
    <row r="127" spans="1:10" ht="19.5" customHeight="1" x14ac:dyDescent="0.25">
      <c r="A127" s="639"/>
      <c r="B127" s="1338" t="s">
        <v>726</v>
      </c>
      <c r="C127" s="1338"/>
      <c r="D127" s="1338"/>
      <c r="E127" s="1338"/>
      <c r="F127" s="1338"/>
      <c r="G127" s="1341" t="s">
        <v>14</v>
      </c>
      <c r="H127" s="1341"/>
      <c r="I127" s="1529">
        <f>I114+I119+I126</f>
        <v>36000</v>
      </c>
      <c r="J127" s="1529"/>
    </row>
    <row r="128" spans="1:10" ht="36" hidden="1" customHeight="1" x14ac:dyDescent="0.25">
      <c r="A128" s="642" t="s">
        <v>1</v>
      </c>
      <c r="B128" s="1501" t="s">
        <v>23</v>
      </c>
      <c r="C128" s="1528"/>
      <c r="D128" s="1528"/>
      <c r="E128" s="1528"/>
      <c r="F128" s="1502"/>
      <c r="G128" s="1501" t="s">
        <v>24</v>
      </c>
      <c r="H128" s="1502"/>
      <c r="I128" s="1501" t="s">
        <v>25</v>
      </c>
      <c r="J128" s="1502"/>
    </row>
    <row r="129" spans="1:10" ht="11.25" hidden="1" customHeight="1" x14ac:dyDescent="0.25">
      <c r="A129" s="638">
        <v>1</v>
      </c>
      <c r="B129" s="1344">
        <v>2</v>
      </c>
      <c r="C129" s="1392"/>
      <c r="D129" s="1392"/>
      <c r="E129" s="1392"/>
      <c r="F129" s="1345"/>
      <c r="G129" s="1344">
        <v>3</v>
      </c>
      <c r="H129" s="1345"/>
      <c r="I129" s="1344">
        <v>4</v>
      </c>
      <c r="J129" s="1345"/>
    </row>
    <row r="130" spans="1:10" ht="20.25" hidden="1" customHeight="1" x14ac:dyDescent="0.25">
      <c r="A130" s="633" t="s">
        <v>70</v>
      </c>
      <c r="B130" s="1484" t="s">
        <v>26</v>
      </c>
      <c r="C130" s="1485"/>
      <c r="D130" s="1485"/>
      <c r="E130" s="1485"/>
      <c r="F130" s="1486"/>
      <c r="G130" s="1362" t="s">
        <v>14</v>
      </c>
      <c r="H130" s="1363"/>
      <c r="I130" s="1487">
        <f>SUM(I132:J134)</f>
        <v>0</v>
      </c>
      <c r="J130" s="1488"/>
    </row>
    <row r="131" spans="1:10" ht="18" hidden="1" customHeight="1" x14ac:dyDescent="0.25">
      <c r="A131" s="89"/>
      <c r="B131" s="1387" t="s">
        <v>9</v>
      </c>
      <c r="C131" s="1444"/>
      <c r="D131" s="1444"/>
      <c r="E131" s="1444"/>
      <c r="F131" s="1388"/>
      <c r="G131" s="1489"/>
      <c r="H131" s="1490"/>
      <c r="I131" s="1491"/>
      <c r="J131" s="1492"/>
    </row>
    <row r="132" spans="1:10" s="41" customFormat="1" ht="20.25" hidden="1" customHeight="1" x14ac:dyDescent="0.25">
      <c r="A132" s="639" t="s">
        <v>27</v>
      </c>
      <c r="B132" s="1495" t="s">
        <v>28</v>
      </c>
      <c r="C132" s="1496"/>
      <c r="D132" s="1496"/>
      <c r="E132" s="1496"/>
      <c r="F132" s="1497"/>
      <c r="G132" s="1493">
        <f>J86</f>
        <v>0</v>
      </c>
      <c r="H132" s="1494"/>
      <c r="I132" s="1491">
        <f>G132*22%</f>
        <v>0</v>
      </c>
      <c r="J132" s="1492"/>
    </row>
    <row r="133" spans="1:10" hidden="1" x14ac:dyDescent="0.25">
      <c r="A133" s="639" t="s">
        <v>29</v>
      </c>
      <c r="B133" s="1402" t="s">
        <v>30</v>
      </c>
      <c r="C133" s="1403"/>
      <c r="D133" s="1403"/>
      <c r="E133" s="1403"/>
      <c r="F133" s="1404"/>
      <c r="G133" s="1489"/>
      <c r="H133" s="1490"/>
      <c r="I133" s="1491"/>
      <c r="J133" s="1492"/>
    </row>
    <row r="134" spans="1:10" ht="15" hidden="1" customHeight="1" x14ac:dyDescent="0.25">
      <c r="A134" s="639" t="s">
        <v>31</v>
      </c>
      <c r="B134" s="1498" t="s">
        <v>32</v>
      </c>
      <c r="C134" s="1499"/>
      <c r="D134" s="1499"/>
      <c r="E134" s="1499"/>
      <c r="F134" s="1500"/>
      <c r="G134" s="1489"/>
      <c r="H134" s="1490"/>
      <c r="I134" s="1491"/>
      <c r="J134" s="1492"/>
    </row>
    <row r="135" spans="1:10" ht="15" hidden="1" customHeight="1" x14ac:dyDescent="0.25">
      <c r="A135" s="633" t="s">
        <v>75</v>
      </c>
      <c r="B135" s="1484" t="s">
        <v>33</v>
      </c>
      <c r="C135" s="1485"/>
      <c r="D135" s="1485"/>
      <c r="E135" s="1485"/>
      <c r="F135" s="1486"/>
      <c r="G135" s="1362" t="s">
        <v>14</v>
      </c>
      <c r="H135" s="1363"/>
      <c r="I135" s="1487">
        <f>SUM(I137:J141)</f>
        <v>-4.0000000000000001E-3</v>
      </c>
      <c r="J135" s="1488"/>
    </row>
    <row r="136" spans="1:10" ht="15" hidden="1" customHeight="1" x14ac:dyDescent="0.25">
      <c r="A136" s="89"/>
      <c r="B136" s="1387" t="s">
        <v>9</v>
      </c>
      <c r="C136" s="1444"/>
      <c r="D136" s="1444"/>
      <c r="E136" s="1444"/>
      <c r="F136" s="1388"/>
      <c r="G136" s="1489"/>
      <c r="H136" s="1490"/>
      <c r="I136" s="1491"/>
      <c r="J136" s="1492"/>
    </row>
    <row r="137" spans="1:10" ht="26.25" hidden="1" customHeight="1" x14ac:dyDescent="0.25">
      <c r="A137" s="639" t="s">
        <v>34</v>
      </c>
      <c r="B137" s="1498" t="s">
        <v>35</v>
      </c>
      <c r="C137" s="1499"/>
      <c r="D137" s="1499"/>
      <c r="E137" s="1499"/>
      <c r="F137" s="1500"/>
      <c r="G137" s="1493">
        <f>G132</f>
        <v>0</v>
      </c>
      <c r="H137" s="1494"/>
      <c r="I137" s="1491">
        <f>G137*2.9%</f>
        <v>0</v>
      </c>
      <c r="J137" s="1492"/>
    </row>
    <row r="138" spans="1:10" hidden="1" x14ac:dyDescent="0.25">
      <c r="A138" s="639" t="s">
        <v>36</v>
      </c>
      <c r="B138" s="1498" t="s">
        <v>37</v>
      </c>
      <c r="C138" s="1499"/>
      <c r="D138" s="1499"/>
      <c r="E138" s="1499"/>
      <c r="F138" s="1500"/>
      <c r="G138" s="1489"/>
      <c r="H138" s="1490"/>
      <c r="I138" s="1491"/>
      <c r="J138" s="1492"/>
    </row>
    <row r="139" spans="1:10" ht="26.25" hidden="1" customHeight="1" x14ac:dyDescent="0.25">
      <c r="A139" s="639" t="s">
        <v>38</v>
      </c>
      <c r="B139" s="1498" t="s">
        <v>39</v>
      </c>
      <c r="C139" s="1499"/>
      <c r="D139" s="1499"/>
      <c r="E139" s="1499"/>
      <c r="F139" s="1500"/>
      <c r="G139" s="1493">
        <f>G132</f>
        <v>0</v>
      </c>
      <c r="H139" s="1494"/>
      <c r="I139" s="1491">
        <f>G139*0.2%-0.004</f>
        <v>-4.0000000000000001E-3</v>
      </c>
      <c r="J139" s="1492"/>
    </row>
    <row r="140" spans="1:10" s="41" customFormat="1" ht="14.25" hidden="1" customHeight="1" x14ac:dyDescent="0.25">
      <c r="A140" s="639" t="s">
        <v>40</v>
      </c>
      <c r="B140" s="1498" t="s">
        <v>41</v>
      </c>
      <c r="C140" s="1499"/>
      <c r="D140" s="1499"/>
      <c r="E140" s="1499"/>
      <c r="F140" s="1500"/>
      <c r="G140" s="1489"/>
      <c r="H140" s="1490"/>
      <c r="I140" s="1491"/>
      <c r="J140" s="1492"/>
    </row>
    <row r="141" spans="1:10" ht="15" hidden="1" customHeight="1" x14ac:dyDescent="0.25">
      <c r="A141" s="639" t="s">
        <v>42</v>
      </c>
      <c r="B141" s="1498" t="s">
        <v>41</v>
      </c>
      <c r="C141" s="1499"/>
      <c r="D141" s="1499"/>
      <c r="E141" s="1499"/>
      <c r="F141" s="1500"/>
      <c r="G141" s="1489"/>
      <c r="H141" s="1490"/>
      <c r="I141" s="1491"/>
      <c r="J141" s="1492"/>
    </row>
    <row r="142" spans="1:10" hidden="1" x14ac:dyDescent="0.25">
      <c r="A142" s="633" t="s">
        <v>77</v>
      </c>
      <c r="B142" s="1484" t="s">
        <v>43</v>
      </c>
      <c r="C142" s="1485"/>
      <c r="D142" s="1485"/>
      <c r="E142" s="1485"/>
      <c r="F142" s="1486"/>
      <c r="G142" s="1524">
        <f>G132</f>
        <v>0</v>
      </c>
      <c r="H142" s="1525"/>
      <c r="I142" s="1487">
        <f>G142*5.1%</f>
        <v>0</v>
      </c>
      <c r="J142" s="1488"/>
    </row>
    <row r="143" spans="1:10" x14ac:dyDescent="0.25">
      <c r="A143" s="639"/>
      <c r="B143" s="1431" t="s">
        <v>373</v>
      </c>
      <c r="C143" s="1432"/>
      <c r="D143" s="1432"/>
      <c r="E143" s="1432"/>
      <c r="F143" s="1433"/>
      <c r="G143" s="1406" t="s">
        <v>14</v>
      </c>
      <c r="H143" s="1407"/>
      <c r="I143" s="1520">
        <f>I130+I135+I142</f>
        <v>-4.0000000000000001E-3</v>
      </c>
      <c r="J143" s="1521"/>
    </row>
    <row r="144" spans="1:10" x14ac:dyDescent="0.25">
      <c r="A144" s="639"/>
      <c r="B144" s="1431" t="s">
        <v>767</v>
      </c>
      <c r="C144" s="1432"/>
      <c r="D144" s="1432"/>
      <c r="E144" s="1432"/>
      <c r="F144" s="1433"/>
      <c r="G144" s="636"/>
      <c r="H144" s="637"/>
      <c r="I144" s="1520">
        <v>0</v>
      </c>
      <c r="J144" s="1521"/>
    </row>
    <row r="145" spans="1:12" s="41" customFormat="1" ht="19.5" customHeight="1" x14ac:dyDescent="0.25">
      <c r="A145" s="100"/>
      <c r="B145" s="1526" t="s">
        <v>675</v>
      </c>
      <c r="C145" s="1526"/>
      <c r="D145" s="1526"/>
      <c r="E145" s="1526"/>
      <c r="F145" s="1526"/>
      <c r="G145" s="1522" t="s">
        <v>14</v>
      </c>
      <c r="H145" s="1522"/>
      <c r="I145" s="1523">
        <f>I127+I143+I144</f>
        <v>35999.995999999999</v>
      </c>
      <c r="J145" s="1523"/>
      <c r="K145" s="1474"/>
      <c r="L145" s="1474"/>
    </row>
    <row r="146" spans="1:12" s="41" customFormat="1" ht="38.25" customHeight="1" x14ac:dyDescent="0.2">
      <c r="A146" s="1477" t="s">
        <v>414</v>
      </c>
      <c r="B146" s="1477"/>
      <c r="C146" s="1477"/>
      <c r="D146" s="1477"/>
      <c r="E146" s="1477"/>
      <c r="F146" s="1477"/>
      <c r="G146" s="1477"/>
      <c r="H146" s="1477"/>
      <c r="I146" s="1477"/>
      <c r="J146" s="1477"/>
    </row>
    <row r="147" spans="1:12" ht="19.5" hidden="1" customHeight="1" x14ac:dyDescent="0.25">
      <c r="A147" s="1480" t="s">
        <v>370</v>
      </c>
      <c r="B147" s="1480"/>
      <c r="C147" s="1480"/>
      <c r="D147" s="1480"/>
      <c r="E147" s="1480"/>
      <c r="F147" s="1480"/>
      <c r="G147" s="1480"/>
      <c r="H147" s="1480"/>
      <c r="I147" s="1480"/>
      <c r="J147" s="1480"/>
      <c r="K147" s="11"/>
      <c r="L147" s="11"/>
    </row>
    <row r="148" spans="1:12" ht="15" hidden="1" customHeight="1" x14ac:dyDescent="0.25">
      <c r="A148" s="80" t="s">
        <v>80</v>
      </c>
      <c r="B148" s="81"/>
      <c r="C148" s="307">
        <v>321</v>
      </c>
      <c r="D148" s="307"/>
      <c r="E148" s="307"/>
      <c r="F148" s="85"/>
      <c r="G148" s="85"/>
      <c r="H148" s="85"/>
      <c r="I148" s="85"/>
      <c r="J148" s="85"/>
      <c r="K148" s="11"/>
      <c r="L148" s="11"/>
    </row>
    <row r="149" spans="1:12" ht="16.5" hidden="1" customHeight="1" x14ac:dyDescent="0.25">
      <c r="A149" s="80" t="s">
        <v>81</v>
      </c>
      <c r="B149" s="81"/>
      <c r="C149" s="81"/>
      <c r="D149" s="81"/>
      <c r="E149" s="86"/>
      <c r="F149" s="87"/>
      <c r="G149" s="87"/>
      <c r="H149" s="87"/>
      <c r="I149" s="87"/>
      <c r="J149" s="87"/>
      <c r="K149" s="11"/>
      <c r="L149" s="11"/>
    </row>
    <row r="150" spans="1:12" ht="36" hidden="1" customHeight="1" x14ac:dyDescent="0.25">
      <c r="A150" s="638" t="s">
        <v>1</v>
      </c>
      <c r="B150" s="1344" t="s">
        <v>44</v>
      </c>
      <c r="C150" s="1392"/>
      <c r="D150" s="1345"/>
      <c r="E150" s="1344" t="s">
        <v>45</v>
      </c>
      <c r="F150" s="1345"/>
      <c r="G150" s="1344" t="s">
        <v>46</v>
      </c>
      <c r="H150" s="1345"/>
      <c r="I150" s="1344" t="s">
        <v>102</v>
      </c>
      <c r="J150" s="1345"/>
      <c r="K150" s="11"/>
      <c r="L150" s="11"/>
    </row>
    <row r="151" spans="1:12" ht="16.5" hidden="1" customHeight="1" x14ac:dyDescent="0.25">
      <c r="A151" s="638">
        <v>1</v>
      </c>
      <c r="B151" s="1344">
        <v>2</v>
      </c>
      <c r="C151" s="1392"/>
      <c r="D151" s="1345"/>
      <c r="E151" s="1344">
        <v>3</v>
      </c>
      <c r="F151" s="1345"/>
      <c r="G151" s="1344">
        <v>4</v>
      </c>
      <c r="H151" s="1345"/>
      <c r="I151" s="1344">
        <v>5</v>
      </c>
      <c r="J151" s="1345"/>
      <c r="K151" s="11"/>
      <c r="L151" s="11"/>
    </row>
    <row r="152" spans="1:12" ht="89.25" hidden="1" customHeight="1" x14ac:dyDescent="0.25">
      <c r="A152" s="628" t="s">
        <v>70</v>
      </c>
      <c r="B152" s="1402" t="s">
        <v>361</v>
      </c>
      <c r="C152" s="1403"/>
      <c r="D152" s="1404"/>
      <c r="E152" s="1387"/>
      <c r="F152" s="1388"/>
      <c r="G152" s="1387"/>
      <c r="H152" s="1388"/>
      <c r="I152" s="1387"/>
      <c r="J152" s="1388"/>
    </row>
    <row r="153" spans="1:12" ht="28.5" hidden="1" customHeight="1" x14ac:dyDescent="0.25">
      <c r="A153" s="639" t="s">
        <v>75</v>
      </c>
      <c r="B153" s="1402" t="s">
        <v>360</v>
      </c>
      <c r="C153" s="1403"/>
      <c r="D153" s="1404"/>
      <c r="E153" s="1387"/>
      <c r="F153" s="1388"/>
      <c r="G153" s="1387"/>
      <c r="H153" s="1388"/>
      <c r="I153" s="1387"/>
      <c r="J153" s="1388"/>
    </row>
    <row r="154" spans="1:12" ht="28.5" hidden="1" customHeight="1" x14ac:dyDescent="0.25">
      <c r="A154" s="639" t="s">
        <v>70</v>
      </c>
      <c r="B154" s="1546" t="s">
        <v>366</v>
      </c>
      <c r="C154" s="1547"/>
      <c r="D154" s="1548"/>
      <c r="E154" s="1387"/>
      <c r="F154" s="1425"/>
      <c r="G154" s="1387"/>
      <c r="H154" s="1425"/>
      <c r="I154" s="1387"/>
      <c r="J154" s="1425"/>
    </row>
    <row r="155" spans="1:12" hidden="1" x14ac:dyDescent="0.25">
      <c r="A155" s="635"/>
      <c r="B155" s="1431" t="s">
        <v>13</v>
      </c>
      <c r="C155" s="1432"/>
      <c r="D155" s="1433"/>
      <c r="E155" s="1406" t="s">
        <v>14</v>
      </c>
      <c r="F155" s="1407"/>
      <c r="G155" s="1406" t="s">
        <v>14</v>
      </c>
      <c r="H155" s="1407"/>
      <c r="I155" s="1406">
        <f>SUM(I154)</f>
        <v>0</v>
      </c>
      <c r="J155" s="1407"/>
    </row>
    <row r="156" spans="1:12" s="41" customFormat="1" ht="21" hidden="1" customHeight="1" x14ac:dyDescent="0.25">
      <c r="A156" s="1480" t="s">
        <v>362</v>
      </c>
      <c r="B156" s="1480"/>
      <c r="C156" s="1480"/>
      <c r="D156" s="1480"/>
      <c r="E156" s="1480"/>
      <c r="F156" s="1480"/>
      <c r="G156" s="1480"/>
      <c r="H156" s="1480"/>
      <c r="I156" s="1480"/>
      <c r="J156" s="1480"/>
    </row>
    <row r="157" spans="1:12" s="41" customFormat="1" ht="21" hidden="1" customHeight="1" x14ac:dyDescent="0.25">
      <c r="A157" s="80" t="s">
        <v>80</v>
      </c>
      <c r="B157" s="81"/>
      <c r="C157" s="307">
        <v>851</v>
      </c>
      <c r="D157" s="307">
        <v>852</v>
      </c>
      <c r="E157" s="307">
        <v>853</v>
      </c>
      <c r="F157" s="85"/>
      <c r="G157" s="85"/>
      <c r="H157" s="85"/>
      <c r="I157" s="85"/>
      <c r="J157" s="85"/>
      <c r="K157" s="42"/>
      <c r="L157" s="43"/>
    </row>
    <row r="158" spans="1:12" s="41" customFormat="1" ht="15.75" hidden="1" x14ac:dyDescent="0.25">
      <c r="A158" s="80" t="s">
        <v>81</v>
      </c>
      <c r="B158" s="81"/>
      <c r="C158" s="81"/>
      <c r="D158" s="81"/>
      <c r="E158" s="86"/>
      <c r="F158" s="87"/>
      <c r="G158" s="87"/>
      <c r="H158" s="87"/>
      <c r="I158" s="87"/>
      <c r="J158" s="87"/>
    </row>
    <row r="159" spans="1:12" ht="39.75" hidden="1" customHeight="1" x14ac:dyDescent="0.25">
      <c r="A159" s="638" t="s">
        <v>1</v>
      </c>
      <c r="B159" s="1346" t="s">
        <v>15</v>
      </c>
      <c r="C159" s="1346"/>
      <c r="D159" s="1346"/>
      <c r="E159" s="1346" t="s">
        <v>47</v>
      </c>
      <c r="F159" s="1346"/>
      <c r="G159" s="1346" t="s">
        <v>48</v>
      </c>
      <c r="H159" s="1346"/>
      <c r="I159" s="1346" t="s">
        <v>103</v>
      </c>
      <c r="J159" s="1346"/>
    </row>
    <row r="160" spans="1:12" ht="15" hidden="1" customHeight="1" x14ac:dyDescent="0.25">
      <c r="A160" s="638">
        <v>1</v>
      </c>
      <c r="B160" s="1346">
        <v>2</v>
      </c>
      <c r="C160" s="1346"/>
      <c r="D160" s="1346"/>
      <c r="E160" s="1346">
        <v>3</v>
      </c>
      <c r="F160" s="1346"/>
      <c r="G160" s="1346">
        <v>4</v>
      </c>
      <c r="H160" s="1346"/>
      <c r="I160" s="1346">
        <v>5</v>
      </c>
      <c r="J160" s="1346"/>
    </row>
    <row r="161" spans="1:12" ht="20.25" hidden="1" customHeight="1" x14ac:dyDescent="0.25">
      <c r="A161" s="1512" t="s">
        <v>70</v>
      </c>
      <c r="B161" s="1517" t="s">
        <v>289</v>
      </c>
      <c r="C161" s="1518"/>
      <c r="D161" s="640" t="s">
        <v>460</v>
      </c>
      <c r="E161" s="1519"/>
      <c r="F161" s="1519"/>
      <c r="G161" s="1516">
        <v>2.1999999999999999E-2</v>
      </c>
      <c r="H161" s="1516"/>
      <c r="I161" s="1468"/>
      <c r="J161" s="1468"/>
    </row>
    <row r="162" spans="1:12" ht="17.25" hidden="1" customHeight="1" x14ac:dyDescent="0.25">
      <c r="A162" s="1513"/>
      <c r="B162" s="1518"/>
      <c r="C162" s="1518"/>
      <c r="D162" s="641" t="s">
        <v>461</v>
      </c>
      <c r="E162" s="1519"/>
      <c r="F162" s="1519"/>
      <c r="G162" s="1516">
        <v>2.1999999999999999E-2</v>
      </c>
      <c r="H162" s="1516"/>
      <c r="I162" s="1468"/>
      <c r="J162" s="1468"/>
    </row>
    <row r="163" spans="1:12" ht="18" hidden="1" customHeight="1" x14ac:dyDescent="0.25">
      <c r="A163" s="639" t="s">
        <v>75</v>
      </c>
      <c r="B163" s="1402" t="s">
        <v>291</v>
      </c>
      <c r="C163" s="1403"/>
      <c r="D163" s="1404"/>
      <c r="E163" s="1445">
        <v>0</v>
      </c>
      <c r="F163" s="1445"/>
      <c r="G163" s="1445">
        <v>0</v>
      </c>
      <c r="H163" s="1445"/>
      <c r="I163" s="1468"/>
      <c r="J163" s="1468"/>
    </row>
    <row r="164" spans="1:12" ht="31.5" hidden="1" customHeight="1" x14ac:dyDescent="0.25">
      <c r="A164" s="639" t="s">
        <v>77</v>
      </c>
      <c r="B164" s="1402" t="s">
        <v>292</v>
      </c>
      <c r="C164" s="1403"/>
      <c r="D164" s="1404"/>
      <c r="E164" s="1445">
        <v>0</v>
      </c>
      <c r="F164" s="1445"/>
      <c r="G164" s="1445">
        <v>0</v>
      </c>
      <c r="H164" s="1445"/>
      <c r="I164" s="1468"/>
      <c r="J164" s="1468"/>
    </row>
    <row r="165" spans="1:12" ht="31.5" hidden="1" customHeight="1" x14ac:dyDescent="0.25">
      <c r="A165" s="639" t="s">
        <v>86</v>
      </c>
      <c r="B165" s="1402" t="s">
        <v>290</v>
      </c>
      <c r="C165" s="1403"/>
      <c r="D165" s="1404"/>
      <c r="E165" s="1387">
        <v>0</v>
      </c>
      <c r="F165" s="1388"/>
      <c r="G165" s="1387">
        <v>0</v>
      </c>
      <c r="H165" s="1388"/>
      <c r="I165" s="1514"/>
      <c r="J165" s="1515"/>
    </row>
    <row r="166" spans="1:12" ht="15.75" hidden="1" customHeight="1" x14ac:dyDescent="0.25">
      <c r="A166" s="635"/>
      <c r="B166" s="1338" t="s">
        <v>13</v>
      </c>
      <c r="C166" s="1338"/>
      <c r="D166" s="1338"/>
      <c r="E166" s="1341" t="s">
        <v>74</v>
      </c>
      <c r="F166" s="1341"/>
      <c r="G166" s="1341" t="s">
        <v>14</v>
      </c>
      <c r="H166" s="1341"/>
      <c r="I166" s="1347">
        <f>SUM(I161:J165)</f>
        <v>0</v>
      </c>
      <c r="J166" s="1341"/>
    </row>
    <row r="167" spans="1:12" ht="27" hidden="1" customHeight="1" x14ac:dyDescent="0.25">
      <c r="A167" s="1480" t="s">
        <v>85</v>
      </c>
      <c r="B167" s="1480"/>
      <c r="C167" s="1480"/>
      <c r="D167" s="1480"/>
      <c r="E167" s="1480"/>
      <c r="F167" s="1480"/>
      <c r="G167" s="1480"/>
      <c r="H167" s="1480"/>
      <c r="I167" s="1480"/>
      <c r="J167" s="1480"/>
      <c r="K167" s="1474"/>
      <c r="L167" s="1474"/>
    </row>
    <row r="168" spans="1:12" s="41" customFormat="1" ht="15.75" hidden="1" customHeight="1" x14ac:dyDescent="0.25">
      <c r="A168" s="80" t="s">
        <v>80</v>
      </c>
      <c r="B168" s="81"/>
      <c r="C168" s="307"/>
      <c r="D168" s="307"/>
      <c r="E168" s="307"/>
      <c r="F168" s="85"/>
      <c r="G168" s="85"/>
      <c r="H168" s="85"/>
      <c r="I168" s="85"/>
      <c r="J168" s="85"/>
      <c r="K168" s="42"/>
      <c r="L168" s="43"/>
    </row>
    <row r="169" spans="1:12" s="41" customFormat="1" ht="15.75" hidden="1" x14ac:dyDescent="0.25">
      <c r="A169" s="80" t="s">
        <v>81</v>
      </c>
      <c r="B169" s="81"/>
      <c r="C169" s="81"/>
      <c r="D169" s="81"/>
      <c r="E169" s="86"/>
      <c r="F169" s="87"/>
      <c r="G169" s="87"/>
      <c r="H169" s="87"/>
      <c r="I169" s="87"/>
      <c r="J169" s="87"/>
    </row>
    <row r="170" spans="1:12" ht="24.75" hidden="1" customHeight="1" x14ac:dyDescent="0.25">
      <c r="A170" s="638" t="s">
        <v>1</v>
      </c>
      <c r="B170" s="1346" t="s">
        <v>44</v>
      </c>
      <c r="C170" s="1346"/>
      <c r="D170" s="1346"/>
      <c r="E170" s="1346" t="s">
        <v>45</v>
      </c>
      <c r="F170" s="1346"/>
      <c r="G170" s="1346" t="s">
        <v>46</v>
      </c>
      <c r="H170" s="1346"/>
      <c r="I170" s="1346" t="s">
        <v>102</v>
      </c>
      <c r="J170" s="1346"/>
      <c r="K170" s="11"/>
      <c r="L170" s="11"/>
    </row>
    <row r="171" spans="1:12" ht="14.25" hidden="1" customHeight="1" x14ac:dyDescent="0.25">
      <c r="A171" s="638">
        <v>1</v>
      </c>
      <c r="B171" s="1346">
        <v>2</v>
      </c>
      <c r="C171" s="1346"/>
      <c r="D171" s="1346"/>
      <c r="E171" s="1346">
        <v>3</v>
      </c>
      <c r="F171" s="1346"/>
      <c r="G171" s="1346">
        <v>4</v>
      </c>
      <c r="H171" s="1346"/>
      <c r="I171" s="1346">
        <v>5</v>
      </c>
      <c r="J171" s="1346"/>
      <c r="K171" s="663"/>
      <c r="L171" s="664"/>
    </row>
    <row r="172" spans="1:12" ht="15" hidden="1" customHeight="1" x14ac:dyDescent="0.25">
      <c r="A172" s="639"/>
      <c r="B172" s="1387"/>
      <c r="C172" s="1444"/>
      <c r="D172" s="1388"/>
      <c r="E172" s="1387"/>
      <c r="F172" s="1388"/>
      <c r="G172" s="1387"/>
      <c r="H172" s="1388"/>
      <c r="I172" s="1387"/>
      <c r="J172" s="1388"/>
      <c r="K172" s="11"/>
      <c r="L172" s="11"/>
    </row>
    <row r="173" spans="1:12" ht="17.25" hidden="1" customHeight="1" x14ac:dyDescent="0.25">
      <c r="A173" s="635"/>
      <c r="B173" s="1338" t="s">
        <v>13</v>
      </c>
      <c r="C173" s="1338"/>
      <c r="D173" s="1338"/>
      <c r="E173" s="1341" t="s">
        <v>14</v>
      </c>
      <c r="F173" s="1341"/>
      <c r="G173" s="1341" t="s">
        <v>14</v>
      </c>
      <c r="H173" s="1341"/>
      <c r="I173" s="1341"/>
      <c r="J173" s="1341"/>
      <c r="K173" s="11"/>
      <c r="L173" s="11"/>
    </row>
    <row r="174" spans="1:12" ht="16.5" hidden="1" customHeight="1" x14ac:dyDescent="0.25">
      <c r="A174" s="1446" t="s">
        <v>91</v>
      </c>
      <c r="B174" s="1446"/>
      <c r="C174" s="1446"/>
      <c r="D174" s="1446"/>
      <c r="E174" s="1446"/>
      <c r="F174" s="1446"/>
      <c r="G174" s="1446"/>
      <c r="H174" s="1446"/>
      <c r="I174" s="1446"/>
      <c r="J174" s="1446"/>
      <c r="K174" s="11"/>
      <c r="L174" s="11"/>
    </row>
    <row r="175" spans="1:12" ht="18" hidden="1" customHeight="1" x14ac:dyDescent="0.25">
      <c r="A175" s="80" t="s">
        <v>80</v>
      </c>
      <c r="B175" s="81"/>
      <c r="C175" s="307">
        <v>244</v>
      </c>
      <c r="D175" s="307"/>
      <c r="E175" s="307"/>
      <c r="F175" s="85"/>
      <c r="G175" s="85"/>
      <c r="H175" s="85"/>
      <c r="I175" s="85"/>
      <c r="J175" s="85"/>
      <c r="K175" s="11"/>
      <c r="L175" s="11"/>
    </row>
    <row r="176" spans="1:12" ht="18" hidden="1" customHeight="1" x14ac:dyDescent="0.25">
      <c r="A176" s="80" t="s">
        <v>81</v>
      </c>
      <c r="B176" s="81"/>
      <c r="C176" s="81"/>
      <c r="D176" s="81"/>
      <c r="E176" s="86" t="s">
        <v>82</v>
      </c>
      <c r="F176" s="87"/>
      <c r="G176" s="86"/>
      <c r="H176" s="87"/>
      <c r="I176" s="87"/>
      <c r="J176" s="87"/>
      <c r="K176" s="11"/>
      <c r="L176" s="11"/>
    </row>
    <row r="177" spans="1:13" ht="18" hidden="1" customHeight="1" x14ac:dyDescent="0.25">
      <c r="A177" s="1442" t="s">
        <v>507</v>
      </c>
      <c r="B177" s="1442"/>
      <c r="C177" s="1442"/>
      <c r="D177" s="1442"/>
      <c r="E177" s="1442"/>
      <c r="F177" s="1442"/>
      <c r="G177" s="1442"/>
      <c r="H177" s="1442"/>
      <c r="I177" s="1442"/>
      <c r="J177" s="1442"/>
      <c r="K177" s="11"/>
      <c r="L177" s="11"/>
    </row>
    <row r="178" spans="1:13" ht="30" hidden="1" customHeight="1" x14ac:dyDescent="0.25">
      <c r="A178" s="638" t="s">
        <v>1</v>
      </c>
      <c r="B178" s="1346" t="s">
        <v>44</v>
      </c>
      <c r="C178" s="1346"/>
      <c r="D178" s="1346"/>
      <c r="E178" s="1346" t="s">
        <v>45</v>
      </c>
      <c r="F178" s="1346"/>
      <c r="G178" s="1346" t="s">
        <v>46</v>
      </c>
      <c r="H178" s="1346"/>
      <c r="I178" s="1346" t="s">
        <v>102</v>
      </c>
      <c r="J178" s="1346"/>
      <c r="K178" s="135"/>
      <c r="L178" s="11"/>
    </row>
    <row r="179" spans="1:13" ht="17.25" hidden="1" customHeight="1" x14ac:dyDescent="0.25">
      <c r="A179" s="638">
        <v>1</v>
      </c>
      <c r="B179" s="1346">
        <v>2</v>
      </c>
      <c r="C179" s="1346"/>
      <c r="D179" s="1346"/>
      <c r="E179" s="1346">
        <v>3</v>
      </c>
      <c r="F179" s="1346"/>
      <c r="G179" s="1346">
        <v>4</v>
      </c>
      <c r="H179" s="1346"/>
      <c r="I179" s="1346">
        <v>5</v>
      </c>
      <c r="J179" s="1346"/>
      <c r="K179" s="11"/>
      <c r="L179" s="11"/>
    </row>
    <row r="180" spans="1:13" ht="21.75" hidden="1" customHeight="1" x14ac:dyDescent="0.25">
      <c r="A180" s="639" t="s">
        <v>70</v>
      </c>
      <c r="B180" s="1402" t="s">
        <v>508</v>
      </c>
      <c r="C180" s="1403"/>
      <c r="D180" s="1404"/>
      <c r="E180" s="1387">
        <v>5000</v>
      </c>
      <c r="F180" s="1388"/>
      <c r="G180" s="1387">
        <v>1</v>
      </c>
      <c r="H180" s="1388"/>
      <c r="I180" s="1475">
        <v>0</v>
      </c>
      <c r="J180" s="1476"/>
      <c r="K180" s="11"/>
      <c r="L180" s="136"/>
    </row>
    <row r="181" spans="1:13" ht="38.25" hidden="1" customHeight="1" x14ac:dyDescent="0.25">
      <c r="A181" s="639" t="s">
        <v>75</v>
      </c>
      <c r="B181" s="1447" t="s">
        <v>487</v>
      </c>
      <c r="C181" s="1448"/>
      <c r="D181" s="1449"/>
      <c r="E181" s="1387">
        <v>1625</v>
      </c>
      <c r="F181" s="1388"/>
      <c r="G181" s="1387">
        <v>2</v>
      </c>
      <c r="H181" s="1388"/>
      <c r="I181" s="1475">
        <v>0</v>
      </c>
      <c r="J181" s="1476"/>
      <c r="K181" s="11"/>
      <c r="L181" s="136"/>
    </row>
    <row r="182" spans="1:13" ht="15" hidden="1" customHeight="1" x14ac:dyDescent="0.25">
      <c r="A182" s="237"/>
      <c r="B182" s="1509" t="s">
        <v>13</v>
      </c>
      <c r="C182" s="1509"/>
      <c r="D182" s="1509"/>
      <c r="E182" s="1510" t="s">
        <v>14</v>
      </c>
      <c r="F182" s="1510"/>
      <c r="G182" s="1510" t="s">
        <v>14</v>
      </c>
      <c r="H182" s="1510"/>
      <c r="I182" s="1511">
        <f>I180+I181</f>
        <v>0</v>
      </c>
      <c r="J182" s="1511"/>
      <c r="K182" s="11"/>
      <c r="L182" s="11"/>
      <c r="M182" s="14"/>
    </row>
    <row r="183" spans="1:13" ht="29.25" customHeight="1" x14ac:dyDescent="0.25">
      <c r="A183" s="1446" t="s">
        <v>49</v>
      </c>
      <c r="B183" s="1446"/>
      <c r="C183" s="1446"/>
      <c r="D183" s="1446"/>
      <c r="E183" s="1446"/>
      <c r="F183" s="1446"/>
      <c r="G183" s="1446"/>
      <c r="H183" s="1446"/>
      <c r="I183" s="1446"/>
      <c r="J183" s="1446"/>
      <c r="K183" s="11"/>
      <c r="L183" s="11"/>
      <c r="M183" s="14"/>
    </row>
    <row r="184" spans="1:13" ht="19.5" customHeight="1" x14ac:dyDescent="0.25">
      <c r="A184" s="80" t="s">
        <v>80</v>
      </c>
      <c r="B184" s="81"/>
      <c r="C184" s="307" t="s">
        <v>750</v>
      </c>
      <c r="D184" s="307"/>
      <c r="E184" s="307"/>
      <c r="F184" s="85"/>
      <c r="G184" s="85"/>
      <c r="H184" s="85"/>
      <c r="I184" s="85"/>
      <c r="J184" s="85"/>
      <c r="K184" s="11"/>
      <c r="L184" s="11"/>
      <c r="M184" s="14"/>
    </row>
    <row r="185" spans="1:13" ht="17.25" customHeight="1" x14ac:dyDescent="0.25">
      <c r="A185" s="80" t="s">
        <v>81</v>
      </c>
      <c r="B185" s="81"/>
      <c r="C185" s="81"/>
      <c r="D185" s="81"/>
      <c r="E185" s="86" t="s">
        <v>82</v>
      </c>
      <c r="F185" s="87"/>
      <c r="G185" s="86"/>
      <c r="H185" s="87"/>
      <c r="I185" s="87"/>
      <c r="J185" s="87"/>
      <c r="K185" s="11"/>
      <c r="L185" s="11"/>
      <c r="M185" s="14"/>
    </row>
    <row r="186" spans="1:13" ht="17.25" customHeight="1" x14ac:dyDescent="0.25">
      <c r="A186" s="1446" t="s">
        <v>294</v>
      </c>
      <c r="B186" s="1446"/>
      <c r="C186" s="1446"/>
      <c r="D186" s="1446"/>
      <c r="E186" s="1446"/>
      <c r="F186" s="1446"/>
      <c r="G186" s="1446"/>
      <c r="H186" s="1446"/>
      <c r="I186" s="1446"/>
      <c r="J186" s="1446"/>
      <c r="K186" s="11"/>
      <c r="L186" s="11"/>
      <c r="M186" s="14"/>
    </row>
    <row r="187" spans="1:13" ht="39.75" customHeight="1" x14ac:dyDescent="0.25">
      <c r="A187" s="638" t="s">
        <v>1</v>
      </c>
      <c r="B187" s="1346" t="s">
        <v>15</v>
      </c>
      <c r="C187" s="1346"/>
      <c r="D187" s="1346"/>
      <c r="E187" s="638" t="s">
        <v>50</v>
      </c>
      <c r="F187" s="638" t="s">
        <v>51</v>
      </c>
      <c r="G187" s="1346" t="s">
        <v>52</v>
      </c>
      <c r="H187" s="1346"/>
      <c r="I187" s="1346" t="s">
        <v>104</v>
      </c>
      <c r="J187" s="1346"/>
      <c r="K187" s="11"/>
      <c r="L187" s="11"/>
      <c r="M187" s="14"/>
    </row>
    <row r="188" spans="1:13" ht="15" customHeight="1" x14ac:dyDescent="0.25">
      <c r="A188" s="638">
        <v>1</v>
      </c>
      <c r="B188" s="1346">
        <v>2</v>
      </c>
      <c r="C188" s="1346"/>
      <c r="D188" s="1346"/>
      <c r="E188" s="638">
        <v>3</v>
      </c>
      <c r="F188" s="638">
        <v>4</v>
      </c>
      <c r="G188" s="1346">
        <v>5</v>
      </c>
      <c r="H188" s="1346"/>
      <c r="I188" s="1346">
        <v>6</v>
      </c>
      <c r="J188" s="1346"/>
      <c r="K188" s="11"/>
      <c r="L188" s="11"/>
      <c r="M188" s="14"/>
    </row>
    <row r="189" spans="1:13" ht="14.25" customHeight="1" x14ac:dyDescent="0.25">
      <c r="A189" s="633">
        <v>1</v>
      </c>
      <c r="B189" s="1357" t="s">
        <v>768</v>
      </c>
      <c r="C189" s="1358"/>
      <c r="D189" s="1359"/>
      <c r="E189" s="146" t="s">
        <v>74</v>
      </c>
      <c r="F189" s="146" t="s">
        <v>74</v>
      </c>
      <c r="G189" s="1469" t="s">
        <v>74</v>
      </c>
      <c r="H189" s="1469"/>
      <c r="I189" s="1470">
        <f>I190+I191+I192+I193</f>
        <v>3000</v>
      </c>
      <c r="J189" s="1470"/>
      <c r="K189" s="11"/>
      <c r="L189" s="11"/>
      <c r="M189" s="14"/>
    </row>
    <row r="190" spans="1:13" ht="15" customHeight="1" x14ac:dyDescent="0.25">
      <c r="A190" s="639" t="s">
        <v>342</v>
      </c>
      <c r="B190" s="1386" t="s">
        <v>769</v>
      </c>
      <c r="C190" s="1386"/>
      <c r="D190" s="1386"/>
      <c r="E190" s="639">
        <v>1</v>
      </c>
      <c r="F190" s="639">
        <v>1</v>
      </c>
      <c r="G190" s="1471">
        <v>0</v>
      </c>
      <c r="H190" s="1471"/>
      <c r="I190" s="1468">
        <v>3000</v>
      </c>
      <c r="J190" s="1468"/>
      <c r="K190" s="13"/>
      <c r="L190" s="13"/>
      <c r="M190" s="14"/>
    </row>
    <row r="191" spans="1:13" hidden="1" x14ac:dyDescent="0.25">
      <c r="A191" s="639" t="s">
        <v>343</v>
      </c>
      <c r="B191" s="1386" t="s">
        <v>95</v>
      </c>
      <c r="C191" s="1386"/>
      <c r="D191" s="1386"/>
      <c r="E191" s="639"/>
      <c r="F191" s="639"/>
      <c r="G191" s="1472"/>
      <c r="H191" s="1472"/>
      <c r="I191" s="1468"/>
      <c r="J191" s="1468"/>
      <c r="M191" s="14"/>
    </row>
    <row r="192" spans="1:13" hidden="1" x14ac:dyDescent="0.25">
      <c r="A192" s="639" t="s">
        <v>344</v>
      </c>
      <c r="B192" s="1386" t="s">
        <v>96</v>
      </c>
      <c r="C192" s="1386"/>
      <c r="D192" s="1386"/>
      <c r="E192" s="639"/>
      <c r="F192" s="639"/>
      <c r="G192" s="1467"/>
      <c r="H192" s="1467"/>
      <c r="I192" s="1473"/>
      <c r="J192" s="1473"/>
      <c r="M192" s="14"/>
    </row>
    <row r="193" spans="1:14" hidden="1" x14ac:dyDescent="0.25">
      <c r="A193" s="639" t="s">
        <v>264</v>
      </c>
      <c r="B193" s="1386" t="s">
        <v>199</v>
      </c>
      <c r="C193" s="1386"/>
      <c r="D193" s="1386"/>
      <c r="E193" s="639"/>
      <c r="F193" s="639"/>
      <c r="G193" s="1467"/>
      <c r="H193" s="1467"/>
      <c r="I193" s="1468"/>
      <c r="J193" s="1468"/>
      <c r="M193" s="14"/>
    </row>
    <row r="194" spans="1:14" hidden="1" x14ac:dyDescent="0.25">
      <c r="A194" s="633">
        <v>2</v>
      </c>
      <c r="B194" s="1357" t="s">
        <v>345</v>
      </c>
      <c r="C194" s="1358"/>
      <c r="D194" s="1359"/>
      <c r="E194" s="146" t="s">
        <v>74</v>
      </c>
      <c r="F194" s="146" t="s">
        <v>74</v>
      </c>
      <c r="G194" s="1469" t="s">
        <v>74</v>
      </c>
      <c r="H194" s="1469"/>
      <c r="I194" s="1470">
        <f>I195</f>
        <v>0</v>
      </c>
      <c r="J194" s="1470"/>
      <c r="M194" s="14"/>
    </row>
    <row r="195" spans="1:14" s="41" customFormat="1" ht="19.5" hidden="1" customHeight="1" x14ac:dyDescent="0.25">
      <c r="A195" s="639" t="s">
        <v>346</v>
      </c>
      <c r="B195" s="1386" t="s">
        <v>199</v>
      </c>
      <c r="C195" s="1386"/>
      <c r="D195" s="1386"/>
      <c r="E195" s="639">
        <v>1</v>
      </c>
      <c r="F195" s="639">
        <v>10</v>
      </c>
      <c r="G195" s="1467">
        <v>25000</v>
      </c>
      <c r="H195" s="1467"/>
      <c r="I195" s="1468"/>
      <c r="J195" s="1468"/>
    </row>
    <row r="196" spans="1:14" ht="16.5" customHeight="1" x14ac:dyDescent="0.25">
      <c r="A196" s="639"/>
      <c r="B196" s="1338" t="s">
        <v>772</v>
      </c>
      <c r="C196" s="1338"/>
      <c r="D196" s="1338"/>
      <c r="E196" s="635" t="s">
        <v>14</v>
      </c>
      <c r="F196" s="635" t="s">
        <v>14</v>
      </c>
      <c r="G196" s="1341" t="s">
        <v>14</v>
      </c>
      <c r="H196" s="1341"/>
      <c r="I196" s="1347">
        <f>I189+I194</f>
        <v>3000</v>
      </c>
      <c r="J196" s="1341"/>
      <c r="K196" s="124">
        <v>2400</v>
      </c>
      <c r="N196" s="126"/>
    </row>
    <row r="197" spans="1:14" ht="12" customHeight="1" x14ac:dyDescent="0.25">
      <c r="A197" s="88"/>
      <c r="B197" s="81"/>
      <c r="C197" s="81"/>
      <c r="D197" s="81"/>
      <c r="E197" s="81"/>
      <c r="F197" s="81"/>
      <c r="G197" s="81"/>
      <c r="H197" s="81"/>
      <c r="I197" s="81"/>
      <c r="J197" s="81"/>
      <c r="K197" s="14"/>
      <c r="M197" s="73"/>
    </row>
    <row r="198" spans="1:14" ht="18.75" customHeight="1" x14ac:dyDescent="0.25">
      <c r="A198" s="1446" t="s">
        <v>278</v>
      </c>
      <c r="B198" s="1446"/>
      <c r="C198" s="1446"/>
      <c r="D198" s="1446"/>
      <c r="E198" s="1446"/>
      <c r="F198" s="1446"/>
      <c r="G198" s="1446"/>
      <c r="H198" s="1446"/>
      <c r="I198" s="1446"/>
      <c r="J198" s="1446"/>
      <c r="K198" s="14"/>
      <c r="M198" s="73"/>
    </row>
    <row r="199" spans="1:14" ht="12.75" customHeight="1" x14ac:dyDescent="0.25">
      <c r="A199" s="638" t="s">
        <v>1</v>
      </c>
      <c r="B199" s="1346" t="s">
        <v>15</v>
      </c>
      <c r="C199" s="1346"/>
      <c r="D199" s="1346"/>
      <c r="E199" s="1346" t="s">
        <v>53</v>
      </c>
      <c r="F199" s="1346"/>
      <c r="G199" s="1346" t="s">
        <v>54</v>
      </c>
      <c r="H199" s="1346"/>
      <c r="I199" s="1346" t="s">
        <v>260</v>
      </c>
      <c r="J199" s="1346"/>
      <c r="K199" s="14"/>
      <c r="M199" s="73"/>
    </row>
    <row r="200" spans="1:14" ht="15" customHeight="1" x14ac:dyDescent="0.25">
      <c r="A200" s="638">
        <v>1</v>
      </c>
      <c r="B200" s="1346">
        <v>2</v>
      </c>
      <c r="C200" s="1346"/>
      <c r="D200" s="1346"/>
      <c r="E200" s="1346">
        <v>3</v>
      </c>
      <c r="F200" s="1346"/>
      <c r="G200" s="1346">
        <v>4</v>
      </c>
      <c r="H200" s="1346"/>
      <c r="I200" s="1346">
        <v>5</v>
      </c>
      <c r="J200" s="1346"/>
      <c r="K200" s="14"/>
      <c r="M200" s="73"/>
    </row>
    <row r="201" spans="1:14" ht="17.25" customHeight="1" x14ac:dyDescent="0.25">
      <c r="A201" s="639">
        <v>1</v>
      </c>
      <c r="B201" s="1463" t="s">
        <v>322</v>
      </c>
      <c r="C201" s="1464"/>
      <c r="D201" s="1465"/>
      <c r="E201" s="1445"/>
      <c r="F201" s="1445"/>
      <c r="G201" s="1466"/>
      <c r="H201" s="1466"/>
      <c r="I201" s="1466">
        <f>E201*G201</f>
        <v>0</v>
      </c>
      <c r="J201" s="1466"/>
      <c r="K201" s="14"/>
      <c r="M201" s="73"/>
    </row>
    <row r="202" spans="1:14" x14ac:dyDescent="0.25">
      <c r="A202" s="639"/>
      <c r="B202" s="1338" t="s">
        <v>13</v>
      </c>
      <c r="C202" s="1338"/>
      <c r="D202" s="1338"/>
      <c r="E202" s="1341" t="s">
        <v>74</v>
      </c>
      <c r="F202" s="1341"/>
      <c r="G202" s="1341" t="s">
        <v>74</v>
      </c>
      <c r="H202" s="1341"/>
      <c r="I202" s="1385">
        <f>I201</f>
        <v>0</v>
      </c>
      <c r="J202" s="1341"/>
    </row>
    <row r="203" spans="1:14" ht="24" customHeight="1" x14ac:dyDescent="0.25">
      <c r="A203" s="1446" t="s">
        <v>274</v>
      </c>
      <c r="B203" s="1446"/>
      <c r="C203" s="1446"/>
      <c r="D203" s="1446"/>
      <c r="E203" s="1446"/>
      <c r="F203" s="1446"/>
      <c r="G203" s="1446"/>
      <c r="H203" s="1446"/>
      <c r="I203" s="1446"/>
      <c r="J203" s="1446"/>
    </row>
    <row r="204" spans="1:14" s="41" customFormat="1" ht="25.5" customHeight="1" x14ac:dyDescent="0.2">
      <c r="A204" s="638" t="s">
        <v>1</v>
      </c>
      <c r="B204" s="1346" t="s">
        <v>44</v>
      </c>
      <c r="C204" s="1346"/>
      <c r="D204" s="1346"/>
      <c r="E204" s="638" t="s">
        <v>55</v>
      </c>
      <c r="F204" s="1346" t="s">
        <v>56</v>
      </c>
      <c r="G204" s="1346"/>
      <c r="H204" s="638" t="s">
        <v>57</v>
      </c>
      <c r="I204" s="1346" t="s">
        <v>104</v>
      </c>
      <c r="J204" s="1346"/>
    </row>
    <row r="205" spans="1:14" s="41" customFormat="1" ht="12.75" x14ac:dyDescent="0.2">
      <c r="A205" s="638">
        <v>1</v>
      </c>
      <c r="B205" s="1346">
        <v>2</v>
      </c>
      <c r="C205" s="1346"/>
      <c r="D205" s="1346"/>
      <c r="E205" s="638">
        <v>3</v>
      </c>
      <c r="F205" s="1346">
        <v>4</v>
      </c>
      <c r="G205" s="1346"/>
      <c r="H205" s="638">
        <v>5</v>
      </c>
      <c r="I205" s="1346">
        <v>6</v>
      </c>
      <c r="J205" s="1346"/>
    </row>
    <row r="206" spans="1:14" ht="15" hidden="1" customHeight="1" x14ac:dyDescent="0.25">
      <c r="A206" s="633">
        <v>1</v>
      </c>
      <c r="B206" s="1357" t="s">
        <v>151</v>
      </c>
      <c r="C206" s="1358"/>
      <c r="D206" s="1359"/>
      <c r="E206" s="90">
        <f>E207+E208</f>
        <v>0</v>
      </c>
      <c r="F206" s="1460"/>
      <c r="G206" s="1461"/>
      <c r="H206" s="91">
        <f>F208/F207-100%</f>
        <v>3.5000412984224072E-2</v>
      </c>
      <c r="I206" s="1462">
        <f>I207+I208</f>
        <v>0</v>
      </c>
      <c r="J206" s="1462"/>
      <c r="K206" s="14"/>
    </row>
    <row r="207" spans="1:14" ht="15" hidden="1" customHeight="1" x14ac:dyDescent="0.25">
      <c r="A207" s="639"/>
      <c r="B207" s="1445" t="s">
        <v>100</v>
      </c>
      <c r="C207" s="1445"/>
      <c r="D207" s="1445"/>
      <c r="E207" s="643"/>
      <c r="F207" s="1373">
        <v>1937.12</v>
      </c>
      <c r="G207" s="1374"/>
      <c r="H207" s="639"/>
      <c r="I207" s="1459">
        <f>E207*F207</f>
        <v>0</v>
      </c>
      <c r="J207" s="1459"/>
      <c r="K207" s="14"/>
    </row>
    <row r="208" spans="1:14" ht="15" hidden="1" customHeight="1" x14ac:dyDescent="0.25">
      <c r="A208" s="639"/>
      <c r="B208" s="1445" t="s">
        <v>101</v>
      </c>
      <c r="C208" s="1445"/>
      <c r="D208" s="1445"/>
      <c r="E208" s="643"/>
      <c r="F208" s="1373">
        <v>2004.92</v>
      </c>
      <c r="G208" s="1374"/>
      <c r="H208" s="639"/>
      <c r="I208" s="1459">
        <f>E208*F208</f>
        <v>0</v>
      </c>
      <c r="J208" s="1459"/>
      <c r="K208" s="14"/>
    </row>
    <row r="209" spans="1:13" ht="34.5" hidden="1" customHeight="1" x14ac:dyDescent="0.25">
      <c r="A209" s="633">
        <v>2</v>
      </c>
      <c r="B209" s="1357" t="s">
        <v>523</v>
      </c>
      <c r="C209" s="1358"/>
      <c r="D209" s="1359"/>
      <c r="E209" s="90">
        <f>E210+E211</f>
        <v>0</v>
      </c>
      <c r="F209" s="1460"/>
      <c r="G209" s="1461"/>
      <c r="H209" s="91">
        <f>F211/F210-100%</f>
        <v>3.5040944581984368E-2</v>
      </c>
      <c r="I209" s="1462">
        <f>I210+I211</f>
        <v>0</v>
      </c>
      <c r="J209" s="1462"/>
      <c r="K209" s="14"/>
    </row>
    <row r="210" spans="1:13" ht="15" hidden="1" customHeight="1" x14ac:dyDescent="0.25">
      <c r="A210" s="639"/>
      <c r="B210" s="1445" t="s">
        <v>100</v>
      </c>
      <c r="C210" s="1445"/>
      <c r="D210" s="1445"/>
      <c r="E210" s="643"/>
      <c r="F210" s="1373">
        <v>52.51</v>
      </c>
      <c r="G210" s="1374"/>
      <c r="H210" s="639"/>
      <c r="I210" s="1459">
        <f>E210*F210</f>
        <v>0</v>
      </c>
      <c r="J210" s="1459"/>
      <c r="K210" s="14"/>
    </row>
    <row r="211" spans="1:13" ht="15" hidden="1" customHeight="1" x14ac:dyDescent="0.25">
      <c r="A211" s="639"/>
      <c r="B211" s="1445" t="s">
        <v>101</v>
      </c>
      <c r="C211" s="1445"/>
      <c r="D211" s="1445"/>
      <c r="E211" s="643"/>
      <c r="F211" s="1373">
        <v>54.35</v>
      </c>
      <c r="G211" s="1374"/>
      <c r="H211" s="639"/>
      <c r="I211" s="1459">
        <f>E211*F211</f>
        <v>0</v>
      </c>
      <c r="J211" s="1459"/>
      <c r="K211" s="99"/>
    </row>
    <row r="212" spans="1:13" ht="15" hidden="1" customHeight="1" x14ac:dyDescent="0.25">
      <c r="A212" s="633">
        <v>3</v>
      </c>
      <c r="B212" s="1357" t="s">
        <v>524</v>
      </c>
      <c r="C212" s="1358"/>
      <c r="D212" s="1359"/>
      <c r="E212" s="90">
        <f>E213+E214</f>
        <v>0</v>
      </c>
      <c r="F212" s="1460"/>
      <c r="G212" s="1461"/>
      <c r="H212" s="91">
        <f>F214/F213-100%</f>
        <v>3.5000412984224072E-2</v>
      </c>
      <c r="I212" s="1626">
        <f>I213+I214</f>
        <v>0</v>
      </c>
      <c r="J212" s="1627"/>
      <c r="K212" s="99"/>
    </row>
    <row r="213" spans="1:13" ht="15" hidden="1" customHeight="1" x14ac:dyDescent="0.25">
      <c r="A213" s="639"/>
      <c r="B213" s="1445" t="s">
        <v>100</v>
      </c>
      <c r="C213" s="1445"/>
      <c r="D213" s="1445"/>
      <c r="E213" s="643"/>
      <c r="F213" s="1373">
        <v>1937.12</v>
      </c>
      <c r="G213" s="1374"/>
      <c r="H213" s="639"/>
      <c r="I213" s="1459">
        <f>E213*F213</f>
        <v>0</v>
      </c>
      <c r="J213" s="1459"/>
      <c r="K213" s="99"/>
    </row>
    <row r="214" spans="1:13" ht="15" hidden="1" customHeight="1" x14ac:dyDescent="0.25">
      <c r="A214" s="639"/>
      <c r="B214" s="1445" t="s">
        <v>101</v>
      </c>
      <c r="C214" s="1445"/>
      <c r="D214" s="1445"/>
      <c r="E214" s="643"/>
      <c r="F214" s="1373">
        <v>2004.92</v>
      </c>
      <c r="G214" s="1374"/>
      <c r="H214" s="639"/>
      <c r="I214" s="1459">
        <f>E214*F214</f>
        <v>0</v>
      </c>
      <c r="J214" s="1459"/>
      <c r="K214" s="99"/>
    </row>
    <row r="215" spans="1:13" ht="15" customHeight="1" x14ac:dyDescent="0.25">
      <c r="A215" s="633">
        <v>1</v>
      </c>
      <c r="B215" s="1357" t="s">
        <v>153</v>
      </c>
      <c r="C215" s="1358"/>
      <c r="D215" s="1359"/>
      <c r="E215" s="90">
        <f>E216+E217</f>
        <v>54</v>
      </c>
      <c r="F215" s="1460"/>
      <c r="G215" s="1461"/>
      <c r="H215" s="91">
        <f>F217/F216-100%</f>
        <v>-1</v>
      </c>
      <c r="I215" s="1462">
        <f>I216+I217</f>
        <v>3700</v>
      </c>
      <c r="J215" s="1462"/>
      <c r="K215" s="14">
        <v>883.3</v>
      </c>
    </row>
    <row r="216" spans="1:13" ht="15" customHeight="1" x14ac:dyDescent="0.25">
      <c r="A216" s="639"/>
      <c r="B216" s="1445" t="s">
        <v>100</v>
      </c>
      <c r="C216" s="1445"/>
      <c r="D216" s="1445"/>
      <c r="E216" s="643">
        <v>54</v>
      </c>
      <c r="F216" s="1044">
        <v>68.78</v>
      </c>
      <c r="G216" s="1045"/>
      <c r="H216" s="639"/>
      <c r="I216" s="1459">
        <f>E216*F216-14.12</f>
        <v>3700</v>
      </c>
      <c r="J216" s="1459"/>
      <c r="K216" s="14"/>
    </row>
    <row r="217" spans="1:13" ht="15" customHeight="1" x14ac:dyDescent="0.25">
      <c r="A217" s="639"/>
      <c r="B217" s="1445" t="s">
        <v>101</v>
      </c>
      <c r="C217" s="1445"/>
      <c r="D217" s="1445"/>
      <c r="E217" s="643">
        <v>0</v>
      </c>
      <c r="F217" s="1044"/>
      <c r="G217" s="1045"/>
      <c r="H217" s="639"/>
      <c r="I217" s="1459">
        <f>E217*F217</f>
        <v>0</v>
      </c>
      <c r="J217" s="1459"/>
      <c r="K217" s="14"/>
    </row>
    <row r="218" spans="1:13" ht="15" customHeight="1" x14ac:dyDescent="0.25">
      <c r="A218" s="633">
        <v>2</v>
      </c>
      <c r="B218" s="1357" t="s">
        <v>154</v>
      </c>
      <c r="C218" s="1358"/>
      <c r="D218" s="1359"/>
      <c r="E218" s="90">
        <f>E219+E220</f>
        <v>51</v>
      </c>
      <c r="F218" s="1460"/>
      <c r="G218" s="1461"/>
      <c r="H218" s="91">
        <f>F220/F219-100%</f>
        <v>-1</v>
      </c>
      <c r="I218" s="1462">
        <f>I219+I220</f>
        <v>4200</v>
      </c>
      <c r="J218" s="1462"/>
      <c r="K218" s="166">
        <f>I218+I215</f>
        <v>7900</v>
      </c>
    </row>
    <row r="219" spans="1:13" ht="15" customHeight="1" x14ac:dyDescent="0.35">
      <c r="A219" s="639"/>
      <c r="B219" s="1445" t="s">
        <v>100</v>
      </c>
      <c r="C219" s="1445"/>
      <c r="D219" s="1445"/>
      <c r="E219" s="643">
        <v>51</v>
      </c>
      <c r="F219" s="1044">
        <v>82.06</v>
      </c>
      <c r="G219" s="1045"/>
      <c r="H219" s="639"/>
      <c r="I219" s="1459">
        <f>E219*F219+14.94</f>
        <v>4200</v>
      </c>
      <c r="J219" s="1459"/>
      <c r="K219" s="137"/>
    </row>
    <row r="220" spans="1:13" ht="15" customHeight="1" x14ac:dyDescent="0.25">
      <c r="A220" s="639"/>
      <c r="B220" s="1445" t="s">
        <v>101</v>
      </c>
      <c r="C220" s="1445"/>
      <c r="D220" s="1445"/>
      <c r="E220" s="643">
        <v>0</v>
      </c>
      <c r="F220" s="1044"/>
      <c r="G220" s="1045"/>
      <c r="H220" s="639"/>
      <c r="I220" s="1459">
        <f>E220*F220</f>
        <v>0</v>
      </c>
      <c r="J220" s="1459"/>
      <c r="K220" s="15">
        <v>0</v>
      </c>
    </row>
    <row r="221" spans="1:13" ht="15" customHeight="1" x14ac:dyDescent="0.25">
      <c r="A221" s="633">
        <v>3</v>
      </c>
      <c r="B221" s="1357" t="s">
        <v>155</v>
      </c>
      <c r="C221" s="1358"/>
      <c r="D221" s="1359"/>
      <c r="E221" s="657">
        <f>E222+E223</f>
        <v>500</v>
      </c>
      <c r="F221" s="1460"/>
      <c r="G221" s="1461"/>
      <c r="H221" s="91">
        <f>F223/F222-100%</f>
        <v>-1</v>
      </c>
      <c r="I221" s="1462">
        <f>I222+I223</f>
        <v>4700</v>
      </c>
      <c r="J221" s="1462"/>
      <c r="K221" s="14">
        <v>3100</v>
      </c>
      <c r="L221" s="1">
        <v>11717.12</v>
      </c>
      <c r="M221" s="1">
        <f>K221+L221</f>
        <v>14817.12</v>
      </c>
    </row>
    <row r="222" spans="1:13" ht="15" customHeight="1" x14ac:dyDescent="0.25">
      <c r="A222" s="639"/>
      <c r="B222" s="1445" t="s">
        <v>100</v>
      </c>
      <c r="C222" s="1445"/>
      <c r="D222" s="1445"/>
      <c r="E222" s="647">
        <v>500</v>
      </c>
      <c r="F222" s="1044">
        <v>9.4</v>
      </c>
      <c r="G222" s="1045"/>
      <c r="H222" s="639"/>
      <c r="I222" s="1459">
        <f>E222*F222</f>
        <v>4700</v>
      </c>
      <c r="J222" s="1459"/>
      <c r="K222" s="14"/>
    </row>
    <row r="223" spans="1:13" ht="15" customHeight="1" x14ac:dyDescent="0.25">
      <c r="A223" s="639"/>
      <c r="B223" s="1445" t="s">
        <v>101</v>
      </c>
      <c r="C223" s="1445"/>
      <c r="D223" s="1445"/>
      <c r="E223" s="647"/>
      <c r="F223" s="1044"/>
      <c r="G223" s="1045"/>
      <c r="H223" s="639"/>
      <c r="I223" s="1459">
        <f>E223*F223</f>
        <v>0</v>
      </c>
      <c r="J223" s="1459"/>
    </row>
    <row r="224" spans="1:13" ht="15" hidden="1" customHeight="1" x14ac:dyDescent="0.25">
      <c r="A224" s="633">
        <v>7</v>
      </c>
      <c r="B224" s="1357" t="s">
        <v>371</v>
      </c>
      <c r="C224" s="1358"/>
      <c r="D224" s="1359"/>
      <c r="E224" s="657">
        <f>E225+E226</f>
        <v>0</v>
      </c>
      <c r="F224" s="1460"/>
      <c r="G224" s="1461"/>
      <c r="H224" s="91">
        <v>0</v>
      </c>
      <c r="I224" s="1462">
        <f>I225+I226</f>
        <v>0</v>
      </c>
      <c r="J224" s="1462"/>
      <c r="K224" s="126"/>
    </row>
    <row r="225" spans="1:12" ht="15" hidden="1" customHeight="1" x14ac:dyDescent="0.25">
      <c r="A225" s="639"/>
      <c r="B225" s="1445" t="s">
        <v>100</v>
      </c>
      <c r="C225" s="1445"/>
      <c r="D225" s="1445"/>
      <c r="E225" s="647"/>
      <c r="F225" s="1373">
        <v>747.07</v>
      </c>
      <c r="G225" s="1374"/>
      <c r="H225" s="639"/>
      <c r="I225" s="1459">
        <f>E225*F225</f>
        <v>0</v>
      </c>
      <c r="J225" s="1459"/>
    </row>
    <row r="226" spans="1:12" ht="15" hidden="1" customHeight="1" x14ac:dyDescent="0.25">
      <c r="A226" s="639"/>
      <c r="B226" s="1445" t="s">
        <v>101</v>
      </c>
      <c r="C226" s="1445"/>
      <c r="D226" s="1445"/>
      <c r="E226" s="647"/>
      <c r="F226" s="1373">
        <v>747.07</v>
      </c>
      <c r="G226" s="1374"/>
      <c r="H226" s="639"/>
      <c r="I226" s="1459">
        <f>E226*F226</f>
        <v>0</v>
      </c>
      <c r="J226" s="1459"/>
    </row>
    <row r="227" spans="1:12" ht="15" customHeight="1" x14ac:dyDescent="0.25">
      <c r="A227" s="639"/>
      <c r="B227" s="1338" t="s">
        <v>13</v>
      </c>
      <c r="C227" s="1338"/>
      <c r="D227" s="1338"/>
      <c r="E227" s="635" t="s">
        <v>14</v>
      </c>
      <c r="F227" s="1341" t="s">
        <v>14</v>
      </c>
      <c r="G227" s="1341"/>
      <c r="H227" s="635" t="s">
        <v>14</v>
      </c>
      <c r="I227" s="1347">
        <f>I206+I209+I212+I215+I218+I221+I224</f>
        <v>12600</v>
      </c>
      <c r="J227" s="1347"/>
      <c r="K227" s="1">
        <v>6514</v>
      </c>
    </row>
    <row r="228" spans="1:12" s="41" customFormat="1" ht="19.5" hidden="1" customHeight="1" x14ac:dyDescent="0.25">
      <c r="A228" s="1446" t="s">
        <v>279</v>
      </c>
      <c r="B228" s="1446"/>
      <c r="C228" s="1446"/>
      <c r="D228" s="1446"/>
      <c r="E228" s="1446"/>
      <c r="F228" s="1446"/>
      <c r="G228" s="1446"/>
      <c r="H228" s="1446"/>
      <c r="I228" s="1446"/>
      <c r="J228" s="1446"/>
    </row>
    <row r="229" spans="1:12" s="41" customFormat="1" ht="15" hidden="1" customHeight="1" x14ac:dyDescent="0.2">
      <c r="A229" s="638" t="s">
        <v>1</v>
      </c>
      <c r="B229" s="1346" t="s">
        <v>44</v>
      </c>
      <c r="C229" s="1346"/>
      <c r="D229" s="1346"/>
      <c r="E229" s="1346" t="s">
        <v>58</v>
      </c>
      <c r="F229" s="1346"/>
      <c r="G229" s="1346" t="s">
        <v>59</v>
      </c>
      <c r="H229" s="1346"/>
      <c r="I229" s="1346" t="s">
        <v>60</v>
      </c>
      <c r="J229" s="1346"/>
    </row>
    <row r="230" spans="1:12" ht="15" hidden="1" customHeight="1" x14ac:dyDescent="0.25">
      <c r="A230" s="638">
        <v>1</v>
      </c>
      <c r="B230" s="1346">
        <v>2</v>
      </c>
      <c r="C230" s="1346"/>
      <c r="D230" s="1346"/>
      <c r="E230" s="1346">
        <v>3</v>
      </c>
      <c r="F230" s="1346"/>
      <c r="G230" s="1346">
        <v>4</v>
      </c>
      <c r="H230" s="1346"/>
      <c r="I230" s="1346">
        <v>5</v>
      </c>
      <c r="J230" s="1346"/>
      <c r="K230" s="15"/>
    </row>
    <row r="231" spans="1:12" ht="15" hidden="1" customHeight="1" x14ac:dyDescent="0.25">
      <c r="A231" s="639"/>
      <c r="B231" s="1387"/>
      <c r="C231" s="1444"/>
      <c r="D231" s="1388"/>
      <c r="E231" s="1445"/>
      <c r="F231" s="1445"/>
      <c r="G231" s="1445"/>
      <c r="H231" s="1445"/>
      <c r="I231" s="1445"/>
      <c r="J231" s="1445"/>
      <c r="K231" s="14"/>
    </row>
    <row r="232" spans="1:12" ht="15" hidden="1" customHeight="1" x14ac:dyDescent="0.25">
      <c r="A232" s="635"/>
      <c r="B232" s="1338" t="s">
        <v>13</v>
      </c>
      <c r="C232" s="1338"/>
      <c r="D232" s="1338"/>
      <c r="E232" s="1341" t="s">
        <v>14</v>
      </c>
      <c r="F232" s="1341"/>
      <c r="G232" s="1341" t="s">
        <v>14</v>
      </c>
      <c r="H232" s="1341"/>
      <c r="I232" s="1341"/>
      <c r="J232" s="1341"/>
    </row>
    <row r="233" spans="1:12" ht="16.5" customHeight="1" x14ac:dyDescent="0.25">
      <c r="A233" s="1446" t="s">
        <v>275</v>
      </c>
      <c r="B233" s="1446"/>
      <c r="C233" s="1446"/>
      <c r="D233" s="1446"/>
      <c r="E233" s="1446"/>
      <c r="F233" s="1446"/>
      <c r="G233" s="1446"/>
      <c r="H233" s="1446"/>
      <c r="I233" s="1446"/>
      <c r="J233" s="1446"/>
    </row>
    <row r="234" spans="1:12" ht="15" customHeight="1" x14ac:dyDescent="0.25">
      <c r="A234" s="1414" t="s">
        <v>1</v>
      </c>
      <c r="B234" s="1416" t="s">
        <v>15</v>
      </c>
      <c r="C234" s="1417"/>
      <c r="D234" s="1418"/>
      <c r="E234" s="1414" t="s">
        <v>61</v>
      </c>
      <c r="F234" s="1414" t="s">
        <v>62</v>
      </c>
      <c r="G234" s="1346" t="s">
        <v>63</v>
      </c>
      <c r="H234" s="1346"/>
      <c r="I234" s="1346"/>
      <c r="J234" s="1346"/>
    </row>
    <row r="235" spans="1:12" ht="24" customHeight="1" x14ac:dyDescent="0.25">
      <c r="A235" s="1415"/>
      <c r="B235" s="1419"/>
      <c r="C235" s="1420"/>
      <c r="D235" s="1421"/>
      <c r="E235" s="1415"/>
      <c r="F235" s="1415"/>
      <c r="G235" s="638" t="s">
        <v>298</v>
      </c>
      <c r="H235" s="638" t="s">
        <v>295</v>
      </c>
      <c r="I235" s="634" t="s">
        <v>296</v>
      </c>
      <c r="J235" s="638" t="s">
        <v>297</v>
      </c>
    </row>
    <row r="236" spans="1:12" ht="11.25" customHeight="1" x14ac:dyDescent="0.25">
      <c r="A236" s="638">
        <v>1</v>
      </c>
      <c r="B236" s="1346">
        <v>2</v>
      </c>
      <c r="C236" s="1346"/>
      <c r="D236" s="1346"/>
      <c r="E236" s="638">
        <v>3</v>
      </c>
      <c r="F236" s="638">
        <v>4</v>
      </c>
      <c r="G236" s="1344">
        <v>5</v>
      </c>
      <c r="H236" s="1392"/>
      <c r="I236" s="1392"/>
      <c r="J236" s="1345"/>
    </row>
    <row r="237" spans="1:12" ht="41.25" customHeight="1" x14ac:dyDescent="0.25">
      <c r="A237" s="639">
        <v>1</v>
      </c>
      <c r="B237" s="1040" t="s">
        <v>612</v>
      </c>
      <c r="C237" s="1040"/>
      <c r="D237" s="1040"/>
      <c r="E237" s="639" t="s">
        <v>535</v>
      </c>
      <c r="F237" s="639"/>
      <c r="G237" s="639"/>
      <c r="H237" s="639"/>
      <c r="I237" s="163"/>
      <c r="J237" s="604">
        <v>43900</v>
      </c>
    </row>
    <row r="238" spans="1:12" ht="18.75" customHeight="1" x14ac:dyDescent="0.25">
      <c r="A238" s="639">
        <v>2</v>
      </c>
      <c r="B238" s="1040" t="s">
        <v>662</v>
      </c>
      <c r="C238" s="1040"/>
      <c r="D238" s="1040"/>
      <c r="E238" s="639" t="s">
        <v>535</v>
      </c>
      <c r="F238" s="639">
        <v>1</v>
      </c>
      <c r="G238" s="639" t="s">
        <v>299</v>
      </c>
      <c r="H238" s="639">
        <v>1</v>
      </c>
      <c r="I238" s="163">
        <v>12000</v>
      </c>
      <c r="J238" s="604">
        <v>12000</v>
      </c>
    </row>
    <row r="239" spans="1:12" ht="0.75" hidden="1" customHeight="1" x14ac:dyDescent="0.25">
      <c r="A239" s="639">
        <v>3</v>
      </c>
      <c r="B239" s="1040" t="s">
        <v>660</v>
      </c>
      <c r="C239" s="1040"/>
      <c r="D239" s="1040"/>
      <c r="E239" s="607" t="s">
        <v>677</v>
      </c>
      <c r="F239" s="607">
        <v>1</v>
      </c>
      <c r="G239" s="607" t="s">
        <v>661</v>
      </c>
      <c r="H239" s="607">
        <v>1</v>
      </c>
      <c r="I239" s="163">
        <v>0</v>
      </c>
      <c r="J239" s="605">
        <v>0</v>
      </c>
      <c r="K239" s="157"/>
      <c r="L239" s="133"/>
    </row>
    <row r="240" spans="1:12" ht="24.75" customHeight="1" x14ac:dyDescent="0.25">
      <c r="A240" s="639">
        <v>3</v>
      </c>
      <c r="B240" s="1040" t="s">
        <v>731</v>
      </c>
      <c r="C240" s="1040"/>
      <c r="D240" s="1040"/>
      <c r="E240" s="607" t="s">
        <v>677</v>
      </c>
      <c r="F240" s="607">
        <v>1</v>
      </c>
      <c r="G240" s="607" t="s">
        <v>661</v>
      </c>
      <c r="H240" s="607">
        <v>1</v>
      </c>
      <c r="I240" s="163">
        <v>5000</v>
      </c>
      <c r="J240" s="604">
        <f>I240</f>
        <v>5000</v>
      </c>
      <c r="K240" s="157"/>
      <c r="L240" s="133"/>
    </row>
    <row r="241" spans="1:12" ht="17.25" hidden="1" customHeight="1" x14ac:dyDescent="0.25">
      <c r="A241" s="1621"/>
      <c r="B241" s="1057"/>
      <c r="C241" s="1058"/>
      <c r="D241" s="1059"/>
      <c r="E241" s="639"/>
      <c r="F241" s="200"/>
      <c r="G241" s="200"/>
      <c r="H241" s="200"/>
      <c r="I241" s="163"/>
      <c r="J241" s="604"/>
      <c r="K241" s="165"/>
    </row>
    <row r="242" spans="1:12" hidden="1" x14ac:dyDescent="0.25">
      <c r="A242" s="1622"/>
      <c r="B242" s="1623"/>
      <c r="C242" s="1624"/>
      <c r="D242" s="1625"/>
      <c r="E242" s="639"/>
      <c r="F242" s="200"/>
      <c r="G242" s="200"/>
      <c r="H242" s="200"/>
      <c r="I242" s="163"/>
      <c r="J242" s="604"/>
    </row>
    <row r="243" spans="1:12" ht="24" hidden="1" customHeight="1" x14ac:dyDescent="0.25">
      <c r="A243" s="639"/>
      <c r="B243" s="1040"/>
      <c r="C243" s="1040"/>
      <c r="D243" s="1040"/>
      <c r="E243" s="639"/>
      <c r="F243" s="639"/>
      <c r="G243" s="639"/>
      <c r="H243" s="639"/>
      <c r="I243" s="163"/>
      <c r="J243" s="604"/>
    </row>
    <row r="244" spans="1:12" ht="30" hidden="1" customHeight="1" x14ac:dyDescent="0.25">
      <c r="A244" s="639"/>
      <c r="B244" s="1450"/>
      <c r="C244" s="1450"/>
      <c r="D244" s="1450"/>
      <c r="E244" s="639"/>
      <c r="F244" s="639"/>
      <c r="G244" s="639"/>
      <c r="H244" s="639"/>
      <c r="I244" s="162"/>
      <c r="J244" s="424"/>
      <c r="K244" s="11"/>
      <c r="L244" s="11"/>
    </row>
    <row r="245" spans="1:12" ht="29.25" hidden="1" customHeight="1" x14ac:dyDescent="0.25">
      <c r="A245" s="639"/>
      <c r="B245" s="1040"/>
      <c r="C245" s="1040"/>
      <c r="D245" s="1040"/>
      <c r="E245" s="639"/>
      <c r="F245" s="639"/>
      <c r="G245" s="639"/>
      <c r="H245" s="639"/>
      <c r="I245" s="163"/>
      <c r="J245" s="604"/>
      <c r="K245" s="11"/>
      <c r="L245" s="11"/>
    </row>
    <row r="246" spans="1:12" ht="23.25" hidden="1" customHeight="1" x14ac:dyDescent="0.25">
      <c r="A246" s="639"/>
      <c r="B246" s="1040"/>
      <c r="C246" s="1040"/>
      <c r="D246" s="1040"/>
      <c r="E246" s="639"/>
      <c r="F246" s="639"/>
      <c r="G246" s="639"/>
      <c r="H246" s="639"/>
      <c r="I246" s="163"/>
      <c r="J246" s="604"/>
      <c r="K246" s="11"/>
      <c r="L246" s="11"/>
    </row>
    <row r="247" spans="1:12" ht="46.5" hidden="1" customHeight="1" x14ac:dyDescent="0.25">
      <c r="A247" s="639"/>
      <c r="B247" s="1040"/>
      <c r="C247" s="1040"/>
      <c r="D247" s="1040"/>
      <c r="E247" s="639"/>
      <c r="F247" s="639"/>
      <c r="G247" s="639"/>
      <c r="H247" s="639"/>
      <c r="I247" s="163"/>
      <c r="J247" s="604"/>
    </row>
    <row r="248" spans="1:12" ht="25.5" hidden="1" customHeight="1" x14ac:dyDescent="0.25">
      <c r="A248" s="639"/>
      <c r="B248" s="1017"/>
      <c r="C248" s="1451"/>
      <c r="D248" s="1452"/>
      <c r="E248" s="639"/>
      <c r="F248" s="639"/>
      <c r="G248" s="639"/>
      <c r="H248" s="639"/>
      <c r="I248" s="163"/>
      <c r="J248" s="604"/>
    </row>
    <row r="249" spans="1:12" ht="38.25" hidden="1" customHeight="1" x14ac:dyDescent="0.25">
      <c r="A249" s="639"/>
      <c r="B249" s="1040"/>
      <c r="C249" s="1040"/>
      <c r="D249" s="1040"/>
      <c r="E249" s="639"/>
      <c r="F249" s="639"/>
      <c r="G249" s="639"/>
      <c r="H249" s="639"/>
      <c r="I249" s="163"/>
      <c r="J249" s="604"/>
    </row>
    <row r="250" spans="1:12" ht="38.25" hidden="1" customHeight="1" x14ac:dyDescent="0.25">
      <c r="A250" s="639"/>
      <c r="B250" s="1017"/>
      <c r="C250" s="1018"/>
      <c r="D250" s="1019"/>
      <c r="E250" s="639"/>
      <c r="F250" s="639"/>
      <c r="G250" s="639"/>
      <c r="H250" s="639"/>
      <c r="I250" s="163"/>
      <c r="J250" s="604"/>
    </row>
    <row r="251" spans="1:12" ht="17.25" hidden="1" customHeight="1" x14ac:dyDescent="0.25">
      <c r="A251" s="639"/>
      <c r="B251" s="1017"/>
      <c r="C251" s="1018"/>
      <c r="D251" s="1019"/>
      <c r="E251" s="639"/>
      <c r="F251" s="639"/>
      <c r="G251" s="639"/>
      <c r="H251" s="639"/>
      <c r="I251" s="163"/>
      <c r="J251" s="604"/>
    </row>
    <row r="252" spans="1:12" ht="9.75" hidden="1" customHeight="1" x14ac:dyDescent="0.25">
      <c r="A252" s="639"/>
      <c r="B252" s="1026"/>
      <c r="C252" s="1052"/>
      <c r="D252" s="1027"/>
      <c r="E252" s="639"/>
      <c r="F252" s="639"/>
      <c r="G252" s="639"/>
      <c r="H252" s="639"/>
      <c r="I252" s="163"/>
      <c r="J252" s="604"/>
    </row>
    <row r="253" spans="1:12" ht="11.25" hidden="1" customHeight="1" x14ac:dyDescent="0.25">
      <c r="A253" s="639"/>
      <c r="B253" s="1026"/>
      <c r="C253" s="1052"/>
      <c r="D253" s="1027"/>
      <c r="E253" s="639"/>
      <c r="F253" s="639"/>
      <c r="G253" s="639"/>
      <c r="H253" s="639"/>
      <c r="I253" s="163"/>
      <c r="J253" s="604"/>
    </row>
    <row r="254" spans="1:12" x14ac:dyDescent="0.25">
      <c r="A254" s="635"/>
      <c r="B254" s="1338" t="s">
        <v>13</v>
      </c>
      <c r="C254" s="1338"/>
      <c r="D254" s="1338"/>
      <c r="E254" s="635" t="s">
        <v>14</v>
      </c>
      <c r="F254" s="635" t="s">
        <v>14</v>
      </c>
      <c r="G254" s="1396">
        <f>SUM(J237:J253)</f>
        <v>60900</v>
      </c>
      <c r="H254" s="1397"/>
      <c r="I254" s="1397"/>
      <c r="J254" s="1397"/>
    </row>
    <row r="255" spans="1:12" ht="17.25" customHeight="1" x14ac:dyDescent="0.25">
      <c r="A255" s="1446" t="s">
        <v>280</v>
      </c>
      <c r="B255" s="1446"/>
      <c r="C255" s="1446"/>
      <c r="D255" s="1446"/>
      <c r="E255" s="1446"/>
      <c r="F255" s="1446"/>
      <c r="G255" s="1446"/>
      <c r="H255" s="1446"/>
      <c r="I255" s="1446"/>
      <c r="J255" s="1446"/>
    </row>
    <row r="256" spans="1:12" ht="17.25" customHeight="1" x14ac:dyDescent="0.25">
      <c r="A256" s="1414" t="s">
        <v>1</v>
      </c>
      <c r="B256" s="1416" t="s">
        <v>15</v>
      </c>
      <c r="C256" s="1417"/>
      <c r="D256" s="1418"/>
      <c r="E256" s="1416" t="s">
        <v>64</v>
      </c>
      <c r="F256" s="1418"/>
      <c r="G256" s="1346" t="s">
        <v>65</v>
      </c>
      <c r="H256" s="1346"/>
      <c r="I256" s="1346"/>
      <c r="J256" s="1346"/>
    </row>
    <row r="257" spans="1:11" ht="27.75" customHeight="1" x14ac:dyDescent="0.25">
      <c r="A257" s="1415"/>
      <c r="B257" s="1419"/>
      <c r="C257" s="1420"/>
      <c r="D257" s="1421"/>
      <c r="E257" s="1419"/>
      <c r="F257" s="1421"/>
      <c r="G257" s="638" t="s">
        <v>298</v>
      </c>
      <c r="H257" s="638" t="s">
        <v>295</v>
      </c>
      <c r="I257" s="638" t="s">
        <v>296</v>
      </c>
      <c r="J257" s="638" t="s">
        <v>297</v>
      </c>
    </row>
    <row r="258" spans="1:11" ht="14.25" customHeight="1" x14ac:dyDescent="0.25">
      <c r="A258" s="638">
        <v>1</v>
      </c>
      <c r="B258" s="1346">
        <v>2</v>
      </c>
      <c r="C258" s="1346"/>
      <c r="D258" s="1346"/>
      <c r="E258" s="1344">
        <v>3</v>
      </c>
      <c r="F258" s="1345"/>
      <c r="G258" s="1346">
        <v>4</v>
      </c>
      <c r="H258" s="1346"/>
      <c r="I258" s="1346"/>
      <c r="J258" s="1346"/>
    </row>
    <row r="259" spans="1:11" ht="30" customHeight="1" x14ac:dyDescent="0.25">
      <c r="A259" s="633" t="s">
        <v>70</v>
      </c>
      <c r="B259" s="1357" t="s">
        <v>347</v>
      </c>
      <c r="C259" s="1358"/>
      <c r="D259" s="1359"/>
      <c r="E259" s="1349" t="s">
        <v>74</v>
      </c>
      <c r="F259" s="1350"/>
      <c r="G259" s="146" t="s">
        <v>74</v>
      </c>
      <c r="H259" s="146" t="s">
        <v>74</v>
      </c>
      <c r="I259" s="316" t="s">
        <v>74</v>
      </c>
      <c r="J259" s="319">
        <f>SUM(J260:J263)</f>
        <v>2500</v>
      </c>
    </row>
    <row r="260" spans="1:11" ht="30" customHeight="1" x14ac:dyDescent="0.25">
      <c r="A260" s="607">
        <v>1</v>
      </c>
      <c r="B260" s="1386" t="s">
        <v>770</v>
      </c>
      <c r="C260" s="1386"/>
      <c r="D260" s="1386"/>
      <c r="E260" s="608"/>
      <c r="F260" s="609">
        <v>1</v>
      </c>
      <c r="G260" s="616">
        <v>1</v>
      </c>
      <c r="H260" s="616">
        <v>1</v>
      </c>
      <c r="I260" s="223">
        <v>0</v>
      </c>
      <c r="J260" s="604">
        <v>2500</v>
      </c>
      <c r="K260" s="527">
        <v>1600</v>
      </c>
    </row>
    <row r="261" spans="1:11" ht="30" hidden="1" customHeight="1" x14ac:dyDescent="0.25">
      <c r="A261" s="639">
        <v>1</v>
      </c>
      <c r="B261" s="1040" t="s">
        <v>771</v>
      </c>
      <c r="C261" s="1040"/>
      <c r="D261" s="1040"/>
      <c r="E261" s="1387">
        <v>1</v>
      </c>
      <c r="F261" s="1388"/>
      <c r="G261" s="639">
        <v>1</v>
      </c>
      <c r="H261" s="639">
        <v>1</v>
      </c>
      <c r="I261" s="161">
        <v>0</v>
      </c>
      <c r="J261" s="423">
        <v>0</v>
      </c>
    </row>
    <row r="262" spans="1:11" s="41" customFormat="1" ht="30" hidden="1" customHeight="1" x14ac:dyDescent="0.25">
      <c r="A262" s="310">
        <v>3</v>
      </c>
      <c r="B262" s="1017" t="s">
        <v>566</v>
      </c>
      <c r="C262" s="1619"/>
      <c r="D262" s="1620"/>
      <c r="E262" s="1387">
        <v>1</v>
      </c>
      <c r="F262" s="1388"/>
      <c r="G262" s="639">
        <v>1</v>
      </c>
      <c r="H262" s="639">
        <v>1</v>
      </c>
      <c r="I262" s="161">
        <v>0</v>
      </c>
      <c r="J262" s="604">
        <f>I262</f>
        <v>0</v>
      </c>
    </row>
    <row r="263" spans="1:11" ht="30" hidden="1" customHeight="1" x14ac:dyDescent="0.25">
      <c r="A263" s="639">
        <v>4</v>
      </c>
      <c r="B263" s="1040" t="s">
        <v>575</v>
      </c>
      <c r="C263" s="1040"/>
      <c r="D263" s="1040"/>
      <c r="E263" s="1387"/>
      <c r="F263" s="1388"/>
      <c r="G263" s="639"/>
      <c r="H263" s="639"/>
      <c r="I263" s="161"/>
      <c r="J263" s="604">
        <v>0</v>
      </c>
    </row>
    <row r="264" spans="1:11" ht="24" hidden="1" customHeight="1" x14ac:dyDescent="0.25">
      <c r="A264" s="639"/>
      <c r="B264" s="1040"/>
      <c r="C264" s="1040"/>
      <c r="D264" s="1040"/>
      <c r="E264" s="1026"/>
      <c r="F264" s="1027"/>
      <c r="G264" s="607"/>
      <c r="H264" s="607"/>
      <c r="I264" s="161"/>
      <c r="J264" s="101"/>
    </row>
    <row r="265" spans="1:11" ht="22.5" hidden="1" customHeight="1" x14ac:dyDescent="0.25">
      <c r="A265" s="639"/>
      <c r="B265" s="1040"/>
      <c r="C265" s="1040"/>
      <c r="D265" s="1040"/>
      <c r="E265" s="1387"/>
      <c r="F265" s="1388"/>
      <c r="G265" s="639"/>
      <c r="H265" s="639"/>
      <c r="I265" s="161"/>
      <c r="J265" s="101"/>
    </row>
    <row r="266" spans="1:11" ht="30" hidden="1" customHeight="1" x14ac:dyDescent="0.25">
      <c r="A266" s="639"/>
      <c r="B266" s="1040"/>
      <c r="C266" s="1040"/>
      <c r="D266" s="1040"/>
      <c r="E266" s="1387"/>
      <c r="F266" s="1388"/>
      <c r="G266" s="639"/>
      <c r="H266" s="639"/>
      <c r="I266" s="161"/>
      <c r="J266" s="101"/>
    </row>
    <row r="267" spans="1:11" ht="30" hidden="1" customHeight="1" x14ac:dyDescent="0.25">
      <c r="A267" s="639"/>
      <c r="B267" s="1040"/>
      <c r="C267" s="1040"/>
      <c r="D267" s="1040"/>
      <c r="E267" s="1026"/>
      <c r="F267" s="1027"/>
      <c r="G267" s="607"/>
      <c r="H267" s="607"/>
      <c r="I267" s="161"/>
      <c r="J267" s="101"/>
      <c r="K267" s="164"/>
    </row>
    <row r="268" spans="1:11" ht="51.75" hidden="1" customHeight="1" x14ac:dyDescent="0.25">
      <c r="A268" s="639"/>
      <c r="B268" s="1040"/>
      <c r="C268" s="1040"/>
      <c r="D268" s="1040"/>
      <c r="E268" s="1387"/>
      <c r="F268" s="1388"/>
      <c r="G268" s="639"/>
      <c r="H268" s="639"/>
      <c r="I268" s="161"/>
      <c r="J268" s="101"/>
    </row>
    <row r="269" spans="1:11" ht="30" hidden="1" customHeight="1" x14ac:dyDescent="0.25">
      <c r="A269" s="639"/>
      <c r="B269" s="1040"/>
      <c r="C269" s="1040"/>
      <c r="D269" s="1040"/>
      <c r="E269" s="1387"/>
      <c r="F269" s="1388"/>
      <c r="G269" s="639"/>
      <c r="H269" s="639"/>
      <c r="I269" s="161"/>
      <c r="J269" s="101"/>
    </row>
    <row r="270" spans="1:11" ht="43.5" hidden="1" customHeight="1" x14ac:dyDescent="0.25">
      <c r="A270" s="639"/>
      <c r="B270" s="1386"/>
      <c r="C270" s="1386"/>
      <c r="D270" s="1386"/>
      <c r="E270" s="1387"/>
      <c r="F270" s="1388"/>
      <c r="G270" s="639"/>
      <c r="H270" s="639"/>
      <c r="I270" s="161"/>
      <c r="J270" s="101"/>
    </row>
    <row r="271" spans="1:11" ht="48" hidden="1" customHeight="1" x14ac:dyDescent="0.25">
      <c r="A271" s="639"/>
      <c r="B271" s="1386"/>
      <c r="C271" s="1386"/>
      <c r="D271" s="1386"/>
      <c r="E271" s="1387"/>
      <c r="F271" s="1388"/>
      <c r="G271" s="639"/>
      <c r="H271" s="639"/>
      <c r="I271" s="161"/>
      <c r="J271" s="101"/>
    </row>
    <row r="272" spans="1:11" ht="30" hidden="1" customHeight="1" x14ac:dyDescent="0.25">
      <c r="A272" s="639"/>
      <c r="B272" s="1386"/>
      <c r="C272" s="1386"/>
      <c r="D272" s="1386"/>
      <c r="E272" s="1387"/>
      <c r="F272" s="1388"/>
      <c r="G272" s="639"/>
      <c r="H272" s="643"/>
      <c r="I272" s="161"/>
      <c r="J272" s="101"/>
    </row>
    <row r="273" spans="1:11" ht="30" hidden="1" customHeight="1" x14ac:dyDescent="0.25">
      <c r="A273" s="639"/>
      <c r="B273" s="1040"/>
      <c r="C273" s="1040"/>
      <c r="D273" s="1040"/>
      <c r="E273" s="1387"/>
      <c r="F273" s="1388"/>
      <c r="G273" s="639"/>
      <c r="H273" s="639"/>
      <c r="I273" s="161"/>
      <c r="J273" s="101"/>
    </row>
    <row r="274" spans="1:11" ht="30" hidden="1" customHeight="1" x14ac:dyDescent="0.25">
      <c r="A274" s="639"/>
      <c r="B274" s="596"/>
      <c r="C274" s="597"/>
      <c r="D274" s="598"/>
      <c r="E274" s="621"/>
      <c r="F274" s="622"/>
      <c r="G274" s="639"/>
      <c r="H274" s="639"/>
      <c r="I274" s="161"/>
      <c r="J274" s="101"/>
    </row>
    <row r="275" spans="1:11" ht="30" hidden="1" customHeight="1" x14ac:dyDescent="0.25">
      <c r="A275" s="633" t="s">
        <v>75</v>
      </c>
      <c r="B275" s="1357" t="s">
        <v>347</v>
      </c>
      <c r="C275" s="1358"/>
      <c r="D275" s="1359"/>
      <c r="E275" s="1349" t="s">
        <v>74</v>
      </c>
      <c r="F275" s="1350"/>
      <c r="G275" s="146" t="s">
        <v>74</v>
      </c>
      <c r="H275" s="146" t="s">
        <v>74</v>
      </c>
      <c r="I275" s="316" t="s">
        <v>74</v>
      </c>
      <c r="J275" s="319">
        <f>J276</f>
        <v>0</v>
      </c>
    </row>
    <row r="276" spans="1:11" ht="30" hidden="1" customHeight="1" x14ac:dyDescent="0.25">
      <c r="A276" s="639"/>
      <c r="B276" s="1386"/>
      <c r="C276" s="1386"/>
      <c r="D276" s="1386"/>
      <c r="E276" s="1387"/>
      <c r="F276" s="1388"/>
      <c r="G276" s="639"/>
      <c r="H276" s="639"/>
      <c r="I276" s="92"/>
      <c r="J276" s="101"/>
    </row>
    <row r="277" spans="1:11" ht="30" hidden="1" customHeight="1" x14ac:dyDescent="0.25">
      <c r="A277" s="633" t="s">
        <v>77</v>
      </c>
      <c r="B277" s="1357" t="s">
        <v>469</v>
      </c>
      <c r="C277" s="1358"/>
      <c r="D277" s="1359"/>
      <c r="E277" s="1349" t="s">
        <v>74</v>
      </c>
      <c r="F277" s="1350"/>
      <c r="G277" s="146" t="s">
        <v>74</v>
      </c>
      <c r="H277" s="146" t="s">
        <v>74</v>
      </c>
      <c r="I277" s="316" t="s">
        <v>74</v>
      </c>
      <c r="J277" s="319">
        <f>J278</f>
        <v>0</v>
      </c>
    </row>
    <row r="278" spans="1:11" ht="30" hidden="1" customHeight="1" x14ac:dyDescent="0.25">
      <c r="A278" s="639"/>
      <c r="B278" s="1386"/>
      <c r="C278" s="1386"/>
      <c r="D278" s="1386"/>
      <c r="E278" s="1387"/>
      <c r="F278" s="1388"/>
      <c r="G278" s="639"/>
      <c r="H278" s="639"/>
      <c r="I278" s="92"/>
      <c r="J278" s="101"/>
    </row>
    <row r="279" spans="1:11" ht="30" hidden="1" customHeight="1" x14ac:dyDescent="0.25">
      <c r="A279" s="633" t="s">
        <v>86</v>
      </c>
      <c r="B279" s="1357" t="s">
        <v>349</v>
      </c>
      <c r="C279" s="1358"/>
      <c r="D279" s="1359"/>
      <c r="E279" s="1349" t="s">
        <v>74</v>
      </c>
      <c r="F279" s="1350"/>
      <c r="G279" s="146" t="s">
        <v>74</v>
      </c>
      <c r="H279" s="146" t="s">
        <v>74</v>
      </c>
      <c r="I279" s="316" t="s">
        <v>74</v>
      </c>
      <c r="J279" s="319">
        <f>J280+J281</f>
        <v>0</v>
      </c>
      <c r="K279" s="1" t="s">
        <v>478</v>
      </c>
    </row>
    <row r="280" spans="1:11" ht="30" hidden="1" customHeight="1" x14ac:dyDescent="0.25">
      <c r="A280" s="607"/>
      <c r="B280" s="1017"/>
      <c r="C280" s="1018"/>
      <c r="D280" s="1019"/>
      <c r="E280" s="1034"/>
      <c r="F280" s="1035"/>
      <c r="G280" s="616"/>
      <c r="H280" s="616"/>
      <c r="I280" s="223"/>
      <c r="J280" s="604"/>
    </row>
    <row r="281" spans="1:11" ht="30" hidden="1" customHeight="1" x14ac:dyDescent="0.25">
      <c r="A281" s="607"/>
      <c r="B281" s="1017"/>
      <c r="C281" s="1018"/>
      <c r="D281" s="1019"/>
      <c r="E281" s="608"/>
      <c r="F281" s="609"/>
      <c r="G281" s="616"/>
      <c r="H281" s="616"/>
      <c r="I281" s="223"/>
      <c r="J281" s="604"/>
    </row>
    <row r="282" spans="1:11" ht="55.5" hidden="1" customHeight="1" x14ac:dyDescent="0.25">
      <c r="A282" s="633" t="s">
        <v>87</v>
      </c>
      <c r="B282" s="1357" t="s">
        <v>475</v>
      </c>
      <c r="C282" s="1358"/>
      <c r="D282" s="1359"/>
      <c r="E282" s="1349" t="s">
        <v>74</v>
      </c>
      <c r="F282" s="1350"/>
      <c r="G282" s="146" t="s">
        <v>74</v>
      </c>
      <c r="H282" s="146" t="s">
        <v>74</v>
      </c>
      <c r="I282" s="316" t="s">
        <v>74</v>
      </c>
      <c r="J282" s="227">
        <f>J283</f>
        <v>0</v>
      </c>
    </row>
    <row r="283" spans="1:11" ht="30" hidden="1" customHeight="1" x14ac:dyDescent="0.25">
      <c r="A283" s="607"/>
      <c r="B283" s="1017"/>
      <c r="C283" s="1018"/>
      <c r="D283" s="1019"/>
      <c r="E283" s="1034"/>
      <c r="F283" s="1035"/>
      <c r="G283" s="616"/>
      <c r="H283" s="616"/>
      <c r="I283" s="223"/>
      <c r="J283" s="226"/>
    </row>
    <row r="284" spans="1:11" ht="54.75" hidden="1" customHeight="1" x14ac:dyDescent="0.25">
      <c r="A284" s="633" t="s">
        <v>97</v>
      </c>
      <c r="B284" s="1357" t="s">
        <v>479</v>
      </c>
      <c r="C284" s="1358"/>
      <c r="D284" s="1359"/>
      <c r="E284" s="1349" t="s">
        <v>74</v>
      </c>
      <c r="F284" s="1350"/>
      <c r="G284" s="146" t="s">
        <v>74</v>
      </c>
      <c r="H284" s="146" t="s">
        <v>74</v>
      </c>
      <c r="I284" s="316" t="s">
        <v>74</v>
      </c>
      <c r="J284" s="227">
        <f>J285+J286+J287+J288</f>
        <v>0</v>
      </c>
    </row>
    <row r="285" spans="1:11" ht="30" hidden="1" customHeight="1" x14ac:dyDescent="0.25">
      <c r="A285" s="607"/>
      <c r="B285" s="1099"/>
      <c r="C285" s="1100"/>
      <c r="D285" s="1101"/>
      <c r="E285" s="1034"/>
      <c r="F285" s="1035"/>
      <c r="G285" s="616"/>
      <c r="H285" s="616"/>
      <c r="I285" s="223"/>
      <c r="J285" s="604"/>
    </row>
    <row r="286" spans="1:11" ht="30" hidden="1" customHeight="1" x14ac:dyDescent="0.25">
      <c r="A286" s="607"/>
      <c r="B286" s="1099"/>
      <c r="C286" s="1100"/>
      <c r="D286" s="1101"/>
      <c r="E286" s="1034"/>
      <c r="F286" s="1035"/>
      <c r="G286" s="616"/>
      <c r="H286" s="616"/>
      <c r="I286" s="223"/>
      <c r="J286" s="604"/>
    </row>
    <row r="287" spans="1:11" ht="30" hidden="1" customHeight="1" x14ac:dyDescent="0.25">
      <c r="A287" s="607"/>
      <c r="B287" s="1099"/>
      <c r="C287" s="1100"/>
      <c r="D287" s="1101"/>
      <c r="E287" s="1034"/>
      <c r="F287" s="1035"/>
      <c r="G287" s="616"/>
      <c r="H287" s="616"/>
      <c r="I287" s="223"/>
      <c r="J287" s="604"/>
    </row>
    <row r="288" spans="1:11" ht="30" hidden="1" customHeight="1" x14ac:dyDescent="0.25">
      <c r="A288" s="607"/>
      <c r="B288" s="1367"/>
      <c r="C288" s="1367"/>
      <c r="D288" s="1367"/>
      <c r="E288" s="1387"/>
      <c r="F288" s="1388"/>
      <c r="G288" s="639"/>
      <c r="H288" s="639"/>
      <c r="I288" s="92"/>
      <c r="J288" s="101"/>
    </row>
    <row r="289" spans="1:11" ht="30" customHeight="1" x14ac:dyDescent="0.25">
      <c r="A289" s="381"/>
      <c r="B289" s="1393" t="str">
        <f>B196</f>
        <v>Итого (благотворительность):</v>
      </c>
      <c r="C289" s="1393"/>
      <c r="D289" s="1393"/>
      <c r="E289" s="1394" t="s">
        <v>14</v>
      </c>
      <c r="F289" s="1395"/>
      <c r="G289" s="1396">
        <f>J259+J275+J277+J279+J282+J284</f>
        <v>2500</v>
      </c>
      <c r="H289" s="1397"/>
      <c r="I289" s="1397"/>
      <c r="J289" s="1397"/>
    </row>
    <row r="290" spans="1:11" ht="30" hidden="1" customHeight="1" x14ac:dyDescent="0.25">
      <c r="A290" s="1074" t="s">
        <v>375</v>
      </c>
      <c r="B290" s="1074"/>
      <c r="C290" s="1074"/>
      <c r="D290" s="1074"/>
      <c r="E290" s="1074"/>
      <c r="F290" s="1074"/>
      <c r="G290" s="1074"/>
      <c r="H290" s="1074"/>
      <c r="I290" s="1074"/>
      <c r="J290" s="1074"/>
    </row>
    <row r="291" spans="1:11" ht="30" hidden="1" customHeight="1" x14ac:dyDescent="0.25">
      <c r="A291" s="638" t="s">
        <v>1</v>
      </c>
      <c r="B291" s="1346" t="s">
        <v>44</v>
      </c>
      <c r="C291" s="1346"/>
      <c r="D291" s="1346"/>
      <c r="E291" s="1346" t="s">
        <v>58</v>
      </c>
      <c r="F291" s="1346"/>
      <c r="G291" s="1344" t="s">
        <v>66</v>
      </c>
      <c r="H291" s="1345"/>
      <c r="I291" s="1346" t="s">
        <v>60</v>
      </c>
      <c r="J291" s="1346"/>
    </row>
    <row r="292" spans="1:11" ht="30" hidden="1" customHeight="1" x14ac:dyDescent="0.25">
      <c r="A292" s="638">
        <v>1</v>
      </c>
      <c r="B292" s="1346">
        <v>2</v>
      </c>
      <c r="C292" s="1346"/>
      <c r="D292" s="1346"/>
      <c r="E292" s="1346">
        <v>3</v>
      </c>
      <c r="F292" s="1346"/>
      <c r="G292" s="1346">
        <v>4</v>
      </c>
      <c r="H292" s="1346"/>
      <c r="I292" s="1346">
        <v>5</v>
      </c>
      <c r="J292" s="1346"/>
    </row>
    <row r="293" spans="1:11" ht="30" hidden="1" customHeight="1" x14ac:dyDescent="0.25">
      <c r="A293" s="639" t="s">
        <v>27</v>
      </c>
      <c r="B293" s="1387"/>
      <c r="C293" s="1444"/>
      <c r="D293" s="1388"/>
      <c r="E293" s="1445"/>
      <c r="F293" s="1445"/>
      <c r="G293" s="1445"/>
      <c r="H293" s="1445"/>
      <c r="I293" s="1445"/>
      <c r="J293" s="1445"/>
    </row>
    <row r="294" spans="1:11" ht="30" hidden="1" customHeight="1" x14ac:dyDescent="0.25">
      <c r="A294" s="635"/>
      <c r="B294" s="1338" t="s">
        <v>13</v>
      </c>
      <c r="C294" s="1338"/>
      <c r="D294" s="1338"/>
      <c r="E294" s="1341" t="s">
        <v>14</v>
      </c>
      <c r="F294" s="1341"/>
      <c r="G294" s="1341" t="s">
        <v>14</v>
      </c>
      <c r="H294" s="1341"/>
      <c r="I294" s="1341">
        <f>I293</f>
        <v>0</v>
      </c>
      <c r="J294" s="1341"/>
    </row>
    <row r="295" spans="1:11" ht="15.75" hidden="1" customHeight="1" x14ac:dyDescent="0.25">
      <c r="A295" s="1442" t="s">
        <v>376</v>
      </c>
      <c r="B295" s="1442"/>
      <c r="C295" s="1442"/>
      <c r="D295" s="1442"/>
      <c r="E295" s="1442"/>
      <c r="F295" s="1442"/>
      <c r="G295" s="1442"/>
      <c r="H295" s="1442"/>
      <c r="I295" s="1442"/>
      <c r="J295" s="1442"/>
    </row>
    <row r="296" spans="1:11" ht="17.25" hidden="1" customHeight="1" x14ac:dyDescent="0.25">
      <c r="A296" s="638" t="s">
        <v>1</v>
      </c>
      <c r="B296" s="1344" t="s">
        <v>15</v>
      </c>
      <c r="C296" s="1392"/>
      <c r="D296" s="1345"/>
      <c r="E296" s="1344" t="s">
        <v>58</v>
      </c>
      <c r="F296" s="1345"/>
      <c r="G296" s="1344" t="s">
        <v>66</v>
      </c>
      <c r="H296" s="1345"/>
      <c r="I296" s="1344" t="s">
        <v>260</v>
      </c>
      <c r="J296" s="1345"/>
    </row>
    <row r="297" spans="1:11" ht="16.5" hidden="1" customHeight="1" x14ac:dyDescent="0.25">
      <c r="A297" s="638">
        <v>1</v>
      </c>
      <c r="B297" s="1344">
        <v>2</v>
      </c>
      <c r="C297" s="1392"/>
      <c r="D297" s="1345"/>
      <c r="E297" s="1344">
        <v>3</v>
      </c>
      <c r="F297" s="1345"/>
      <c r="G297" s="1344">
        <v>4</v>
      </c>
      <c r="H297" s="1345"/>
      <c r="I297" s="1344">
        <v>5</v>
      </c>
      <c r="J297" s="1345"/>
    </row>
    <row r="298" spans="1:11" ht="30" hidden="1" customHeight="1" x14ac:dyDescent="0.25">
      <c r="A298" s="633" t="s">
        <v>70</v>
      </c>
      <c r="B298" s="1357" t="s">
        <v>170</v>
      </c>
      <c r="C298" s="1358"/>
      <c r="D298" s="1359"/>
      <c r="E298" s="93"/>
      <c r="F298" s="93"/>
      <c r="G298" s="1362"/>
      <c r="H298" s="1363"/>
      <c r="I298" s="1401">
        <f>I299</f>
        <v>0</v>
      </c>
      <c r="J298" s="1390"/>
    </row>
    <row r="299" spans="1:11" ht="17.25" hidden="1" customHeight="1" x14ac:dyDescent="0.25">
      <c r="A299" s="639" t="s">
        <v>27</v>
      </c>
      <c r="B299" s="1377" t="s">
        <v>327</v>
      </c>
      <c r="C299" s="1378"/>
      <c r="D299" s="1379"/>
      <c r="E299" s="313" t="s">
        <v>300</v>
      </c>
      <c r="F299" s="313">
        <v>4</v>
      </c>
      <c r="G299" s="1373" t="s">
        <v>256</v>
      </c>
      <c r="H299" s="1374"/>
      <c r="I299" s="1430"/>
      <c r="J299" s="1381"/>
    </row>
    <row r="300" spans="1:11" ht="30" hidden="1" customHeight="1" x14ac:dyDescent="0.25">
      <c r="A300" s="633" t="s">
        <v>70</v>
      </c>
      <c r="B300" s="1357" t="s">
        <v>526</v>
      </c>
      <c r="C300" s="1358"/>
      <c r="D300" s="1359"/>
      <c r="E300" s="149" t="s">
        <v>74</v>
      </c>
      <c r="F300" s="149" t="s">
        <v>74</v>
      </c>
      <c r="G300" s="1349" t="s">
        <v>74</v>
      </c>
      <c r="H300" s="1350"/>
      <c r="I300" s="1401">
        <f>I301+I303+I302+I304</f>
        <v>0</v>
      </c>
      <c r="J300" s="1390"/>
    </row>
    <row r="301" spans="1:11" s="41" customFormat="1" ht="30" hidden="1" customHeight="1" x14ac:dyDescent="0.25">
      <c r="A301" s="639">
        <v>1</v>
      </c>
      <c r="B301" s="1099" t="s">
        <v>1139</v>
      </c>
      <c r="C301" s="1100"/>
      <c r="D301" s="1101"/>
      <c r="E301" s="313" t="s">
        <v>488</v>
      </c>
      <c r="F301" s="643">
        <v>33</v>
      </c>
      <c r="G301" s="1373" t="s">
        <v>74</v>
      </c>
      <c r="H301" s="1374"/>
      <c r="I301" s="1430">
        <v>0</v>
      </c>
      <c r="J301" s="1381"/>
      <c r="K301" s="41" t="s">
        <v>574</v>
      </c>
    </row>
    <row r="302" spans="1:11" s="41" customFormat="1" ht="30" hidden="1" customHeight="1" x14ac:dyDescent="0.25">
      <c r="A302" s="639">
        <v>2</v>
      </c>
      <c r="B302" s="1099" t="s">
        <v>565</v>
      </c>
      <c r="C302" s="1100"/>
      <c r="D302" s="1101"/>
      <c r="E302" s="313" t="s">
        <v>488</v>
      </c>
      <c r="F302" s="148">
        <v>33</v>
      </c>
      <c r="G302" s="1373" t="s">
        <v>74</v>
      </c>
      <c r="H302" s="1374"/>
      <c r="I302" s="1615">
        <v>0</v>
      </c>
      <c r="J302" s="1616"/>
    </row>
    <row r="303" spans="1:11" s="41" customFormat="1" ht="30" hidden="1" customHeight="1" x14ac:dyDescent="0.25">
      <c r="A303" s="639">
        <v>3</v>
      </c>
      <c r="B303" s="1099" t="s">
        <v>573</v>
      </c>
      <c r="C303" s="1100"/>
      <c r="D303" s="1101"/>
      <c r="E303" s="313" t="s">
        <v>488</v>
      </c>
      <c r="F303" s="148">
        <v>33</v>
      </c>
      <c r="G303" s="1373" t="s">
        <v>74</v>
      </c>
      <c r="H303" s="1374"/>
      <c r="I303" s="1617">
        <v>0</v>
      </c>
      <c r="J303" s="1618"/>
    </row>
    <row r="304" spans="1:11" ht="95.25" hidden="1" customHeight="1" x14ac:dyDescent="0.25">
      <c r="A304" s="639">
        <v>4</v>
      </c>
      <c r="B304" s="1099" t="s">
        <v>576</v>
      </c>
      <c r="C304" s="1100"/>
      <c r="D304" s="1101"/>
      <c r="E304" s="313" t="s">
        <v>488</v>
      </c>
      <c r="F304" s="148">
        <v>33</v>
      </c>
      <c r="G304" s="1373" t="s">
        <v>74</v>
      </c>
      <c r="H304" s="1374"/>
      <c r="I304" s="1615">
        <v>0</v>
      </c>
      <c r="J304" s="1616"/>
    </row>
    <row r="305" spans="1:11" ht="30" hidden="1" customHeight="1" x14ac:dyDescent="0.25">
      <c r="A305" s="633" t="s">
        <v>75</v>
      </c>
      <c r="B305" s="1357" t="s">
        <v>1084</v>
      </c>
      <c r="C305" s="1358"/>
      <c r="D305" s="1359"/>
      <c r="E305" s="1349" t="s">
        <v>74</v>
      </c>
      <c r="F305" s="1350"/>
      <c r="G305" s="1349" t="s">
        <v>74</v>
      </c>
      <c r="H305" s="1350"/>
      <c r="I305" s="1612">
        <f>SUM(I306:J309)</f>
        <v>0</v>
      </c>
      <c r="J305" s="1613"/>
    </row>
    <row r="306" spans="1:11" s="41" customFormat="1" ht="30" hidden="1" customHeight="1" x14ac:dyDescent="0.25">
      <c r="A306" s="95" t="s">
        <v>34</v>
      </c>
      <c r="B306" s="1353" t="s">
        <v>1085</v>
      </c>
      <c r="C306" s="1614"/>
      <c r="D306" s="1354"/>
      <c r="E306" s="313" t="s">
        <v>301</v>
      </c>
      <c r="F306" s="643">
        <v>1007</v>
      </c>
      <c r="G306" s="1372" t="s">
        <v>256</v>
      </c>
      <c r="H306" s="1372"/>
      <c r="I306" s="1364">
        <v>0</v>
      </c>
      <c r="J306" s="1365"/>
    </row>
    <row r="307" spans="1:11" ht="30" hidden="1" customHeight="1" x14ac:dyDescent="0.25">
      <c r="A307" s="639" t="s">
        <v>36</v>
      </c>
      <c r="B307" s="1353" t="s">
        <v>1086</v>
      </c>
      <c r="C307" s="1614"/>
      <c r="D307" s="1354"/>
      <c r="E307" s="313" t="s">
        <v>301</v>
      </c>
      <c r="F307" s="643">
        <v>1007</v>
      </c>
      <c r="G307" s="1372" t="s">
        <v>256</v>
      </c>
      <c r="H307" s="1372"/>
      <c r="I307" s="1364">
        <v>0</v>
      </c>
      <c r="J307" s="1365"/>
      <c r="K307" s="15"/>
    </row>
    <row r="308" spans="1:11" ht="30" hidden="1" customHeight="1" x14ac:dyDescent="0.25">
      <c r="A308" s="639"/>
      <c r="B308" s="1371"/>
      <c r="C308" s="1371"/>
      <c r="D308" s="1371"/>
      <c r="E308" s="313" t="s">
        <v>301</v>
      </c>
      <c r="F308" s="643">
        <v>1007</v>
      </c>
      <c r="G308" s="1372" t="s">
        <v>256</v>
      </c>
      <c r="H308" s="1372"/>
      <c r="I308" s="1364"/>
      <c r="J308" s="1365"/>
      <c r="K308" s="14"/>
    </row>
    <row r="309" spans="1:11" ht="30" hidden="1" customHeight="1" x14ac:dyDescent="0.25">
      <c r="A309" s="95"/>
      <c r="B309" s="1371"/>
      <c r="C309" s="1371"/>
      <c r="D309" s="1371"/>
      <c r="E309" s="313" t="s">
        <v>301</v>
      </c>
      <c r="F309" s="643">
        <v>1007</v>
      </c>
      <c r="G309" s="1372" t="s">
        <v>256</v>
      </c>
      <c r="H309" s="1372"/>
      <c r="I309" s="1364"/>
      <c r="J309" s="1365"/>
    </row>
    <row r="310" spans="1:11" ht="17.25" hidden="1" customHeight="1" x14ac:dyDescent="0.25">
      <c r="A310" s="639"/>
      <c r="B310" s="1338" t="s">
        <v>13</v>
      </c>
      <c r="C310" s="1338"/>
      <c r="D310" s="1338"/>
      <c r="E310" s="1339" t="s">
        <v>74</v>
      </c>
      <c r="F310" s="1340"/>
      <c r="G310" s="1341" t="s">
        <v>14</v>
      </c>
      <c r="H310" s="1341"/>
      <c r="I310" s="1611">
        <f>I305+I300</f>
        <v>0</v>
      </c>
      <c r="J310" s="1611"/>
    </row>
    <row r="311" spans="1:11" ht="21.75" customHeight="1" x14ac:dyDescent="0.25">
      <c r="A311" s="1391" t="s">
        <v>377</v>
      </c>
      <c r="B311" s="1391"/>
      <c r="C311" s="1391"/>
      <c r="D311" s="1391"/>
      <c r="E311" s="1391"/>
      <c r="F311" s="1391"/>
      <c r="G311" s="1391"/>
      <c r="H311" s="1391"/>
      <c r="I311" s="1391"/>
      <c r="J311" s="1391"/>
    </row>
    <row r="312" spans="1:11" ht="21.75" hidden="1" customHeight="1" x14ac:dyDescent="0.25">
      <c r="A312" s="1055" t="s">
        <v>489</v>
      </c>
      <c r="B312" s="1055"/>
      <c r="C312" s="1055"/>
      <c r="D312" s="1055"/>
      <c r="E312" s="1055"/>
      <c r="F312" s="1055"/>
      <c r="G312" s="1055"/>
      <c r="H312" s="1055"/>
      <c r="I312" s="1055"/>
      <c r="J312" s="1055"/>
    </row>
    <row r="313" spans="1:11" ht="21.75" hidden="1" customHeight="1" x14ac:dyDescent="0.25">
      <c r="A313" s="638" t="s">
        <v>1</v>
      </c>
      <c r="B313" s="1346" t="s">
        <v>15</v>
      </c>
      <c r="C313" s="1346"/>
      <c r="D313" s="1346"/>
      <c r="E313" s="1346" t="s">
        <v>58</v>
      </c>
      <c r="F313" s="1346"/>
      <c r="G313" s="1346" t="s">
        <v>66</v>
      </c>
      <c r="H313" s="1346"/>
      <c r="I313" s="1346" t="s">
        <v>260</v>
      </c>
      <c r="J313" s="1346"/>
    </row>
    <row r="314" spans="1:11" ht="21.75" hidden="1" customHeight="1" x14ac:dyDescent="0.25">
      <c r="A314" s="638">
        <v>1</v>
      </c>
      <c r="B314" s="1346">
        <v>2</v>
      </c>
      <c r="C314" s="1346"/>
      <c r="D314" s="1346"/>
      <c r="E314" s="1346">
        <v>3</v>
      </c>
      <c r="F314" s="1346"/>
      <c r="G314" s="1346">
        <v>4</v>
      </c>
      <c r="H314" s="1346"/>
      <c r="I314" s="1346">
        <v>5</v>
      </c>
      <c r="J314" s="1346"/>
    </row>
    <row r="315" spans="1:11" ht="39.75" hidden="1" customHeight="1" x14ac:dyDescent="0.25">
      <c r="A315" s="633" t="s">
        <v>70</v>
      </c>
      <c r="B315" s="1357" t="s">
        <v>172</v>
      </c>
      <c r="C315" s="1358"/>
      <c r="D315" s="1359"/>
      <c r="E315" s="93"/>
      <c r="F315" s="93"/>
      <c r="G315" s="1362"/>
      <c r="H315" s="1363"/>
      <c r="I315" s="1389">
        <f>SUM(I316:J317)</f>
        <v>0</v>
      </c>
      <c r="J315" s="1390"/>
    </row>
    <row r="316" spans="1:11" ht="35.25" hidden="1" customHeight="1" x14ac:dyDescent="0.25">
      <c r="A316" s="639" t="s">
        <v>27</v>
      </c>
      <c r="B316" s="1371" t="s">
        <v>173</v>
      </c>
      <c r="C316" s="1371"/>
      <c r="D316" s="1371"/>
      <c r="E316" s="313" t="s">
        <v>301</v>
      </c>
      <c r="F316" s="643">
        <v>822</v>
      </c>
      <c r="G316" s="1372" t="s">
        <v>256</v>
      </c>
      <c r="H316" s="1372"/>
      <c r="I316" s="1364"/>
      <c r="J316" s="1365"/>
    </row>
    <row r="317" spans="1:11" ht="21.75" hidden="1" customHeight="1" x14ac:dyDescent="0.25">
      <c r="A317" s="95" t="s">
        <v>27</v>
      </c>
      <c r="B317" s="1377"/>
      <c r="C317" s="1378"/>
      <c r="D317" s="1379"/>
      <c r="E317" s="313"/>
      <c r="F317" s="138"/>
      <c r="G317" s="1372"/>
      <c r="H317" s="1372"/>
      <c r="I317" s="1380"/>
      <c r="J317" s="1381"/>
    </row>
    <row r="318" spans="1:11" ht="21.75" hidden="1" customHeight="1" x14ac:dyDescent="0.25">
      <c r="A318" s="639"/>
      <c r="B318" s="1338" t="s">
        <v>13</v>
      </c>
      <c r="C318" s="1338"/>
      <c r="D318" s="1338"/>
      <c r="E318" s="1342" t="s">
        <v>74</v>
      </c>
      <c r="F318" s="1343"/>
      <c r="G318" s="1341" t="s">
        <v>14</v>
      </c>
      <c r="H318" s="1341"/>
      <c r="I318" s="1347">
        <f>I315</f>
        <v>0</v>
      </c>
      <c r="J318" s="1341"/>
    </row>
    <row r="319" spans="1:11" ht="15.75" hidden="1" x14ac:dyDescent="0.25">
      <c r="A319" s="1055" t="s">
        <v>490</v>
      </c>
      <c r="B319" s="1055"/>
      <c r="C319" s="1055"/>
      <c r="D319" s="1055"/>
      <c r="E319" s="1055"/>
      <c r="F319" s="1055"/>
      <c r="G319" s="1055"/>
      <c r="H319" s="1055"/>
      <c r="I319" s="1055"/>
      <c r="J319" s="1055"/>
    </row>
    <row r="320" spans="1:11" ht="15" hidden="1" customHeight="1" x14ac:dyDescent="0.25">
      <c r="A320" s="638" t="s">
        <v>1</v>
      </c>
      <c r="B320" s="1346" t="s">
        <v>15</v>
      </c>
      <c r="C320" s="1346"/>
      <c r="D320" s="1346"/>
      <c r="E320" s="1346" t="s">
        <v>58</v>
      </c>
      <c r="F320" s="1346"/>
      <c r="G320" s="1346" t="s">
        <v>66</v>
      </c>
      <c r="H320" s="1346"/>
      <c r="I320" s="1346" t="s">
        <v>260</v>
      </c>
      <c r="J320" s="1346"/>
    </row>
    <row r="321" spans="1:12" hidden="1" x14ac:dyDescent="0.25">
      <c r="A321" s="638">
        <v>1</v>
      </c>
      <c r="B321" s="1346">
        <v>2</v>
      </c>
      <c r="C321" s="1346"/>
      <c r="D321" s="1346"/>
      <c r="E321" s="1346">
        <v>3</v>
      </c>
      <c r="F321" s="1346"/>
      <c r="G321" s="1346">
        <v>4</v>
      </c>
      <c r="H321" s="1346"/>
      <c r="I321" s="1346">
        <v>5</v>
      </c>
      <c r="J321" s="1346"/>
    </row>
    <row r="322" spans="1:12" ht="30.75" hidden="1" customHeight="1" x14ac:dyDescent="0.25">
      <c r="A322" s="633" t="s">
        <v>70</v>
      </c>
      <c r="B322" s="1357" t="s">
        <v>172</v>
      </c>
      <c r="C322" s="1358"/>
      <c r="D322" s="1359"/>
      <c r="E322" s="93"/>
      <c r="F322" s="93"/>
      <c r="G322" s="1362"/>
      <c r="H322" s="1363"/>
      <c r="I322" s="1389">
        <f>SUM(I323:J324)</f>
        <v>0</v>
      </c>
      <c r="J322" s="1390"/>
      <c r="K322" s="139"/>
      <c r="L322" s="140"/>
    </row>
    <row r="323" spans="1:12" hidden="1" x14ac:dyDescent="0.25">
      <c r="A323" s="639" t="s">
        <v>27</v>
      </c>
      <c r="B323" s="1371" t="s">
        <v>173</v>
      </c>
      <c r="C323" s="1371"/>
      <c r="D323" s="1371"/>
      <c r="E323" s="313" t="s">
        <v>301</v>
      </c>
      <c r="F323" s="643"/>
      <c r="G323" s="1372" t="s">
        <v>256</v>
      </c>
      <c r="H323" s="1372"/>
      <c r="I323" s="1364"/>
      <c r="J323" s="1365"/>
      <c r="K323" s="139"/>
      <c r="L323" s="140"/>
    </row>
    <row r="324" spans="1:12" hidden="1" x14ac:dyDescent="0.25">
      <c r="A324" s="95" t="s">
        <v>27</v>
      </c>
      <c r="B324" s="1377"/>
      <c r="C324" s="1378"/>
      <c r="D324" s="1379"/>
      <c r="E324" s="313"/>
      <c r="F324" s="138"/>
      <c r="G324" s="1372"/>
      <c r="H324" s="1372"/>
      <c r="I324" s="1380"/>
      <c r="J324" s="1381"/>
    </row>
    <row r="325" spans="1:12" s="44" customFormat="1" ht="15" hidden="1" customHeight="1" x14ac:dyDescent="0.25">
      <c r="A325" s="639"/>
      <c r="B325" s="1338" t="s">
        <v>13</v>
      </c>
      <c r="C325" s="1338"/>
      <c r="D325" s="1338"/>
      <c r="E325" s="1342" t="s">
        <v>74</v>
      </c>
      <c r="F325" s="1343"/>
      <c r="G325" s="1341" t="s">
        <v>14</v>
      </c>
      <c r="H325" s="1341"/>
      <c r="I325" s="1347">
        <f>I322</f>
        <v>0</v>
      </c>
      <c r="J325" s="1341"/>
    </row>
    <row r="326" spans="1:12" s="44" customFormat="1" ht="15" hidden="1" customHeight="1" x14ac:dyDescent="0.25">
      <c r="A326" s="1055" t="s">
        <v>491</v>
      </c>
      <c r="B326" s="1055"/>
      <c r="C326" s="1055"/>
      <c r="D326" s="1055"/>
      <c r="E326" s="1055"/>
      <c r="F326" s="1055"/>
      <c r="G326" s="1055"/>
      <c r="H326" s="1055"/>
      <c r="I326" s="1055"/>
      <c r="J326" s="1055"/>
    </row>
    <row r="327" spans="1:12" s="44" customFormat="1" ht="15" hidden="1" customHeight="1" x14ac:dyDescent="0.2">
      <c r="A327" s="638" t="s">
        <v>1</v>
      </c>
      <c r="B327" s="1346" t="s">
        <v>15</v>
      </c>
      <c r="C327" s="1346"/>
      <c r="D327" s="1346"/>
      <c r="E327" s="1346" t="s">
        <v>58</v>
      </c>
      <c r="F327" s="1346"/>
      <c r="G327" s="1346" t="s">
        <v>66</v>
      </c>
      <c r="H327" s="1346"/>
      <c r="I327" s="1346" t="s">
        <v>260</v>
      </c>
      <c r="J327" s="1346"/>
    </row>
    <row r="328" spans="1:12" s="44" customFormat="1" ht="15" hidden="1" customHeight="1" x14ac:dyDescent="0.2">
      <c r="A328" s="638">
        <v>1</v>
      </c>
      <c r="B328" s="1346">
        <v>2</v>
      </c>
      <c r="C328" s="1346"/>
      <c r="D328" s="1346"/>
      <c r="E328" s="1346">
        <v>3</v>
      </c>
      <c r="F328" s="1346"/>
      <c r="G328" s="1346">
        <v>4</v>
      </c>
      <c r="H328" s="1346"/>
      <c r="I328" s="1346">
        <v>5</v>
      </c>
      <c r="J328" s="1346"/>
    </row>
    <row r="329" spans="1:12" s="44" customFormat="1" ht="39.75" hidden="1" customHeight="1" x14ac:dyDescent="0.25">
      <c r="A329" s="633" t="s">
        <v>70</v>
      </c>
      <c r="B329" s="1357" t="s">
        <v>172</v>
      </c>
      <c r="C329" s="1358"/>
      <c r="D329" s="1359"/>
      <c r="E329" s="93"/>
      <c r="F329" s="93"/>
      <c r="G329" s="1362"/>
      <c r="H329" s="1363"/>
      <c r="I329" s="1389">
        <f>SUM(I330:J331)</f>
        <v>0</v>
      </c>
      <c r="J329" s="1390"/>
    </row>
    <row r="330" spans="1:12" s="44" customFormat="1" ht="15" hidden="1" customHeight="1" x14ac:dyDescent="0.25">
      <c r="A330" s="639" t="s">
        <v>27</v>
      </c>
      <c r="B330" s="1371" t="s">
        <v>493</v>
      </c>
      <c r="C330" s="1371"/>
      <c r="D330" s="1371"/>
      <c r="E330" s="313"/>
      <c r="F330" s="643"/>
      <c r="G330" s="1372" t="s">
        <v>256</v>
      </c>
      <c r="H330" s="1372"/>
      <c r="I330" s="1364"/>
      <c r="J330" s="1365"/>
    </row>
    <row r="331" spans="1:12" s="45" customFormat="1" ht="15" hidden="1" customHeight="1" x14ac:dyDescent="0.25">
      <c r="A331" s="95" t="s">
        <v>27</v>
      </c>
      <c r="B331" s="1377"/>
      <c r="C331" s="1378"/>
      <c r="D331" s="1379"/>
      <c r="E331" s="313"/>
      <c r="F331" s="138"/>
      <c r="G331" s="1372"/>
      <c r="H331" s="1372"/>
      <c r="I331" s="1380"/>
      <c r="J331" s="1381"/>
    </row>
    <row r="332" spans="1:12" s="44" customFormat="1" ht="33" hidden="1" customHeight="1" x14ac:dyDescent="0.25">
      <c r="A332" s="639"/>
      <c r="B332" s="1338" t="s">
        <v>13</v>
      </c>
      <c r="C332" s="1338"/>
      <c r="D332" s="1338"/>
      <c r="E332" s="1342" t="s">
        <v>74</v>
      </c>
      <c r="F332" s="1343"/>
      <c r="G332" s="1341" t="s">
        <v>14</v>
      </c>
      <c r="H332" s="1341"/>
      <c r="I332" s="1347">
        <f>I329</f>
        <v>0</v>
      </c>
      <c r="J332" s="1341"/>
    </row>
    <row r="333" spans="1:12" s="45" customFormat="1" ht="15" hidden="1" customHeight="1" x14ac:dyDescent="0.25">
      <c r="A333" s="1055" t="s">
        <v>492</v>
      </c>
      <c r="B333" s="1055"/>
      <c r="C333" s="1055"/>
      <c r="D333" s="1055"/>
      <c r="E333" s="1055"/>
      <c r="F333" s="1055"/>
      <c r="G333" s="1055"/>
      <c r="H333" s="1055"/>
      <c r="I333" s="1055"/>
      <c r="J333" s="1055"/>
    </row>
    <row r="334" spans="1:12" s="45" customFormat="1" ht="15" hidden="1" customHeight="1" x14ac:dyDescent="0.25">
      <c r="A334" s="638" t="s">
        <v>1</v>
      </c>
      <c r="B334" s="1346" t="s">
        <v>15</v>
      </c>
      <c r="C334" s="1346"/>
      <c r="D334" s="1346"/>
      <c r="E334" s="1346" t="s">
        <v>58</v>
      </c>
      <c r="F334" s="1346"/>
      <c r="G334" s="1346" t="s">
        <v>66</v>
      </c>
      <c r="H334" s="1346"/>
      <c r="I334" s="1346" t="s">
        <v>260</v>
      </c>
      <c r="J334" s="1346"/>
    </row>
    <row r="335" spans="1:12" s="45" customFormat="1" ht="15" hidden="1" customHeight="1" x14ac:dyDescent="0.25">
      <c r="A335" s="638">
        <v>1</v>
      </c>
      <c r="B335" s="1346">
        <v>2</v>
      </c>
      <c r="C335" s="1346"/>
      <c r="D335" s="1346"/>
      <c r="E335" s="1346">
        <v>3</v>
      </c>
      <c r="F335" s="1346"/>
      <c r="G335" s="1346">
        <v>4</v>
      </c>
      <c r="H335" s="1346"/>
      <c r="I335" s="1346">
        <v>5</v>
      </c>
      <c r="J335" s="1346"/>
    </row>
    <row r="336" spans="1:12" s="45" customFormat="1" ht="38.25" hidden="1" customHeight="1" x14ac:dyDescent="0.25">
      <c r="A336" s="633" t="s">
        <v>70</v>
      </c>
      <c r="B336" s="1357" t="s">
        <v>172</v>
      </c>
      <c r="C336" s="1358"/>
      <c r="D336" s="1359"/>
      <c r="E336" s="93"/>
      <c r="F336" s="93"/>
      <c r="G336" s="1362"/>
      <c r="H336" s="1363"/>
      <c r="I336" s="1389">
        <f>SUM(I337:J338)</f>
        <v>0</v>
      </c>
      <c r="J336" s="1390"/>
    </row>
    <row r="337" spans="1:10" s="45" customFormat="1" ht="15" hidden="1" customHeight="1" x14ac:dyDescent="0.25">
      <c r="A337" s="639" t="s">
        <v>27</v>
      </c>
      <c r="B337" s="1371"/>
      <c r="C337" s="1371"/>
      <c r="D337" s="1371"/>
      <c r="E337" s="313" t="s">
        <v>301</v>
      </c>
      <c r="F337" s="643"/>
      <c r="G337" s="1372" t="s">
        <v>256</v>
      </c>
      <c r="H337" s="1372"/>
      <c r="I337" s="1364"/>
      <c r="J337" s="1365"/>
    </row>
    <row r="338" spans="1:10" s="45" customFormat="1" ht="15" hidden="1" customHeight="1" x14ac:dyDescent="0.25">
      <c r="A338" s="95" t="s">
        <v>27</v>
      </c>
      <c r="B338" s="1377"/>
      <c r="C338" s="1378"/>
      <c r="D338" s="1379"/>
      <c r="E338" s="313"/>
      <c r="F338" s="138"/>
      <c r="G338" s="1372"/>
      <c r="H338" s="1372"/>
      <c r="I338" s="1380"/>
      <c r="J338" s="1381"/>
    </row>
    <row r="339" spans="1:10" s="45" customFormat="1" ht="15" hidden="1" customHeight="1" x14ac:dyDescent="0.25">
      <c r="A339" s="639"/>
      <c r="B339" s="1338" t="s">
        <v>13</v>
      </c>
      <c r="C339" s="1338"/>
      <c r="D339" s="1338"/>
      <c r="E339" s="1342" t="s">
        <v>74</v>
      </c>
      <c r="F339" s="1343"/>
      <c r="G339" s="1341" t="s">
        <v>14</v>
      </c>
      <c r="H339" s="1341"/>
      <c r="I339" s="1347">
        <f>I336</f>
        <v>0</v>
      </c>
      <c r="J339" s="1341"/>
    </row>
    <row r="340" spans="1:10" s="45" customFormat="1" ht="15" hidden="1" customHeight="1" x14ac:dyDescent="0.25">
      <c r="A340" s="1055" t="s">
        <v>495</v>
      </c>
      <c r="B340" s="1055"/>
      <c r="C340" s="1055"/>
      <c r="D340" s="1055"/>
      <c r="E340" s="1055"/>
      <c r="F340" s="1055"/>
      <c r="G340" s="1055"/>
      <c r="H340" s="1055"/>
      <c r="I340" s="1055"/>
      <c r="J340" s="1055"/>
    </row>
    <row r="341" spans="1:10" s="45" customFormat="1" ht="15" hidden="1" customHeight="1" x14ac:dyDescent="0.25">
      <c r="A341" s="638" t="s">
        <v>1</v>
      </c>
      <c r="B341" s="1346" t="s">
        <v>15</v>
      </c>
      <c r="C341" s="1346"/>
      <c r="D341" s="1346"/>
      <c r="E341" s="1346" t="s">
        <v>58</v>
      </c>
      <c r="F341" s="1346"/>
      <c r="G341" s="1346" t="s">
        <v>66</v>
      </c>
      <c r="H341" s="1346"/>
      <c r="I341" s="1346" t="s">
        <v>260</v>
      </c>
      <c r="J341" s="1346"/>
    </row>
    <row r="342" spans="1:10" s="45" customFormat="1" ht="15" hidden="1" customHeight="1" x14ac:dyDescent="0.25">
      <c r="A342" s="638">
        <v>1</v>
      </c>
      <c r="B342" s="1346">
        <v>2</v>
      </c>
      <c r="C342" s="1346"/>
      <c r="D342" s="1346"/>
      <c r="E342" s="1346">
        <v>3</v>
      </c>
      <c r="F342" s="1346"/>
      <c r="G342" s="1346">
        <v>4</v>
      </c>
      <c r="H342" s="1346"/>
      <c r="I342" s="1346">
        <v>5</v>
      </c>
      <c r="J342" s="1346"/>
    </row>
    <row r="343" spans="1:10" s="45" customFormat="1" ht="36" hidden="1" customHeight="1" x14ac:dyDescent="0.25">
      <c r="A343" s="633" t="s">
        <v>70</v>
      </c>
      <c r="B343" s="1357" t="s">
        <v>172</v>
      </c>
      <c r="C343" s="1358"/>
      <c r="D343" s="1359"/>
      <c r="E343" s="93"/>
      <c r="F343" s="93"/>
      <c r="G343" s="1362"/>
      <c r="H343" s="1363"/>
      <c r="I343" s="1389">
        <f>SUM(I344:J345)</f>
        <v>0</v>
      </c>
      <c r="J343" s="1390"/>
    </row>
    <row r="344" spans="1:10" s="45" customFormat="1" ht="15" hidden="1" customHeight="1" x14ac:dyDescent="0.25">
      <c r="A344" s="639" t="s">
        <v>27</v>
      </c>
      <c r="B344" s="1371" t="s">
        <v>494</v>
      </c>
      <c r="C344" s="1371"/>
      <c r="D344" s="1371"/>
      <c r="E344" s="313" t="s">
        <v>301</v>
      </c>
      <c r="F344" s="643"/>
      <c r="G344" s="1372" t="s">
        <v>256</v>
      </c>
      <c r="H344" s="1372"/>
      <c r="I344" s="1364"/>
      <c r="J344" s="1365"/>
    </row>
    <row r="345" spans="1:10" s="45" customFormat="1" ht="15" hidden="1" customHeight="1" x14ac:dyDescent="0.25">
      <c r="A345" s="95" t="s">
        <v>27</v>
      </c>
      <c r="B345" s="1377"/>
      <c r="C345" s="1378"/>
      <c r="D345" s="1379"/>
      <c r="E345" s="313"/>
      <c r="F345" s="138"/>
      <c r="G345" s="1372"/>
      <c r="H345" s="1372"/>
      <c r="I345" s="1380"/>
      <c r="J345" s="1381"/>
    </row>
    <row r="346" spans="1:10" s="44" customFormat="1" ht="15.75" x14ac:dyDescent="0.25">
      <c r="A346" s="1056" t="s">
        <v>496</v>
      </c>
      <c r="B346" s="1056"/>
      <c r="C346" s="1056"/>
      <c r="D346" s="1056"/>
      <c r="E346" s="1056"/>
      <c r="F346" s="1056"/>
      <c r="G346" s="1056"/>
      <c r="H346" s="1056"/>
      <c r="I346" s="1056"/>
      <c r="J346" s="1056"/>
    </row>
    <row r="347" spans="1:10" s="44" customFormat="1" ht="25.5" x14ac:dyDescent="0.2">
      <c r="A347" s="638" t="s">
        <v>1</v>
      </c>
      <c r="B347" s="1346" t="s">
        <v>15</v>
      </c>
      <c r="C347" s="1346"/>
      <c r="D347" s="1346"/>
      <c r="E347" s="1346" t="s">
        <v>58</v>
      </c>
      <c r="F347" s="1346"/>
      <c r="G347" s="1346" t="s">
        <v>66</v>
      </c>
      <c r="H347" s="1346"/>
      <c r="I347" s="1346" t="s">
        <v>260</v>
      </c>
      <c r="J347" s="1346"/>
    </row>
    <row r="348" spans="1:10" s="44" customFormat="1" ht="12.75" x14ac:dyDescent="0.2">
      <c r="A348" s="638">
        <v>1</v>
      </c>
      <c r="B348" s="1346">
        <v>2</v>
      </c>
      <c r="C348" s="1346"/>
      <c r="D348" s="1346"/>
      <c r="E348" s="1346">
        <v>3</v>
      </c>
      <c r="F348" s="1346"/>
      <c r="G348" s="1346">
        <v>4</v>
      </c>
      <c r="H348" s="1346"/>
      <c r="I348" s="1346">
        <v>5</v>
      </c>
      <c r="J348" s="1346"/>
    </row>
    <row r="349" spans="1:10" s="44" customFormat="1" ht="32.25" customHeight="1" x14ac:dyDescent="0.25">
      <c r="A349" s="633">
        <v>1</v>
      </c>
      <c r="B349" s="1357" t="s">
        <v>172</v>
      </c>
      <c r="C349" s="1358"/>
      <c r="D349" s="1359"/>
      <c r="E349" s="93"/>
      <c r="F349" s="93"/>
      <c r="G349" s="1362"/>
      <c r="H349" s="1363"/>
      <c r="I349" s="1401">
        <f>I350+I351</f>
        <v>34000</v>
      </c>
      <c r="J349" s="1390"/>
    </row>
    <row r="350" spans="1:10" s="44" customFormat="1" ht="45.75" customHeight="1" x14ac:dyDescent="0.25">
      <c r="A350" s="639">
        <v>1</v>
      </c>
      <c r="B350" s="1040" t="s">
        <v>710</v>
      </c>
      <c r="C350" s="1040"/>
      <c r="D350" s="1040"/>
      <c r="E350" s="610"/>
      <c r="F350" s="612"/>
      <c r="G350" s="1196"/>
      <c r="H350" s="1196"/>
      <c r="I350" s="1240">
        <f>17000*2</f>
        <v>34000</v>
      </c>
      <c r="J350" s="1133"/>
    </row>
    <row r="351" spans="1:10" s="44" customFormat="1" ht="30" hidden="1" customHeight="1" x14ac:dyDescent="0.25">
      <c r="A351" s="639">
        <v>2</v>
      </c>
      <c r="B351" s="1040" t="s">
        <v>733</v>
      </c>
      <c r="C351" s="1040"/>
      <c r="D351" s="1040"/>
      <c r="E351" s="610"/>
      <c r="F351" s="612"/>
      <c r="G351" s="1196"/>
      <c r="H351" s="1196"/>
      <c r="I351" s="1240">
        <v>0</v>
      </c>
      <c r="J351" s="1133"/>
    </row>
    <row r="352" spans="1:10" s="44" customFormat="1" ht="28.5" hidden="1" customHeight="1" x14ac:dyDescent="0.25">
      <c r="A352" s="1055" t="s">
        <v>495</v>
      </c>
      <c r="B352" s="1055"/>
      <c r="C352" s="1055"/>
      <c r="D352" s="1055"/>
      <c r="E352" s="1055"/>
      <c r="F352" s="1055"/>
      <c r="G352" s="1055"/>
      <c r="H352" s="1055"/>
      <c r="I352" s="1055"/>
      <c r="J352" s="1055"/>
    </row>
    <row r="353" spans="1:10" s="44" customFormat="1" ht="42.75" hidden="1" customHeight="1" x14ac:dyDescent="0.2">
      <c r="A353" s="638" t="s">
        <v>1</v>
      </c>
      <c r="B353" s="1346" t="s">
        <v>15</v>
      </c>
      <c r="C353" s="1346"/>
      <c r="D353" s="1346"/>
      <c r="E353" s="1346" t="s">
        <v>58</v>
      </c>
      <c r="F353" s="1346"/>
      <c r="G353" s="1346" t="s">
        <v>66</v>
      </c>
      <c r="H353" s="1346"/>
      <c r="I353" s="1346" t="s">
        <v>260</v>
      </c>
      <c r="J353" s="1346"/>
    </row>
    <row r="354" spans="1:10" s="44" customFormat="1" ht="23.25" hidden="1" customHeight="1" x14ac:dyDescent="0.2">
      <c r="A354" s="638">
        <v>1</v>
      </c>
      <c r="B354" s="1346">
        <v>2</v>
      </c>
      <c r="C354" s="1346"/>
      <c r="D354" s="1346"/>
      <c r="E354" s="1346">
        <v>3</v>
      </c>
      <c r="F354" s="1346"/>
      <c r="G354" s="1346">
        <v>4</v>
      </c>
      <c r="H354" s="1346"/>
      <c r="I354" s="1346">
        <v>5</v>
      </c>
      <c r="J354" s="1346"/>
    </row>
    <row r="355" spans="1:10" s="44" customFormat="1" ht="33" hidden="1" customHeight="1" x14ac:dyDescent="0.25">
      <c r="A355" s="633" t="s">
        <v>70</v>
      </c>
      <c r="B355" s="1357" t="s">
        <v>172</v>
      </c>
      <c r="C355" s="1358"/>
      <c r="D355" s="1359"/>
      <c r="E355" s="93"/>
      <c r="F355" s="93"/>
      <c r="G355" s="1362"/>
      <c r="H355" s="1363"/>
      <c r="I355" s="1389">
        <f>SUM(I356:J357)</f>
        <v>0</v>
      </c>
      <c r="J355" s="1390"/>
    </row>
    <row r="356" spans="1:10" s="44" customFormat="1" ht="48" hidden="1" customHeight="1" x14ac:dyDescent="0.25">
      <c r="A356" s="639" t="s">
        <v>27</v>
      </c>
      <c r="B356" s="1371" t="s">
        <v>568</v>
      </c>
      <c r="C356" s="1371"/>
      <c r="D356" s="1371"/>
      <c r="E356" s="313" t="s">
        <v>301</v>
      </c>
      <c r="F356" s="643"/>
      <c r="G356" s="1372" t="s">
        <v>256</v>
      </c>
      <c r="H356" s="1372"/>
      <c r="I356" s="1364">
        <v>0</v>
      </c>
      <c r="J356" s="1365"/>
    </row>
    <row r="357" spans="1:10" ht="48.75" hidden="1" customHeight="1" x14ac:dyDescent="0.25">
      <c r="A357" s="95" t="s">
        <v>27</v>
      </c>
      <c r="B357" s="1377" t="s">
        <v>577</v>
      </c>
      <c r="C357" s="1378"/>
      <c r="D357" s="1379"/>
      <c r="E357" s="313"/>
      <c r="F357" s="138"/>
      <c r="G357" s="1372"/>
      <c r="H357" s="1372"/>
      <c r="I357" s="1380">
        <v>0</v>
      </c>
      <c r="J357" s="1381"/>
    </row>
    <row r="358" spans="1:10" ht="48.75" hidden="1" customHeight="1" x14ac:dyDescent="0.25">
      <c r="A358" s="1056" t="s">
        <v>496</v>
      </c>
      <c r="B358" s="1056"/>
      <c r="C358" s="1056"/>
      <c r="D358" s="1056"/>
      <c r="E358" s="1056"/>
      <c r="F358" s="1056"/>
      <c r="G358" s="1056"/>
      <c r="H358" s="1056"/>
      <c r="I358" s="1056"/>
      <c r="J358" s="1056"/>
    </row>
    <row r="359" spans="1:10" ht="26.25" hidden="1" customHeight="1" x14ac:dyDescent="0.25">
      <c r="A359" s="638" t="s">
        <v>1</v>
      </c>
      <c r="B359" s="1346" t="s">
        <v>15</v>
      </c>
      <c r="C359" s="1346"/>
      <c r="D359" s="1346"/>
      <c r="E359" s="1346" t="s">
        <v>58</v>
      </c>
      <c r="F359" s="1346"/>
      <c r="G359" s="1346" t="s">
        <v>66</v>
      </c>
      <c r="H359" s="1346"/>
      <c r="I359" s="1346" t="s">
        <v>260</v>
      </c>
      <c r="J359" s="1346"/>
    </row>
    <row r="360" spans="1:10" ht="23.25" hidden="1" customHeight="1" x14ac:dyDescent="0.25">
      <c r="A360" s="638">
        <v>1</v>
      </c>
      <c r="B360" s="1346">
        <v>2</v>
      </c>
      <c r="C360" s="1346"/>
      <c r="D360" s="1346"/>
      <c r="E360" s="1346">
        <v>3</v>
      </c>
      <c r="F360" s="1346"/>
      <c r="G360" s="1346">
        <v>4</v>
      </c>
      <c r="H360" s="1346"/>
      <c r="I360" s="1346">
        <v>5</v>
      </c>
      <c r="J360" s="1346"/>
    </row>
    <row r="361" spans="1:10" ht="48.75" hidden="1" customHeight="1" x14ac:dyDescent="0.25">
      <c r="A361" s="633">
        <v>1</v>
      </c>
      <c r="B361" s="1357" t="s">
        <v>578</v>
      </c>
      <c r="C361" s="1358"/>
      <c r="D361" s="1359"/>
      <c r="E361" s="93"/>
      <c r="F361" s="93"/>
      <c r="G361" s="1362"/>
      <c r="H361" s="1363"/>
      <c r="I361" s="1401">
        <f>I362+I363</f>
        <v>0</v>
      </c>
      <c r="J361" s="1390"/>
    </row>
    <row r="362" spans="1:10" ht="48.75" hidden="1" customHeight="1" x14ac:dyDescent="0.25">
      <c r="A362" s="639" t="s">
        <v>27</v>
      </c>
      <c r="B362" s="1245" t="s">
        <v>579</v>
      </c>
      <c r="C362" s="1245"/>
      <c r="D362" s="1245"/>
      <c r="E362" s="610"/>
      <c r="F362" s="612"/>
      <c r="G362" s="1196"/>
      <c r="H362" s="1196"/>
      <c r="I362" s="1240">
        <v>0</v>
      </c>
      <c r="J362" s="1133"/>
    </row>
    <row r="363" spans="1:10" ht="48.75" hidden="1" customHeight="1" x14ac:dyDescent="0.25">
      <c r="A363" s="639" t="s">
        <v>29</v>
      </c>
      <c r="B363" s="1245" t="s">
        <v>582</v>
      </c>
      <c r="C363" s="1245"/>
      <c r="D363" s="1245"/>
      <c r="E363" s="610"/>
      <c r="F363" s="612"/>
      <c r="G363" s="1196"/>
      <c r="H363" s="1196"/>
      <c r="I363" s="1222">
        <v>0</v>
      </c>
      <c r="J363" s="1222"/>
    </row>
    <row r="364" spans="1:10" ht="48.75" hidden="1" customHeight="1" x14ac:dyDescent="0.25">
      <c r="A364" s="95" t="s">
        <v>31</v>
      </c>
      <c r="B364" s="1445" t="s">
        <v>583</v>
      </c>
      <c r="C364" s="1445"/>
      <c r="D364" s="1445"/>
      <c r="E364" s="313"/>
      <c r="F364" s="138"/>
      <c r="G364" s="1372"/>
      <c r="H364" s="1372"/>
      <c r="I364" s="1641">
        <v>0</v>
      </c>
      <c r="J364" s="1641"/>
    </row>
    <row r="365" spans="1:10" ht="48.75" hidden="1" customHeight="1" x14ac:dyDescent="0.25">
      <c r="A365" s="242"/>
      <c r="B365" s="646"/>
      <c r="C365" s="646"/>
      <c r="D365" s="646"/>
      <c r="E365" s="261"/>
      <c r="F365" s="274"/>
      <c r="G365" s="435"/>
      <c r="H365" s="435"/>
      <c r="I365" s="648"/>
      <c r="J365" s="648"/>
    </row>
    <row r="366" spans="1:10" ht="15.75" hidden="1" x14ac:dyDescent="0.25">
      <c r="A366" s="1056" t="s">
        <v>501</v>
      </c>
      <c r="B366" s="1056"/>
      <c r="C366" s="1056"/>
      <c r="D366" s="1056"/>
      <c r="E366" s="1056"/>
      <c r="F366" s="1056"/>
      <c r="G366" s="1056"/>
      <c r="H366" s="1056"/>
      <c r="I366" s="1056"/>
      <c r="J366" s="1056"/>
    </row>
    <row r="367" spans="1:10" ht="25.5" hidden="1" x14ac:dyDescent="0.25">
      <c r="A367" s="638" t="s">
        <v>1</v>
      </c>
      <c r="B367" s="1346" t="s">
        <v>15</v>
      </c>
      <c r="C367" s="1346"/>
      <c r="D367" s="1346"/>
      <c r="E367" s="1346" t="s">
        <v>58</v>
      </c>
      <c r="F367" s="1346"/>
      <c r="G367" s="1346" t="s">
        <v>66</v>
      </c>
      <c r="H367" s="1346"/>
      <c r="I367" s="1346" t="s">
        <v>260</v>
      </c>
      <c r="J367" s="1346"/>
    </row>
    <row r="368" spans="1:10" hidden="1" x14ac:dyDescent="0.25">
      <c r="A368" s="638">
        <v>1</v>
      </c>
      <c r="B368" s="1346">
        <v>2</v>
      </c>
      <c r="C368" s="1346"/>
      <c r="D368" s="1346"/>
      <c r="E368" s="1346">
        <v>3</v>
      </c>
      <c r="F368" s="1346"/>
      <c r="G368" s="1346">
        <v>4</v>
      </c>
      <c r="H368" s="1346"/>
      <c r="I368" s="1346">
        <v>5</v>
      </c>
      <c r="J368" s="1346"/>
    </row>
    <row r="369" spans="1:10" ht="46.5" hidden="1" customHeight="1" x14ac:dyDescent="0.25">
      <c r="A369" s="229" t="s">
        <v>70</v>
      </c>
      <c r="B369" s="1357" t="s">
        <v>187</v>
      </c>
      <c r="C369" s="1358"/>
      <c r="D369" s="1359"/>
      <c r="E369" s="93"/>
      <c r="F369" s="90"/>
      <c r="G369" s="1610"/>
      <c r="H369" s="1610"/>
      <c r="I369" s="1389">
        <f>I370</f>
        <v>0</v>
      </c>
      <c r="J369" s="1390"/>
    </row>
    <row r="370" spans="1:10" hidden="1" x14ac:dyDescent="0.25">
      <c r="A370" s="95" t="s">
        <v>27</v>
      </c>
      <c r="B370" s="1245" t="s">
        <v>567</v>
      </c>
      <c r="C370" s="1245"/>
      <c r="D370" s="1245"/>
      <c r="E370" s="610"/>
      <c r="F370" s="612"/>
      <c r="G370" s="1196"/>
      <c r="H370" s="1196"/>
      <c r="I370" s="1240">
        <v>0</v>
      </c>
      <c r="J370" s="1133"/>
    </row>
    <row r="371" spans="1:10" hidden="1" x14ac:dyDescent="0.25">
      <c r="A371" s="95"/>
      <c r="B371" s="1026"/>
      <c r="C371" s="1052"/>
      <c r="D371" s="1027"/>
      <c r="E371" s="610"/>
      <c r="F371" s="612"/>
      <c r="G371" s="1044"/>
      <c r="H371" s="1045"/>
      <c r="I371" s="602"/>
      <c r="J371" s="603"/>
    </row>
    <row r="372" spans="1:10" ht="25.5" customHeight="1" x14ac:dyDescent="0.25">
      <c r="A372" s="95"/>
      <c r="B372" s="1338" t="s">
        <v>13</v>
      </c>
      <c r="C372" s="1338"/>
      <c r="D372" s="1338"/>
      <c r="E372" s="313"/>
      <c r="F372" s="643"/>
      <c r="G372" s="1372"/>
      <c r="H372" s="1372"/>
      <c r="I372" s="1336">
        <f>I315+I322+I329+I336+I343+I349+I355+I369+I361</f>
        <v>34000</v>
      </c>
      <c r="J372" s="1337"/>
    </row>
    <row r="373" spans="1:10" ht="15.75" hidden="1" x14ac:dyDescent="0.25">
      <c r="A373" s="1413" t="s">
        <v>378</v>
      </c>
      <c r="B373" s="1413"/>
      <c r="C373" s="1413"/>
      <c r="D373" s="1413"/>
      <c r="E373" s="1413"/>
      <c r="F373" s="1413"/>
      <c r="G373" s="1413"/>
      <c r="H373" s="1413"/>
      <c r="I373" s="1413"/>
      <c r="J373" s="1413"/>
    </row>
    <row r="374" spans="1:10" hidden="1" x14ac:dyDescent="0.25">
      <c r="A374" s="1414" t="s">
        <v>1</v>
      </c>
      <c r="B374" s="1416" t="s">
        <v>15</v>
      </c>
      <c r="C374" s="1417"/>
      <c r="D374" s="1418"/>
      <c r="E374" s="1416" t="s">
        <v>64</v>
      </c>
      <c r="F374" s="1418"/>
      <c r="G374" s="1346" t="s">
        <v>65</v>
      </c>
      <c r="H374" s="1346"/>
      <c r="I374" s="1346"/>
      <c r="J374" s="1346"/>
    </row>
    <row r="375" spans="1:10" ht="25.5" hidden="1" x14ac:dyDescent="0.25">
      <c r="A375" s="1415"/>
      <c r="B375" s="1419"/>
      <c r="C375" s="1420"/>
      <c r="D375" s="1421"/>
      <c r="E375" s="1419"/>
      <c r="F375" s="1421"/>
      <c r="G375" s="638" t="s">
        <v>298</v>
      </c>
      <c r="H375" s="638" t="s">
        <v>295</v>
      </c>
      <c r="I375" s="638" t="s">
        <v>296</v>
      </c>
      <c r="J375" s="638" t="s">
        <v>297</v>
      </c>
    </row>
    <row r="376" spans="1:10" hidden="1" x14ac:dyDescent="0.25">
      <c r="A376" s="638">
        <v>1</v>
      </c>
      <c r="B376" s="1346">
        <v>2</v>
      </c>
      <c r="C376" s="1346"/>
      <c r="D376" s="1346"/>
      <c r="E376" s="1344">
        <v>3</v>
      </c>
      <c r="F376" s="1345"/>
      <c r="G376" s="1346">
        <v>4</v>
      </c>
      <c r="H376" s="1346"/>
      <c r="I376" s="1346"/>
      <c r="J376" s="1346"/>
    </row>
    <row r="377" spans="1:10" hidden="1" x14ac:dyDescent="0.25">
      <c r="A377" s="639" t="s">
        <v>70</v>
      </c>
      <c r="B377" s="1386" t="s">
        <v>339</v>
      </c>
      <c r="C377" s="1386"/>
      <c r="D377" s="1386"/>
      <c r="E377" s="1387">
        <v>1</v>
      </c>
      <c r="F377" s="1388"/>
      <c r="G377" s="639" t="s">
        <v>299</v>
      </c>
      <c r="H377" s="639">
        <v>1</v>
      </c>
      <c r="I377" s="92"/>
      <c r="J377" s="101">
        <v>0</v>
      </c>
    </row>
    <row r="378" spans="1:10" hidden="1" x14ac:dyDescent="0.25">
      <c r="A378" s="639" t="s">
        <v>75</v>
      </c>
      <c r="B378" s="1386" t="s">
        <v>340</v>
      </c>
      <c r="C378" s="1386"/>
      <c r="D378" s="1386"/>
      <c r="E378" s="1387">
        <v>1</v>
      </c>
      <c r="F378" s="1388"/>
      <c r="G378" s="639" t="s">
        <v>299</v>
      </c>
      <c r="H378" s="639">
        <v>1</v>
      </c>
      <c r="I378" s="92"/>
      <c r="J378" s="101">
        <f t="shared" ref="J378:J379" si="18">H378*I378</f>
        <v>0</v>
      </c>
    </row>
    <row r="379" spans="1:10" hidden="1" x14ac:dyDescent="0.25">
      <c r="A379" s="639" t="s">
        <v>77</v>
      </c>
      <c r="B379" s="1386" t="s">
        <v>335</v>
      </c>
      <c r="C379" s="1386"/>
      <c r="D379" s="1386"/>
      <c r="E379" s="1387">
        <v>1</v>
      </c>
      <c r="F379" s="1388"/>
      <c r="G379" s="639" t="s">
        <v>299</v>
      </c>
      <c r="H379" s="643">
        <v>1</v>
      </c>
      <c r="I379" s="92"/>
      <c r="J379" s="101">
        <f t="shared" si="18"/>
        <v>0</v>
      </c>
    </row>
    <row r="380" spans="1:10" ht="15.75" hidden="1" x14ac:dyDescent="0.25">
      <c r="A380" s="381"/>
      <c r="B380" s="1393" t="s">
        <v>13</v>
      </c>
      <c r="C380" s="1393"/>
      <c r="D380" s="1393"/>
      <c r="E380" s="1394" t="s">
        <v>14</v>
      </c>
      <c r="F380" s="1395"/>
      <c r="G380" s="1396">
        <f>SUM(J377:J379)</f>
        <v>0</v>
      </c>
      <c r="H380" s="1397"/>
      <c r="I380" s="1397"/>
      <c r="J380" s="1397"/>
    </row>
    <row r="381" spans="1:10" hidden="1" x14ac:dyDescent="0.25">
      <c r="A381" s="81"/>
      <c r="B381" s="81"/>
      <c r="C381" s="81"/>
      <c r="D381" s="81"/>
      <c r="E381" s="81"/>
      <c r="F381" s="81"/>
      <c r="G381" s="81"/>
      <c r="H381" s="81"/>
      <c r="I381" s="81"/>
      <c r="J381" s="81"/>
    </row>
    <row r="382" spans="1:10" ht="32.25" customHeight="1" x14ac:dyDescent="0.25">
      <c r="A382" s="81"/>
      <c r="B382" s="81"/>
      <c r="C382" s="81"/>
      <c r="D382" s="81"/>
      <c r="E382" s="81"/>
      <c r="F382" s="81"/>
      <c r="G382" s="81"/>
      <c r="H382" s="96" t="s">
        <v>212</v>
      </c>
      <c r="I382" s="1441">
        <f>J87+J94+I105+I145+I166+I182+I196+I227+G254+G289+I294+I310+I372+G380</f>
        <v>307000.00000000006</v>
      </c>
      <c r="J382" s="1441"/>
    </row>
    <row r="383" spans="1:10" hidden="1" x14ac:dyDescent="0.25">
      <c r="A383" s="81"/>
      <c r="B383" s="81"/>
      <c r="C383" s="81"/>
      <c r="D383" s="81"/>
      <c r="E383" s="81"/>
      <c r="F383" s="81"/>
      <c r="G383" s="81"/>
      <c r="H383" s="97" t="s">
        <v>248</v>
      </c>
      <c r="I383" s="81"/>
      <c r="J383" s="81"/>
    </row>
    <row r="384" spans="1:10" hidden="1" x14ac:dyDescent="0.25">
      <c r="A384" s="81"/>
      <c r="B384" s="81"/>
      <c r="C384" s="81"/>
      <c r="D384" s="81"/>
      <c r="E384" s="81"/>
      <c r="F384" s="81"/>
      <c r="G384" s="81"/>
      <c r="H384" s="97" t="s">
        <v>262</v>
      </c>
      <c r="I384" s="1436">
        <f>J66+I99+I104+I127+I227+G254+I300+I349+G289+I196</f>
        <v>307000.00400000007</v>
      </c>
      <c r="J384" s="1436"/>
    </row>
    <row r="385" spans="1:12" hidden="1" x14ac:dyDescent="0.25">
      <c r="A385" s="81"/>
      <c r="B385" s="81"/>
      <c r="C385" s="81"/>
      <c r="D385" s="81"/>
      <c r="E385" s="81"/>
      <c r="F385" s="81"/>
      <c r="G385" s="81"/>
      <c r="H385" s="97" t="s">
        <v>527</v>
      </c>
      <c r="I385" s="1436">
        <f>J65+I144</f>
        <v>0</v>
      </c>
      <c r="J385" s="1436"/>
    </row>
    <row r="386" spans="1:12" hidden="1" x14ac:dyDescent="0.25">
      <c r="A386" s="81"/>
      <c r="B386" s="81"/>
      <c r="C386" s="81"/>
      <c r="D386" s="81"/>
      <c r="E386" s="81"/>
      <c r="F386" s="81"/>
      <c r="G386" s="81"/>
      <c r="H386" s="97" t="s">
        <v>331</v>
      </c>
      <c r="I386" s="1436">
        <v>0</v>
      </c>
      <c r="J386" s="1436"/>
    </row>
    <row r="387" spans="1:12" hidden="1" x14ac:dyDescent="0.25">
      <c r="A387" s="81"/>
      <c r="B387" s="81"/>
      <c r="C387" s="81"/>
      <c r="D387" s="81"/>
      <c r="E387" s="81"/>
      <c r="F387" s="81"/>
      <c r="G387" s="81"/>
      <c r="H387" s="97" t="s">
        <v>1081</v>
      </c>
      <c r="I387" s="1436">
        <f>I306</f>
        <v>0</v>
      </c>
      <c r="J387" s="1436"/>
    </row>
    <row r="388" spans="1:12" hidden="1" x14ac:dyDescent="0.25">
      <c r="A388" s="81"/>
      <c r="B388" s="81"/>
      <c r="C388" s="81"/>
      <c r="D388" s="81"/>
      <c r="E388" s="81"/>
      <c r="F388" s="81"/>
      <c r="G388" s="81"/>
      <c r="H388" s="97"/>
      <c r="I388" s="1436"/>
      <c r="J388" s="1436"/>
    </row>
    <row r="389" spans="1:12" hidden="1" x14ac:dyDescent="0.25">
      <c r="A389" s="81"/>
      <c r="B389" s="81"/>
      <c r="C389" s="81"/>
      <c r="D389" s="81"/>
      <c r="E389" s="81"/>
      <c r="F389" s="81"/>
      <c r="G389" s="81"/>
      <c r="H389" s="97"/>
      <c r="I389" s="1436"/>
      <c r="J389" s="1436"/>
    </row>
    <row r="390" spans="1:12" hidden="1" x14ac:dyDescent="0.25">
      <c r="A390" s="81"/>
      <c r="B390" s="81"/>
      <c r="C390" s="81"/>
      <c r="D390" s="81"/>
      <c r="E390" s="81"/>
      <c r="F390" s="81"/>
      <c r="G390" s="81"/>
      <c r="H390" s="97"/>
      <c r="I390" s="1436"/>
      <c r="J390" s="1436"/>
    </row>
    <row r="391" spans="1:12" hidden="1" x14ac:dyDescent="0.25">
      <c r="A391" s="81"/>
      <c r="B391" s="81"/>
      <c r="C391" s="81"/>
      <c r="D391" s="81"/>
      <c r="E391" s="81"/>
      <c r="F391" s="81"/>
      <c r="G391" s="81"/>
      <c r="H391" s="97"/>
      <c r="I391" s="1436"/>
      <c r="J391" s="1436"/>
    </row>
    <row r="392" spans="1:12" x14ac:dyDescent="0.25">
      <c r="A392" s="1238" t="s">
        <v>211</v>
      </c>
      <c r="B392" s="1238"/>
      <c r="C392" s="1238"/>
      <c r="D392" s="367"/>
      <c r="E392" s="367"/>
      <c r="F392" s="368" t="s">
        <v>416</v>
      </c>
      <c r="G392" s="368"/>
      <c r="H392" s="368"/>
      <c r="I392" s="368"/>
      <c r="J392" s="44"/>
    </row>
    <row r="393" spans="1:12" s="164" customFormat="1" ht="15.75" x14ac:dyDescent="0.25">
      <c r="A393" s="650"/>
      <c r="B393" s="571"/>
      <c r="C393" s="571"/>
      <c r="D393" s="1236" t="s">
        <v>272</v>
      </c>
      <c r="E393" s="1236"/>
      <c r="F393" s="1237" t="s">
        <v>273</v>
      </c>
      <c r="G393" s="1237"/>
      <c r="H393" s="1237"/>
      <c r="I393" s="1237"/>
      <c r="J393" s="369"/>
      <c r="K393" s="292"/>
      <c r="L393" s="282">
        <f>I384+I390</f>
        <v>307000.00400000007</v>
      </c>
    </row>
    <row r="394" spans="1:12" x14ac:dyDescent="0.25">
      <c r="A394" s="1238" t="s">
        <v>415</v>
      </c>
      <c r="B394" s="1238"/>
      <c r="C394" s="1238"/>
      <c r="D394" s="367"/>
      <c r="E394" s="367"/>
      <c r="F394" s="368" t="s">
        <v>417</v>
      </c>
      <c r="G394" s="368"/>
      <c r="H394" s="368"/>
      <c r="I394" s="368"/>
      <c r="J394" s="44"/>
    </row>
    <row r="395" spans="1:12" x14ac:dyDescent="0.25">
      <c r="A395" s="613"/>
      <c r="B395" s="613"/>
      <c r="C395" s="613"/>
      <c r="D395" s="1241" t="s">
        <v>272</v>
      </c>
      <c r="E395" s="1241"/>
      <c r="F395" s="1258" t="s">
        <v>273</v>
      </c>
      <c r="G395" s="1258"/>
      <c r="H395" s="1258"/>
      <c r="I395" s="1258"/>
      <c r="J395" s="45"/>
    </row>
    <row r="396" spans="1:12" x14ac:dyDescent="0.25">
      <c r="A396" s="649"/>
      <c r="B396" s="649"/>
      <c r="C396" s="649"/>
      <c r="D396" s="1236"/>
      <c r="E396" s="1236"/>
      <c r="F396" s="1237"/>
      <c r="G396" s="1237"/>
      <c r="H396" s="1237"/>
      <c r="I396" s="1237"/>
      <c r="J396" s="44"/>
    </row>
    <row r="397" spans="1:12" x14ac:dyDescent="0.25">
      <c r="A397" s="649"/>
      <c r="B397" s="649"/>
      <c r="C397" s="649"/>
      <c r="D397" s="649"/>
      <c r="E397" s="649"/>
      <c r="F397" s="649"/>
      <c r="G397" s="44"/>
      <c r="H397" s="44"/>
      <c r="I397" s="44"/>
      <c r="J397" s="44"/>
    </row>
    <row r="398" spans="1:12" x14ac:dyDescent="0.25">
      <c r="A398" s="1437" t="s">
        <v>418</v>
      </c>
      <c r="B398" s="1437"/>
      <c r="C398" s="649"/>
      <c r="D398" s="649"/>
      <c r="E398" s="649"/>
      <c r="F398" s="649"/>
      <c r="G398" s="44"/>
      <c r="H398" s="44"/>
      <c r="I398" s="44"/>
      <c r="J398" s="44"/>
    </row>
    <row r="399" spans="1:12" x14ac:dyDescent="0.25">
      <c r="A399" s="649"/>
      <c r="B399" s="649"/>
      <c r="C399" s="649"/>
      <c r="D399" s="649"/>
      <c r="E399" s="649"/>
      <c r="F399" s="649"/>
      <c r="G399" s="44"/>
      <c r="H399" s="44"/>
      <c r="I399" s="44"/>
      <c r="J399" s="44"/>
    </row>
    <row r="400" spans="1:12" x14ac:dyDescent="0.25">
      <c r="A400" s="1434"/>
      <c r="B400" s="1434"/>
      <c r="C400" s="649"/>
      <c r="D400" s="649"/>
      <c r="E400" s="649"/>
      <c r="F400" s="649"/>
      <c r="G400" s="44"/>
      <c r="H400" s="44"/>
      <c r="I400" s="44"/>
      <c r="J400" s="44"/>
    </row>
  </sheetData>
  <mergeCells count="819">
    <mergeCell ref="A1:J1"/>
    <mergeCell ref="A2:J2"/>
    <mergeCell ref="A3:J3"/>
    <mergeCell ref="A5:J5"/>
    <mergeCell ref="A8:J8"/>
    <mergeCell ref="A9:A11"/>
    <mergeCell ref="B9:B11"/>
    <mergeCell ref="C9:C11"/>
    <mergeCell ref="D9:G9"/>
    <mergeCell ref="H9:H11"/>
    <mergeCell ref="A22:J22"/>
    <mergeCell ref="A23:J23"/>
    <mergeCell ref="A36:J36"/>
    <mergeCell ref="A51:J51"/>
    <mergeCell ref="A56:J56"/>
    <mergeCell ref="A66:B66"/>
    <mergeCell ref="I9:I11"/>
    <mergeCell ref="J9:J11"/>
    <mergeCell ref="D10:D11"/>
    <mergeCell ref="E10:G10"/>
    <mergeCell ref="A13:J13"/>
    <mergeCell ref="A14:J14"/>
    <mergeCell ref="J71:J73"/>
    <mergeCell ref="D72:D73"/>
    <mergeCell ref="E72:G72"/>
    <mergeCell ref="A75:J75"/>
    <mergeCell ref="A82:I82"/>
    <mergeCell ref="A83:I83"/>
    <mergeCell ref="A67:I67"/>
    <mergeCell ref="A68:I68"/>
    <mergeCell ref="A71:A73"/>
    <mergeCell ref="B71:B73"/>
    <mergeCell ref="C71:C73"/>
    <mergeCell ref="D71:G71"/>
    <mergeCell ref="H71:H73"/>
    <mergeCell ref="I71:I73"/>
    <mergeCell ref="B91:D91"/>
    <mergeCell ref="E91:F91"/>
    <mergeCell ref="G91:H91"/>
    <mergeCell ref="I91:J91"/>
    <mergeCell ref="B92:D92"/>
    <mergeCell ref="E92:F92"/>
    <mergeCell ref="G92:H92"/>
    <mergeCell ref="I92:J92"/>
    <mergeCell ref="A85:J85"/>
    <mergeCell ref="A86:B86"/>
    <mergeCell ref="A87:I87"/>
    <mergeCell ref="A89:J89"/>
    <mergeCell ref="B90:D90"/>
    <mergeCell ref="E90:F90"/>
    <mergeCell ref="G90:H90"/>
    <mergeCell ref="I90:J90"/>
    <mergeCell ref="A95:J95"/>
    <mergeCell ref="B96:D96"/>
    <mergeCell ref="E96:F96"/>
    <mergeCell ref="I96:J96"/>
    <mergeCell ref="B97:D97"/>
    <mergeCell ref="E97:F97"/>
    <mergeCell ref="I97:J97"/>
    <mergeCell ref="B93:D93"/>
    <mergeCell ref="E93:F93"/>
    <mergeCell ref="G93:H93"/>
    <mergeCell ref="I93:J93"/>
    <mergeCell ref="B94:D94"/>
    <mergeCell ref="E94:F94"/>
    <mergeCell ref="G94:H94"/>
    <mergeCell ref="B102:D102"/>
    <mergeCell ref="E102:F102"/>
    <mergeCell ref="I102:J102"/>
    <mergeCell ref="A103:J103"/>
    <mergeCell ref="B104:D104"/>
    <mergeCell ref="E104:F104"/>
    <mergeCell ref="I104:J104"/>
    <mergeCell ref="A98:J98"/>
    <mergeCell ref="B99:D99"/>
    <mergeCell ref="E99:F99"/>
    <mergeCell ref="I99:J99"/>
    <mergeCell ref="A100:J100"/>
    <mergeCell ref="B101:D101"/>
    <mergeCell ref="E101:F101"/>
    <mergeCell ref="I101:J101"/>
    <mergeCell ref="B108:D108"/>
    <mergeCell ref="E108:F108"/>
    <mergeCell ref="I108:J108"/>
    <mergeCell ref="B109:D109"/>
    <mergeCell ref="E109:F109"/>
    <mergeCell ref="I109:J109"/>
    <mergeCell ref="B105:D105"/>
    <mergeCell ref="E105:F105"/>
    <mergeCell ref="I105:J105"/>
    <mergeCell ref="A106:J106"/>
    <mergeCell ref="B107:D107"/>
    <mergeCell ref="E107:F107"/>
    <mergeCell ref="I107:J107"/>
    <mergeCell ref="B113:F113"/>
    <mergeCell ref="G113:H113"/>
    <mergeCell ref="I113:J113"/>
    <mergeCell ref="B114:F114"/>
    <mergeCell ref="G114:H114"/>
    <mergeCell ref="I114:J114"/>
    <mergeCell ref="B110:D110"/>
    <mergeCell ref="E110:F110"/>
    <mergeCell ref="I110:J110"/>
    <mergeCell ref="A111:J111"/>
    <mergeCell ref="B112:F112"/>
    <mergeCell ref="G112:H112"/>
    <mergeCell ref="I112:J112"/>
    <mergeCell ref="B117:F117"/>
    <mergeCell ref="G117:H117"/>
    <mergeCell ref="I117:J117"/>
    <mergeCell ref="B118:F118"/>
    <mergeCell ref="G118:H118"/>
    <mergeCell ref="I118:J118"/>
    <mergeCell ref="B115:F115"/>
    <mergeCell ref="G115:H115"/>
    <mergeCell ref="I115:J115"/>
    <mergeCell ref="B116:F116"/>
    <mergeCell ref="G116:H116"/>
    <mergeCell ref="I116:J116"/>
    <mergeCell ref="B121:F121"/>
    <mergeCell ref="G121:H121"/>
    <mergeCell ref="I121:J121"/>
    <mergeCell ref="B122:F122"/>
    <mergeCell ref="G122:H122"/>
    <mergeCell ref="I122:J122"/>
    <mergeCell ref="B119:F119"/>
    <mergeCell ref="G119:H119"/>
    <mergeCell ref="I119:J119"/>
    <mergeCell ref="B120:F120"/>
    <mergeCell ref="G120:H120"/>
    <mergeCell ref="I120:J120"/>
    <mergeCell ref="B125:F125"/>
    <mergeCell ref="G125:H125"/>
    <mergeCell ref="I125:J125"/>
    <mergeCell ref="B126:F126"/>
    <mergeCell ref="G126:H126"/>
    <mergeCell ref="I126:J126"/>
    <mergeCell ref="B123:F123"/>
    <mergeCell ref="G123:H123"/>
    <mergeCell ref="I123:J123"/>
    <mergeCell ref="B124:F124"/>
    <mergeCell ref="G124:H124"/>
    <mergeCell ref="I124:J124"/>
    <mergeCell ref="B129:F129"/>
    <mergeCell ref="G129:H129"/>
    <mergeCell ref="I129:J129"/>
    <mergeCell ref="B130:F130"/>
    <mergeCell ref="G130:H130"/>
    <mergeCell ref="I130:J130"/>
    <mergeCell ref="B127:F127"/>
    <mergeCell ref="G127:H127"/>
    <mergeCell ref="I127:J127"/>
    <mergeCell ref="B128:F128"/>
    <mergeCell ref="G128:H128"/>
    <mergeCell ref="I128:J128"/>
    <mergeCell ref="B133:F133"/>
    <mergeCell ref="G133:H133"/>
    <mergeCell ref="I133:J133"/>
    <mergeCell ref="B134:F134"/>
    <mergeCell ref="G134:H134"/>
    <mergeCell ref="I134:J134"/>
    <mergeCell ref="B131:F131"/>
    <mergeCell ref="G131:H131"/>
    <mergeCell ref="I131:J131"/>
    <mergeCell ref="B132:F132"/>
    <mergeCell ref="G132:H132"/>
    <mergeCell ref="I132:J132"/>
    <mergeCell ref="B137:F137"/>
    <mergeCell ref="G137:H137"/>
    <mergeCell ref="I137:J137"/>
    <mergeCell ref="B138:F138"/>
    <mergeCell ref="G138:H138"/>
    <mergeCell ref="I138:J138"/>
    <mergeCell ref="B135:F135"/>
    <mergeCell ref="G135:H135"/>
    <mergeCell ref="I135:J135"/>
    <mergeCell ref="B136:F136"/>
    <mergeCell ref="G136:H136"/>
    <mergeCell ref="I136:J136"/>
    <mergeCell ref="B141:F141"/>
    <mergeCell ref="G141:H141"/>
    <mergeCell ref="I141:J141"/>
    <mergeCell ref="B142:F142"/>
    <mergeCell ref="G142:H142"/>
    <mergeCell ref="I142:J142"/>
    <mergeCell ref="B139:F139"/>
    <mergeCell ref="G139:H139"/>
    <mergeCell ref="I139:J139"/>
    <mergeCell ref="B140:F140"/>
    <mergeCell ref="G140:H140"/>
    <mergeCell ref="I140:J140"/>
    <mergeCell ref="K145:L145"/>
    <mergeCell ref="A146:J146"/>
    <mergeCell ref="A147:J147"/>
    <mergeCell ref="B150:D150"/>
    <mergeCell ref="E150:F150"/>
    <mergeCell ref="G150:H150"/>
    <mergeCell ref="I150:J150"/>
    <mergeCell ref="B143:F143"/>
    <mergeCell ref="G143:H143"/>
    <mergeCell ref="I143:J143"/>
    <mergeCell ref="B144:F144"/>
    <mergeCell ref="I144:J144"/>
    <mergeCell ref="B145:F145"/>
    <mergeCell ref="G145:H145"/>
    <mergeCell ref="I145:J145"/>
    <mergeCell ref="B153:D153"/>
    <mergeCell ref="E153:F153"/>
    <mergeCell ref="G153:H153"/>
    <mergeCell ref="I153:J153"/>
    <mergeCell ref="B154:D154"/>
    <mergeCell ref="E154:F154"/>
    <mergeCell ref="G154:H154"/>
    <mergeCell ref="I154:J154"/>
    <mergeCell ref="B151:D151"/>
    <mergeCell ref="E151:F151"/>
    <mergeCell ref="G151:H151"/>
    <mergeCell ref="I151:J151"/>
    <mergeCell ref="B152:D152"/>
    <mergeCell ref="E152:F152"/>
    <mergeCell ref="G152:H152"/>
    <mergeCell ref="I152:J152"/>
    <mergeCell ref="A161:A162"/>
    <mergeCell ref="B161:C162"/>
    <mergeCell ref="E161:F161"/>
    <mergeCell ref="G161:H161"/>
    <mergeCell ref="I161:J161"/>
    <mergeCell ref="E162:F162"/>
    <mergeCell ref="B155:D155"/>
    <mergeCell ref="E155:F155"/>
    <mergeCell ref="G155:H155"/>
    <mergeCell ref="I155:J155"/>
    <mergeCell ref="A156:J156"/>
    <mergeCell ref="B159:D159"/>
    <mergeCell ref="E159:F159"/>
    <mergeCell ref="G159:H159"/>
    <mergeCell ref="I159:J159"/>
    <mergeCell ref="G162:H162"/>
    <mergeCell ref="I162:J162"/>
    <mergeCell ref="B163:D163"/>
    <mergeCell ref="E163:F163"/>
    <mergeCell ref="G163:H163"/>
    <mergeCell ref="I163:J163"/>
    <mergeCell ref="B160:D160"/>
    <mergeCell ref="E160:F160"/>
    <mergeCell ref="G160:H160"/>
    <mergeCell ref="I160:J160"/>
    <mergeCell ref="B166:D166"/>
    <mergeCell ref="E166:F166"/>
    <mergeCell ref="G166:H166"/>
    <mergeCell ref="I166:J166"/>
    <mergeCell ref="A167:J167"/>
    <mergeCell ref="K167:L167"/>
    <mergeCell ref="B164:D164"/>
    <mergeCell ref="E164:F164"/>
    <mergeCell ref="G164:H164"/>
    <mergeCell ref="I164:J164"/>
    <mergeCell ref="B165:D165"/>
    <mergeCell ref="E165:F165"/>
    <mergeCell ref="G165:H165"/>
    <mergeCell ref="I165:J165"/>
    <mergeCell ref="B172:D172"/>
    <mergeCell ref="E172:F172"/>
    <mergeCell ref="G172:H172"/>
    <mergeCell ref="I172:J172"/>
    <mergeCell ref="B173:D173"/>
    <mergeCell ref="E173:F173"/>
    <mergeCell ref="G173:H173"/>
    <mergeCell ref="I173:J173"/>
    <mergeCell ref="B170:D170"/>
    <mergeCell ref="E170:F170"/>
    <mergeCell ref="G170:H170"/>
    <mergeCell ref="I170:J170"/>
    <mergeCell ref="B171:D171"/>
    <mergeCell ref="E171:F171"/>
    <mergeCell ref="G171:H171"/>
    <mergeCell ref="I171:J171"/>
    <mergeCell ref="B179:D179"/>
    <mergeCell ref="E179:F179"/>
    <mergeCell ref="G179:H179"/>
    <mergeCell ref="I179:J179"/>
    <mergeCell ref="B180:D180"/>
    <mergeCell ref="E180:F180"/>
    <mergeCell ref="G180:H180"/>
    <mergeCell ref="I180:J180"/>
    <mergeCell ref="A174:J174"/>
    <mergeCell ref="A177:J177"/>
    <mergeCell ref="B178:D178"/>
    <mergeCell ref="E178:F178"/>
    <mergeCell ref="G178:H178"/>
    <mergeCell ref="I178:J178"/>
    <mergeCell ref="A183:J183"/>
    <mergeCell ref="A186:J186"/>
    <mergeCell ref="B187:D187"/>
    <mergeCell ref="G187:H187"/>
    <mergeCell ref="I187:J187"/>
    <mergeCell ref="B188:D188"/>
    <mergeCell ref="G188:H188"/>
    <mergeCell ref="I188:J188"/>
    <mergeCell ref="B181:D181"/>
    <mergeCell ref="E181:F181"/>
    <mergeCell ref="G181:H181"/>
    <mergeCell ref="I181:J181"/>
    <mergeCell ref="B182:D182"/>
    <mergeCell ref="E182:F182"/>
    <mergeCell ref="G182:H182"/>
    <mergeCell ref="I182:J182"/>
    <mergeCell ref="B191:D191"/>
    <mergeCell ref="G191:H191"/>
    <mergeCell ref="I191:J191"/>
    <mergeCell ref="B192:D192"/>
    <mergeCell ref="G192:H192"/>
    <mergeCell ref="I192:J192"/>
    <mergeCell ref="B189:D189"/>
    <mergeCell ref="G189:H189"/>
    <mergeCell ref="I189:J189"/>
    <mergeCell ref="B190:D190"/>
    <mergeCell ref="G190:H190"/>
    <mergeCell ref="I190:J190"/>
    <mergeCell ref="B195:D195"/>
    <mergeCell ref="G195:H195"/>
    <mergeCell ref="I195:J195"/>
    <mergeCell ref="B196:D196"/>
    <mergeCell ref="G196:H196"/>
    <mergeCell ref="I196:J196"/>
    <mergeCell ref="B193:D193"/>
    <mergeCell ref="G193:H193"/>
    <mergeCell ref="I193:J193"/>
    <mergeCell ref="B194:D194"/>
    <mergeCell ref="G194:H194"/>
    <mergeCell ref="I194:J194"/>
    <mergeCell ref="B201:D201"/>
    <mergeCell ref="E201:F201"/>
    <mergeCell ref="G201:H201"/>
    <mergeCell ref="I201:J201"/>
    <mergeCell ref="B202:D202"/>
    <mergeCell ref="E202:F202"/>
    <mergeCell ref="G202:H202"/>
    <mergeCell ref="I202:J202"/>
    <mergeCell ref="A198:J198"/>
    <mergeCell ref="B199:D199"/>
    <mergeCell ref="E199:F199"/>
    <mergeCell ref="G199:H199"/>
    <mergeCell ref="I199:J199"/>
    <mergeCell ref="B200:D200"/>
    <mergeCell ref="E200:F200"/>
    <mergeCell ref="G200:H200"/>
    <mergeCell ref="I200:J200"/>
    <mergeCell ref="B206:D206"/>
    <mergeCell ref="F206:G206"/>
    <mergeCell ref="I206:J206"/>
    <mergeCell ref="B207:D207"/>
    <mergeCell ref="F207:G207"/>
    <mergeCell ref="I207:J207"/>
    <mergeCell ref="A203:J203"/>
    <mergeCell ref="B204:D204"/>
    <mergeCell ref="F204:G204"/>
    <mergeCell ref="I204:J204"/>
    <mergeCell ref="B205:D205"/>
    <mergeCell ref="F205:G205"/>
    <mergeCell ref="I205:J205"/>
    <mergeCell ref="B210:D210"/>
    <mergeCell ref="F210:G210"/>
    <mergeCell ref="I210:J210"/>
    <mergeCell ref="B211:D211"/>
    <mergeCell ref="F211:G211"/>
    <mergeCell ref="I211:J211"/>
    <mergeCell ref="B208:D208"/>
    <mergeCell ref="F208:G208"/>
    <mergeCell ref="I208:J208"/>
    <mergeCell ref="B209:D209"/>
    <mergeCell ref="F209:G209"/>
    <mergeCell ref="I209:J209"/>
    <mergeCell ref="B214:D214"/>
    <mergeCell ref="F214:G214"/>
    <mergeCell ref="I214:J214"/>
    <mergeCell ref="B215:D215"/>
    <mergeCell ref="F215:G215"/>
    <mergeCell ref="I215:J215"/>
    <mergeCell ref="B212:D212"/>
    <mergeCell ref="F212:G212"/>
    <mergeCell ref="I212:J212"/>
    <mergeCell ref="B213:D213"/>
    <mergeCell ref="F213:G213"/>
    <mergeCell ref="I213:J213"/>
    <mergeCell ref="B218:D218"/>
    <mergeCell ref="F218:G218"/>
    <mergeCell ref="I218:J218"/>
    <mergeCell ref="B219:D219"/>
    <mergeCell ref="F219:G219"/>
    <mergeCell ref="I219:J219"/>
    <mergeCell ref="B216:D216"/>
    <mergeCell ref="F216:G216"/>
    <mergeCell ref="I216:J216"/>
    <mergeCell ref="B217:D217"/>
    <mergeCell ref="F217:G217"/>
    <mergeCell ref="I217:J217"/>
    <mergeCell ref="B222:D222"/>
    <mergeCell ref="F222:G222"/>
    <mergeCell ref="I222:J222"/>
    <mergeCell ref="B223:D223"/>
    <mergeCell ref="F223:G223"/>
    <mergeCell ref="I223:J223"/>
    <mergeCell ref="B220:D220"/>
    <mergeCell ref="F220:G220"/>
    <mergeCell ref="I220:J220"/>
    <mergeCell ref="B221:D221"/>
    <mergeCell ref="F221:G221"/>
    <mergeCell ref="I221:J221"/>
    <mergeCell ref="B226:D226"/>
    <mergeCell ref="F226:G226"/>
    <mergeCell ref="I226:J226"/>
    <mergeCell ref="B227:D227"/>
    <mergeCell ref="F227:G227"/>
    <mergeCell ref="I227:J227"/>
    <mergeCell ref="B224:D224"/>
    <mergeCell ref="F224:G224"/>
    <mergeCell ref="I224:J224"/>
    <mergeCell ref="B225:D225"/>
    <mergeCell ref="F225:G225"/>
    <mergeCell ref="I225:J225"/>
    <mergeCell ref="A228:J228"/>
    <mergeCell ref="B229:D229"/>
    <mergeCell ref="E229:F229"/>
    <mergeCell ref="G229:H229"/>
    <mergeCell ref="I229:J229"/>
    <mergeCell ref="B230:D230"/>
    <mergeCell ref="E230:F230"/>
    <mergeCell ref="G230:H230"/>
    <mergeCell ref="I230:J230"/>
    <mergeCell ref="A233:J233"/>
    <mergeCell ref="A234:A235"/>
    <mergeCell ref="B234:D235"/>
    <mergeCell ref="E234:E235"/>
    <mergeCell ref="F234:F235"/>
    <mergeCell ref="G234:J234"/>
    <mergeCell ref="B231:D231"/>
    <mergeCell ref="E231:F231"/>
    <mergeCell ref="G231:H231"/>
    <mergeCell ref="I231:J231"/>
    <mergeCell ref="B232:D232"/>
    <mergeCell ref="E232:F232"/>
    <mergeCell ref="G232:H232"/>
    <mergeCell ref="I232:J232"/>
    <mergeCell ref="A241:A242"/>
    <mergeCell ref="B241:D242"/>
    <mergeCell ref="B243:D243"/>
    <mergeCell ref="B244:D244"/>
    <mergeCell ref="B245:D245"/>
    <mergeCell ref="B246:D246"/>
    <mergeCell ref="B236:D236"/>
    <mergeCell ref="G236:J236"/>
    <mergeCell ref="B237:D237"/>
    <mergeCell ref="B238:D238"/>
    <mergeCell ref="B239:D239"/>
    <mergeCell ref="B240:D240"/>
    <mergeCell ref="B253:D253"/>
    <mergeCell ref="B254:D254"/>
    <mergeCell ref="G254:J254"/>
    <mergeCell ref="A255:J255"/>
    <mergeCell ref="A256:A257"/>
    <mergeCell ref="B256:D257"/>
    <mergeCell ref="E256:F257"/>
    <mergeCell ref="G256:J256"/>
    <mergeCell ref="B247:D247"/>
    <mergeCell ref="B248:D248"/>
    <mergeCell ref="B249:D249"/>
    <mergeCell ref="B250:D250"/>
    <mergeCell ref="B251:D251"/>
    <mergeCell ref="B252:D252"/>
    <mergeCell ref="B261:D261"/>
    <mergeCell ref="E261:F261"/>
    <mergeCell ref="B262:D262"/>
    <mergeCell ref="E262:F262"/>
    <mergeCell ref="B263:D263"/>
    <mergeCell ref="E263:F263"/>
    <mergeCell ref="B258:D258"/>
    <mergeCell ref="E258:F258"/>
    <mergeCell ref="G258:J258"/>
    <mergeCell ref="B259:D259"/>
    <mergeCell ref="E259:F259"/>
    <mergeCell ref="B260:D260"/>
    <mergeCell ref="B267:D267"/>
    <mergeCell ref="E267:F267"/>
    <mergeCell ref="B268:D268"/>
    <mergeCell ref="E268:F268"/>
    <mergeCell ref="B269:D269"/>
    <mergeCell ref="E269:F269"/>
    <mergeCell ref="B264:D264"/>
    <mergeCell ref="E264:F264"/>
    <mergeCell ref="B265:D265"/>
    <mergeCell ref="E265:F265"/>
    <mergeCell ref="B266:D266"/>
    <mergeCell ref="E266:F266"/>
    <mergeCell ref="B275:D275"/>
    <mergeCell ref="E275:F275"/>
    <mergeCell ref="B276:D276"/>
    <mergeCell ref="E276:F276"/>
    <mergeCell ref="B270:D270"/>
    <mergeCell ref="E270:F270"/>
    <mergeCell ref="B271:D271"/>
    <mergeCell ref="E271:F271"/>
    <mergeCell ref="B272:D272"/>
    <mergeCell ref="E272:F272"/>
    <mergeCell ref="B273:D273"/>
    <mergeCell ref="E273:F273"/>
    <mergeCell ref="B280:D280"/>
    <mergeCell ref="B281:D281"/>
    <mergeCell ref="B282:D282"/>
    <mergeCell ref="E282:F282"/>
    <mergeCell ref="B283:D283"/>
    <mergeCell ref="E283:F283"/>
    <mergeCell ref="B277:D277"/>
    <mergeCell ref="E277:F277"/>
    <mergeCell ref="B278:D278"/>
    <mergeCell ref="E278:F278"/>
    <mergeCell ref="B279:D279"/>
    <mergeCell ref="E279:F279"/>
    <mergeCell ref="E280:F280"/>
    <mergeCell ref="A290:J290"/>
    <mergeCell ref="B287:D287"/>
    <mergeCell ref="E287:F287"/>
    <mergeCell ref="B288:D288"/>
    <mergeCell ref="E288:F288"/>
    <mergeCell ref="B284:D284"/>
    <mergeCell ref="E284:F284"/>
    <mergeCell ref="B285:D285"/>
    <mergeCell ref="E285:F285"/>
    <mergeCell ref="B286:D286"/>
    <mergeCell ref="E286:F286"/>
    <mergeCell ref="B289:D289"/>
    <mergeCell ref="E289:F289"/>
    <mergeCell ref="G289:J289"/>
    <mergeCell ref="B292:D292"/>
    <mergeCell ref="E292:F292"/>
    <mergeCell ref="G292:H292"/>
    <mergeCell ref="I292:J292"/>
    <mergeCell ref="B293:D293"/>
    <mergeCell ref="E293:F293"/>
    <mergeCell ref="G293:H293"/>
    <mergeCell ref="I293:J293"/>
    <mergeCell ref="B291:D291"/>
    <mergeCell ref="E291:F291"/>
    <mergeCell ref="G291:H291"/>
    <mergeCell ref="I291:J291"/>
    <mergeCell ref="B296:D296"/>
    <mergeCell ref="E296:F296"/>
    <mergeCell ref="G296:H296"/>
    <mergeCell ref="I296:J296"/>
    <mergeCell ref="B294:D294"/>
    <mergeCell ref="E294:F294"/>
    <mergeCell ref="G294:H294"/>
    <mergeCell ref="I294:J294"/>
    <mergeCell ref="A295:J295"/>
    <mergeCell ref="B299:D299"/>
    <mergeCell ref="G299:H299"/>
    <mergeCell ref="I299:J299"/>
    <mergeCell ref="B300:D300"/>
    <mergeCell ref="G300:H300"/>
    <mergeCell ref="I300:J300"/>
    <mergeCell ref="B297:D297"/>
    <mergeCell ref="G297:H297"/>
    <mergeCell ref="I297:J297"/>
    <mergeCell ref="B298:D298"/>
    <mergeCell ref="G298:H298"/>
    <mergeCell ref="I298:J298"/>
    <mergeCell ref="E297:F297"/>
    <mergeCell ref="B303:D303"/>
    <mergeCell ref="G303:H303"/>
    <mergeCell ref="I303:J303"/>
    <mergeCell ref="B304:D304"/>
    <mergeCell ref="G304:H304"/>
    <mergeCell ref="I304:J304"/>
    <mergeCell ref="B301:D301"/>
    <mergeCell ref="G301:H301"/>
    <mergeCell ref="I301:J301"/>
    <mergeCell ref="B302:D302"/>
    <mergeCell ref="G302:H302"/>
    <mergeCell ref="I302:J302"/>
    <mergeCell ref="B307:D307"/>
    <mergeCell ref="G307:H307"/>
    <mergeCell ref="I307:J307"/>
    <mergeCell ref="B308:D308"/>
    <mergeCell ref="G308:H308"/>
    <mergeCell ref="I308:J308"/>
    <mergeCell ref="B305:D305"/>
    <mergeCell ref="G305:H305"/>
    <mergeCell ref="I305:J305"/>
    <mergeCell ref="B306:D306"/>
    <mergeCell ref="G306:H306"/>
    <mergeCell ref="I306:J306"/>
    <mergeCell ref="E305:F305"/>
    <mergeCell ref="B313:D313"/>
    <mergeCell ref="E313:F313"/>
    <mergeCell ref="G313:H313"/>
    <mergeCell ref="I313:J313"/>
    <mergeCell ref="B309:D309"/>
    <mergeCell ref="G309:H309"/>
    <mergeCell ref="I309:J309"/>
    <mergeCell ref="A311:J311"/>
    <mergeCell ref="B310:D310"/>
    <mergeCell ref="E310:F310"/>
    <mergeCell ref="G310:H310"/>
    <mergeCell ref="I310:J310"/>
    <mergeCell ref="A312:J312"/>
    <mergeCell ref="B316:D316"/>
    <mergeCell ref="G316:H316"/>
    <mergeCell ref="I316:J316"/>
    <mergeCell ref="B317:D317"/>
    <mergeCell ref="G317:H317"/>
    <mergeCell ref="I317:J317"/>
    <mergeCell ref="B314:D314"/>
    <mergeCell ref="G314:H314"/>
    <mergeCell ref="I314:J314"/>
    <mergeCell ref="B315:D315"/>
    <mergeCell ref="G315:H315"/>
    <mergeCell ref="I315:J315"/>
    <mergeCell ref="E314:F314"/>
    <mergeCell ref="B320:D320"/>
    <mergeCell ref="E320:F320"/>
    <mergeCell ref="G320:H320"/>
    <mergeCell ref="I320:J320"/>
    <mergeCell ref="B318:D318"/>
    <mergeCell ref="E318:F318"/>
    <mergeCell ref="G318:H318"/>
    <mergeCell ref="I318:J318"/>
    <mergeCell ref="A319:J319"/>
    <mergeCell ref="B323:D323"/>
    <mergeCell ref="G323:H323"/>
    <mergeCell ref="I323:J323"/>
    <mergeCell ref="B324:D324"/>
    <mergeCell ref="G324:H324"/>
    <mergeCell ref="I324:J324"/>
    <mergeCell ref="B321:D321"/>
    <mergeCell ref="G321:H321"/>
    <mergeCell ref="I321:J321"/>
    <mergeCell ref="B322:D322"/>
    <mergeCell ref="G322:H322"/>
    <mergeCell ref="I322:J322"/>
    <mergeCell ref="E321:F321"/>
    <mergeCell ref="B327:D327"/>
    <mergeCell ref="E327:F327"/>
    <mergeCell ref="G327:H327"/>
    <mergeCell ref="I327:J327"/>
    <mergeCell ref="B325:D325"/>
    <mergeCell ref="E325:F325"/>
    <mergeCell ref="G325:H325"/>
    <mergeCell ref="I325:J325"/>
    <mergeCell ref="A326:J326"/>
    <mergeCell ref="B330:D330"/>
    <mergeCell ref="G330:H330"/>
    <mergeCell ref="I330:J330"/>
    <mergeCell ref="B331:D331"/>
    <mergeCell ref="G331:H331"/>
    <mergeCell ref="I331:J331"/>
    <mergeCell ref="B328:D328"/>
    <mergeCell ref="G328:H328"/>
    <mergeCell ref="I328:J328"/>
    <mergeCell ref="B329:D329"/>
    <mergeCell ref="G329:H329"/>
    <mergeCell ref="I329:J329"/>
    <mergeCell ref="E328:F328"/>
    <mergeCell ref="B334:D334"/>
    <mergeCell ref="E334:F334"/>
    <mergeCell ref="G334:H334"/>
    <mergeCell ref="I334:J334"/>
    <mergeCell ref="B332:D332"/>
    <mergeCell ref="E332:F332"/>
    <mergeCell ref="G332:H332"/>
    <mergeCell ref="I332:J332"/>
    <mergeCell ref="A333:J333"/>
    <mergeCell ref="B337:D337"/>
    <mergeCell ref="G337:H337"/>
    <mergeCell ref="I337:J337"/>
    <mergeCell ref="B338:D338"/>
    <mergeCell ref="G338:H338"/>
    <mergeCell ref="I338:J338"/>
    <mergeCell ref="B335:D335"/>
    <mergeCell ref="G335:H335"/>
    <mergeCell ref="I335:J335"/>
    <mergeCell ref="B336:D336"/>
    <mergeCell ref="G336:H336"/>
    <mergeCell ref="I336:J336"/>
    <mergeCell ref="E335:F335"/>
    <mergeCell ref="B341:D341"/>
    <mergeCell ref="E341:F341"/>
    <mergeCell ref="G341:H341"/>
    <mergeCell ref="I341:J341"/>
    <mergeCell ref="B339:D339"/>
    <mergeCell ref="E339:F339"/>
    <mergeCell ref="G339:H339"/>
    <mergeCell ref="I339:J339"/>
    <mergeCell ref="A340:J340"/>
    <mergeCell ref="B344:D344"/>
    <mergeCell ref="G344:H344"/>
    <mergeCell ref="I344:J344"/>
    <mergeCell ref="B345:D345"/>
    <mergeCell ref="G345:H345"/>
    <mergeCell ref="I345:J345"/>
    <mergeCell ref="A346:J346"/>
    <mergeCell ref="E348:F348"/>
    <mergeCell ref="B342:D342"/>
    <mergeCell ref="G342:H342"/>
    <mergeCell ref="I342:J342"/>
    <mergeCell ref="B343:D343"/>
    <mergeCell ref="G343:H343"/>
    <mergeCell ref="I343:J343"/>
    <mergeCell ref="E342:F342"/>
    <mergeCell ref="B349:D349"/>
    <mergeCell ref="G349:H349"/>
    <mergeCell ref="I349:J349"/>
    <mergeCell ref="B350:D350"/>
    <mergeCell ref="G350:H350"/>
    <mergeCell ref="I350:J350"/>
    <mergeCell ref="A352:J352"/>
    <mergeCell ref="B347:D347"/>
    <mergeCell ref="E347:F347"/>
    <mergeCell ref="G347:H347"/>
    <mergeCell ref="I347:J347"/>
    <mergeCell ref="B348:D348"/>
    <mergeCell ref="G348:H348"/>
    <mergeCell ref="I348:J348"/>
    <mergeCell ref="B353:D353"/>
    <mergeCell ref="G353:H353"/>
    <mergeCell ref="I353:J353"/>
    <mergeCell ref="B354:D354"/>
    <mergeCell ref="E354:F354"/>
    <mergeCell ref="G354:H354"/>
    <mergeCell ref="I354:J354"/>
    <mergeCell ref="E353:F353"/>
    <mergeCell ref="B351:D351"/>
    <mergeCell ref="G351:H351"/>
    <mergeCell ref="I351:J351"/>
    <mergeCell ref="B357:D357"/>
    <mergeCell ref="G357:H357"/>
    <mergeCell ref="I357:J357"/>
    <mergeCell ref="A358:J358"/>
    <mergeCell ref="E360:F360"/>
    <mergeCell ref="B355:D355"/>
    <mergeCell ref="G355:H355"/>
    <mergeCell ref="I355:J355"/>
    <mergeCell ref="B356:D356"/>
    <mergeCell ref="G356:H356"/>
    <mergeCell ref="I356:J356"/>
    <mergeCell ref="B360:D360"/>
    <mergeCell ref="G360:H360"/>
    <mergeCell ref="I360:J360"/>
    <mergeCell ref="B361:D361"/>
    <mergeCell ref="G361:H361"/>
    <mergeCell ref="I361:J361"/>
    <mergeCell ref="B359:D359"/>
    <mergeCell ref="E359:F359"/>
    <mergeCell ref="G359:H359"/>
    <mergeCell ref="I359:J359"/>
    <mergeCell ref="B362:D362"/>
    <mergeCell ref="G362:H362"/>
    <mergeCell ref="B363:D363"/>
    <mergeCell ref="G363:H363"/>
    <mergeCell ref="I363:J363"/>
    <mergeCell ref="I362:J362"/>
    <mergeCell ref="B364:D364"/>
    <mergeCell ref="G364:H364"/>
    <mergeCell ref="I364:J364"/>
    <mergeCell ref="B368:D368"/>
    <mergeCell ref="E368:F368"/>
    <mergeCell ref="B369:D369"/>
    <mergeCell ref="B370:D370"/>
    <mergeCell ref="A366:J366"/>
    <mergeCell ref="G367:H367"/>
    <mergeCell ref="I367:J367"/>
    <mergeCell ref="G368:H368"/>
    <mergeCell ref="I368:J368"/>
    <mergeCell ref="G369:H369"/>
    <mergeCell ref="I369:J369"/>
    <mergeCell ref="G370:H370"/>
    <mergeCell ref="I370:J370"/>
    <mergeCell ref="B367:D367"/>
    <mergeCell ref="E367:F367"/>
    <mergeCell ref="I382:J382"/>
    <mergeCell ref="B371:D371"/>
    <mergeCell ref="G371:H371"/>
    <mergeCell ref="B372:D372"/>
    <mergeCell ref="G372:H372"/>
    <mergeCell ref="I372:J372"/>
    <mergeCell ref="A373:J373"/>
    <mergeCell ref="A374:A375"/>
    <mergeCell ref="B374:D375"/>
    <mergeCell ref="E374:F375"/>
    <mergeCell ref="G374:J374"/>
    <mergeCell ref="B376:D376"/>
    <mergeCell ref="E376:F376"/>
    <mergeCell ref="G376:J376"/>
    <mergeCell ref="B377:D377"/>
    <mergeCell ref="E377:F377"/>
    <mergeCell ref="B378:D378"/>
    <mergeCell ref="E378:F378"/>
    <mergeCell ref="B379:D379"/>
    <mergeCell ref="E379:F379"/>
    <mergeCell ref="B380:D380"/>
    <mergeCell ref="E380:F380"/>
    <mergeCell ref="G380:J380"/>
    <mergeCell ref="I384:J384"/>
    <mergeCell ref="I385:J385"/>
    <mergeCell ref="I386:J386"/>
    <mergeCell ref="I387:J387"/>
    <mergeCell ref="I388:J388"/>
    <mergeCell ref="I389:J389"/>
    <mergeCell ref="I390:J390"/>
    <mergeCell ref="I391:J391"/>
    <mergeCell ref="A400:B400"/>
    <mergeCell ref="D396:E396"/>
    <mergeCell ref="F396:I396"/>
    <mergeCell ref="A398:B398"/>
    <mergeCell ref="A392:C392"/>
    <mergeCell ref="D393:E393"/>
    <mergeCell ref="F393:I393"/>
    <mergeCell ref="A394:C394"/>
    <mergeCell ref="D395:E395"/>
    <mergeCell ref="F395:I395"/>
  </mergeCells>
  <pageMargins left="0.70866141732283472" right="0.70866141732283472" top="0.74803149606299213" bottom="0.74803149606299213" header="0.31496062992125984" footer="0.31496062992125984"/>
  <pageSetup paperSize="9" scale="44" fitToHeight="2"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0"/>
  <sheetViews>
    <sheetView topLeftCell="A310" workbookViewId="0">
      <selection activeCell="A263" sqref="A263:J326"/>
    </sheetView>
  </sheetViews>
  <sheetFormatPr defaultColWidth="9.140625" defaultRowHeight="15.75" x14ac:dyDescent="0.25"/>
  <cols>
    <col min="1" max="1" width="6.7109375" style="164" customWidth="1"/>
    <col min="2" max="2" width="25" style="164" customWidth="1"/>
    <col min="3" max="3" width="9.140625" style="164"/>
    <col min="4" max="4" width="12.140625" style="164" customWidth="1"/>
    <col min="5" max="5" width="24.7109375" style="164" customWidth="1"/>
    <col min="6" max="6" width="10.7109375" style="164" customWidth="1"/>
    <col min="7" max="7" width="12.28515625" style="164" customWidth="1"/>
    <col min="8" max="8" width="10.7109375" style="164" customWidth="1"/>
    <col min="9" max="9" width="16.28515625" style="164" customWidth="1"/>
    <col min="10" max="10" width="22" style="456" customWidth="1"/>
    <col min="11" max="11" width="81.85546875" style="292" customWidth="1"/>
    <col min="12" max="12" width="23.85546875" style="164" customWidth="1"/>
    <col min="13" max="13" width="13.28515625" style="164" customWidth="1"/>
    <col min="14" max="14" width="22.85546875" style="164" customWidth="1"/>
    <col min="15" max="16" width="9.140625" style="164"/>
    <col min="17" max="17" width="9.5703125" style="164" bestFit="1" customWidth="1"/>
    <col min="18" max="16384" width="9.140625" style="164"/>
  </cols>
  <sheetData>
    <row r="1" spans="1:12" ht="26.25" customHeight="1" x14ac:dyDescent="0.25">
      <c r="A1" s="1182" t="s">
        <v>68</v>
      </c>
      <c r="B1" s="1182"/>
      <c r="C1" s="1182"/>
      <c r="D1" s="1182"/>
      <c r="E1" s="1182"/>
      <c r="F1" s="1182"/>
      <c r="G1" s="1182"/>
      <c r="H1" s="1182"/>
      <c r="I1" s="1182"/>
      <c r="J1" s="1182"/>
    </row>
    <row r="2" spans="1:12" ht="17.25" customHeight="1" x14ac:dyDescent="0.25">
      <c r="A2" s="1182" t="s">
        <v>419</v>
      </c>
      <c r="B2" s="1182"/>
      <c r="C2" s="1182"/>
      <c r="D2" s="1182"/>
      <c r="E2" s="1182"/>
      <c r="F2" s="1182"/>
      <c r="G2" s="1182"/>
      <c r="H2" s="1182"/>
      <c r="I2" s="1182"/>
      <c r="J2" s="1182"/>
    </row>
    <row r="3" spans="1:12" ht="47.25" customHeight="1" x14ac:dyDescent="0.25">
      <c r="A3" s="1182" t="s">
        <v>365</v>
      </c>
      <c r="B3" s="1182"/>
      <c r="C3" s="1182"/>
      <c r="D3" s="1182"/>
      <c r="E3" s="1182"/>
      <c r="F3" s="1182"/>
      <c r="G3" s="1182"/>
      <c r="H3" s="1182"/>
      <c r="I3" s="1182"/>
      <c r="J3" s="1182"/>
    </row>
    <row r="4" spans="1:12" x14ac:dyDescent="0.25">
      <c r="A4" s="324"/>
      <c r="B4" s="325"/>
      <c r="C4" s="325"/>
      <c r="D4" s="326" t="s">
        <v>263</v>
      </c>
      <c r="E4" s="457" t="s">
        <v>1180</v>
      </c>
      <c r="F4" s="327" t="s">
        <v>584</v>
      </c>
      <c r="G4" s="325"/>
      <c r="H4" s="325"/>
      <c r="I4" s="325"/>
      <c r="J4" s="441"/>
    </row>
    <row r="5" spans="1:12" x14ac:dyDescent="0.25">
      <c r="A5" s="1082" t="s">
        <v>0</v>
      </c>
      <c r="B5" s="1082"/>
      <c r="C5" s="1082"/>
      <c r="D5" s="1082"/>
      <c r="E5" s="1082"/>
      <c r="F5" s="1082"/>
      <c r="G5" s="1082"/>
      <c r="H5" s="1082"/>
      <c r="I5" s="1082"/>
      <c r="J5" s="1082"/>
    </row>
    <row r="6" spans="1:12" ht="19.5" customHeight="1" x14ac:dyDescent="0.25">
      <c r="A6" s="324" t="s">
        <v>80</v>
      </c>
      <c r="B6" s="325"/>
      <c r="C6" s="328">
        <v>111</v>
      </c>
      <c r="D6" s="328">
        <v>112</v>
      </c>
      <c r="E6" s="328">
        <v>119</v>
      </c>
      <c r="F6" s="329"/>
      <c r="G6" s="329"/>
      <c r="H6" s="329"/>
      <c r="I6" s="329"/>
      <c r="J6" s="442"/>
    </row>
    <row r="7" spans="1:12" ht="22.5" customHeight="1" x14ac:dyDescent="0.25">
      <c r="A7" s="324" t="s">
        <v>81</v>
      </c>
      <c r="B7" s="325"/>
      <c r="C7" s="325"/>
      <c r="D7" s="325"/>
      <c r="E7" s="330" t="s">
        <v>1167</v>
      </c>
      <c r="F7" s="331"/>
      <c r="G7" s="330"/>
      <c r="H7" s="331"/>
      <c r="I7" s="330"/>
      <c r="J7" s="443"/>
    </row>
    <row r="8" spans="1:12" ht="24.75" customHeight="1" x14ac:dyDescent="0.25">
      <c r="A8" s="1183" t="s">
        <v>350</v>
      </c>
      <c r="B8" s="1183"/>
      <c r="C8" s="1183"/>
      <c r="D8" s="1183"/>
      <c r="E8" s="1183"/>
      <c r="F8" s="1183"/>
      <c r="G8" s="1183"/>
      <c r="H8" s="1183"/>
      <c r="I8" s="1183"/>
      <c r="J8" s="1183"/>
    </row>
    <row r="9" spans="1:12" x14ac:dyDescent="0.25">
      <c r="A9" s="1184" t="s">
        <v>1</v>
      </c>
      <c r="B9" s="1179" t="s">
        <v>2</v>
      </c>
      <c r="C9" s="1179" t="s">
        <v>3</v>
      </c>
      <c r="D9" s="1184" t="s">
        <v>4</v>
      </c>
      <c r="E9" s="1184"/>
      <c r="F9" s="1184"/>
      <c r="G9" s="1184"/>
      <c r="H9" s="1184" t="s">
        <v>5</v>
      </c>
      <c r="I9" s="1131" t="s">
        <v>6</v>
      </c>
      <c r="J9" s="1185" t="s">
        <v>305</v>
      </c>
    </row>
    <row r="10" spans="1:12" ht="33" customHeight="1" x14ac:dyDescent="0.25">
      <c r="A10" s="1184"/>
      <c r="B10" s="1179"/>
      <c r="C10" s="1179"/>
      <c r="D10" s="1179" t="s">
        <v>8</v>
      </c>
      <c r="E10" s="1131" t="s">
        <v>9</v>
      </c>
      <c r="F10" s="1131"/>
      <c r="G10" s="1131"/>
      <c r="H10" s="1184"/>
      <c r="I10" s="1131"/>
      <c r="J10" s="1185"/>
      <c r="K10" s="292">
        <v>1.0389999999999999</v>
      </c>
    </row>
    <row r="11" spans="1:12" ht="75" x14ac:dyDescent="0.25">
      <c r="A11" s="1184"/>
      <c r="B11" s="1179"/>
      <c r="C11" s="1179"/>
      <c r="D11" s="1179"/>
      <c r="E11" s="697" t="s">
        <v>10</v>
      </c>
      <c r="F11" s="697" t="s">
        <v>11</v>
      </c>
      <c r="G11" s="697" t="s">
        <v>12</v>
      </c>
      <c r="H11" s="1184"/>
      <c r="I11" s="1131"/>
      <c r="J11" s="1185"/>
    </row>
    <row r="12" spans="1:12" ht="14.25" customHeight="1" x14ac:dyDescent="0.25">
      <c r="A12" s="550">
        <v>1</v>
      </c>
      <c r="B12" s="332">
        <v>2</v>
      </c>
      <c r="C12" s="332">
        <v>3</v>
      </c>
      <c r="D12" s="332">
        <v>4</v>
      </c>
      <c r="E12" s="550">
        <v>5</v>
      </c>
      <c r="F12" s="550">
        <v>6</v>
      </c>
      <c r="G12" s="550">
        <v>7</v>
      </c>
      <c r="H12" s="550">
        <v>8</v>
      </c>
      <c r="I12" s="550">
        <v>9</v>
      </c>
      <c r="J12" s="584">
        <v>10</v>
      </c>
    </row>
    <row r="13" spans="1:12" s="276" customFormat="1" ht="15.75" customHeight="1" x14ac:dyDescent="0.25">
      <c r="A13" s="1186" t="s">
        <v>351</v>
      </c>
      <c r="B13" s="1131"/>
      <c r="C13" s="1131"/>
      <c r="D13" s="1131"/>
      <c r="E13" s="1131"/>
      <c r="F13" s="1131"/>
      <c r="G13" s="1131"/>
      <c r="H13" s="1131"/>
      <c r="I13" s="1131"/>
      <c r="J13" s="1131"/>
      <c r="K13" s="292"/>
    </row>
    <row r="14" spans="1:12" s="276" customFormat="1" ht="18" customHeight="1" x14ac:dyDescent="0.25">
      <c r="A14" s="1192" t="s">
        <v>420</v>
      </c>
      <c r="B14" s="1188"/>
      <c r="C14" s="1188"/>
      <c r="D14" s="1188"/>
      <c r="E14" s="1188"/>
      <c r="F14" s="1188"/>
      <c r="G14" s="1188"/>
      <c r="H14" s="1188"/>
      <c r="I14" s="1188"/>
      <c r="J14" s="1188"/>
      <c r="K14" s="292"/>
    </row>
    <row r="15" spans="1:12" ht="20.25" customHeight="1" x14ac:dyDescent="0.25">
      <c r="A15" s="760">
        <v>1</v>
      </c>
      <c r="B15" s="334" t="s">
        <v>257</v>
      </c>
      <c r="C15" s="750">
        <v>1</v>
      </c>
      <c r="D15" s="335">
        <f>E15+F15+G15</f>
        <v>72975.073090909093</v>
      </c>
      <c r="E15" s="335">
        <f>7498*1.5*(1.3+1.085)+50</f>
        <v>26874.094999999998</v>
      </c>
      <c r="F15" s="552">
        <v>0</v>
      </c>
      <c r="G15" s="335">
        <f>(E15+F15)*20%+(26353+63244.55)/2.2</f>
        <v>46100.978090909091</v>
      </c>
      <c r="H15" s="591">
        <v>0.5</v>
      </c>
      <c r="I15" s="760">
        <v>1.7</v>
      </c>
      <c r="J15" s="554">
        <f>(((E15*(H15+I15))+F15+G15))*13</f>
        <v>1367911.8321818183</v>
      </c>
      <c r="K15" s="295" t="s">
        <v>729</v>
      </c>
      <c r="L15" s="164">
        <f>C15*D15*(H15+I15)</f>
        <v>160545.16080000001</v>
      </c>
    </row>
    <row r="16" spans="1:12" ht="45" customHeight="1" x14ac:dyDescent="0.25">
      <c r="A16" s="760">
        <v>2</v>
      </c>
      <c r="B16" s="334" t="s">
        <v>421</v>
      </c>
      <c r="C16" s="750">
        <v>2</v>
      </c>
      <c r="D16" s="335">
        <f>E16+F16+G16</f>
        <v>126188.40480000002</v>
      </c>
      <c r="E16" s="335">
        <f>7498*4*1.5*(0.15+1.3+0.883)+(50*4)</f>
        <v>105157.00400000002</v>
      </c>
      <c r="F16" s="552">
        <v>0</v>
      </c>
      <c r="G16" s="335">
        <f t="shared" ref="G16:G20" si="0">(E16+F16)*20%</f>
        <v>21031.400800000003</v>
      </c>
      <c r="H16" s="591">
        <v>0.5</v>
      </c>
      <c r="I16" s="760">
        <v>1.7</v>
      </c>
      <c r="J16" s="554">
        <f t="shared" ref="J16:J20" si="1">(((E16*(H16+I16))+F16+G16))*13</f>
        <v>3280898.5248000007</v>
      </c>
    </row>
    <row r="17" spans="1:12" ht="45" customHeight="1" x14ac:dyDescent="0.25">
      <c r="A17" s="760">
        <v>3</v>
      </c>
      <c r="B17" s="334" t="s">
        <v>422</v>
      </c>
      <c r="C17" s="750">
        <v>1</v>
      </c>
      <c r="D17" s="335">
        <f>E17+F17+G17</f>
        <v>29522.641199999998</v>
      </c>
      <c r="E17" s="335">
        <f>7498*1.5*(1.3+0.883)+50</f>
        <v>24602.200999999997</v>
      </c>
      <c r="F17" s="552">
        <v>0</v>
      </c>
      <c r="G17" s="335">
        <f>(E17+F17)*20%</f>
        <v>4920.4402</v>
      </c>
      <c r="H17" s="591">
        <v>0.5</v>
      </c>
      <c r="I17" s="760">
        <v>1.7</v>
      </c>
      <c r="J17" s="554">
        <f t="shared" si="1"/>
        <v>767588.67119999998</v>
      </c>
    </row>
    <row r="18" spans="1:12" ht="45" customHeight="1" x14ac:dyDescent="0.25">
      <c r="A18" s="760">
        <v>4</v>
      </c>
      <c r="B18" s="334" t="s">
        <v>423</v>
      </c>
      <c r="C18" s="750">
        <v>0.5</v>
      </c>
      <c r="D18" s="335">
        <f t="shared" ref="D18:D65" si="2">E18+F18+G18</f>
        <v>29522.641199999998</v>
      </c>
      <c r="E18" s="335">
        <f>7498*1.5*(1.3+0.883)+50</f>
        <v>24602.200999999997</v>
      </c>
      <c r="F18" s="552">
        <v>0</v>
      </c>
      <c r="G18" s="335">
        <f t="shared" si="0"/>
        <v>4920.4402</v>
      </c>
      <c r="H18" s="591">
        <v>0.5</v>
      </c>
      <c r="I18" s="760">
        <v>1.7</v>
      </c>
      <c r="J18" s="554">
        <f t="shared" si="1"/>
        <v>767588.67119999998</v>
      </c>
    </row>
    <row r="19" spans="1:12" ht="49.5" customHeight="1" x14ac:dyDescent="0.25">
      <c r="A19" s="760">
        <v>5</v>
      </c>
      <c r="B19" s="334" t="s">
        <v>424</v>
      </c>
      <c r="C19" s="750">
        <v>1</v>
      </c>
      <c r="D19" s="335">
        <f t="shared" si="2"/>
        <v>29522.641199999998</v>
      </c>
      <c r="E19" s="335">
        <f>7498*1.5*(1.3+0.883)+50</f>
        <v>24602.200999999997</v>
      </c>
      <c r="F19" s="552">
        <v>0</v>
      </c>
      <c r="G19" s="335">
        <f t="shared" si="0"/>
        <v>4920.4402</v>
      </c>
      <c r="H19" s="591">
        <v>0.5</v>
      </c>
      <c r="I19" s="760">
        <v>1.7</v>
      </c>
      <c r="J19" s="554">
        <f t="shared" si="1"/>
        <v>767588.67119999998</v>
      </c>
    </row>
    <row r="20" spans="1:12" x14ac:dyDescent="0.25">
      <c r="A20" s="760">
        <v>6</v>
      </c>
      <c r="B20" s="334" t="s">
        <v>258</v>
      </c>
      <c r="C20" s="750">
        <v>1</v>
      </c>
      <c r="D20" s="335">
        <f t="shared" si="2"/>
        <v>29522.641199999998</v>
      </c>
      <c r="E20" s="335">
        <f>7498*1.5*(1.3+0.883)+50</f>
        <v>24602.200999999997</v>
      </c>
      <c r="F20" s="552">
        <v>0</v>
      </c>
      <c r="G20" s="335">
        <f t="shared" si="0"/>
        <v>4920.4402</v>
      </c>
      <c r="H20" s="591">
        <v>0.5</v>
      </c>
      <c r="I20" s="760">
        <v>1.7</v>
      </c>
      <c r="J20" s="554">
        <f t="shared" si="1"/>
        <v>767588.67119999998</v>
      </c>
    </row>
    <row r="21" spans="1:12" ht="28.5" x14ac:dyDescent="0.25">
      <c r="A21" s="760"/>
      <c r="B21" s="752" t="s">
        <v>425</v>
      </c>
      <c r="C21" s="336">
        <f>SUM(C15:C20)</f>
        <v>6.5</v>
      </c>
      <c r="D21" s="337">
        <f>SUM(D15:D20)</f>
        <v>317254.04269090918</v>
      </c>
      <c r="E21" s="555" t="s">
        <v>14</v>
      </c>
      <c r="F21" s="555">
        <v>0</v>
      </c>
      <c r="G21" s="555" t="s">
        <v>14</v>
      </c>
      <c r="H21" s="555" t="s">
        <v>14</v>
      </c>
      <c r="I21" s="555" t="s">
        <v>14</v>
      </c>
      <c r="J21" s="556">
        <f>SUM(J15:J20)</f>
        <v>7719165.0417818185</v>
      </c>
      <c r="K21" s="296"/>
    </row>
    <row r="22" spans="1:12" ht="15.75" customHeight="1" x14ac:dyDescent="0.25">
      <c r="A22" s="1187" t="s">
        <v>426</v>
      </c>
      <c r="B22" s="1193"/>
      <c r="C22" s="1193"/>
      <c r="D22" s="1193"/>
      <c r="E22" s="1193"/>
      <c r="F22" s="1193"/>
      <c r="G22" s="1193"/>
      <c r="H22" s="1193"/>
      <c r="I22" s="1193"/>
      <c r="J22" s="1193"/>
    </row>
    <row r="23" spans="1:12" ht="18.75" customHeight="1" x14ac:dyDescent="0.25">
      <c r="A23" s="1147" t="s">
        <v>427</v>
      </c>
      <c r="B23" s="1148"/>
      <c r="C23" s="1148"/>
      <c r="D23" s="1148"/>
      <c r="E23" s="1148"/>
      <c r="F23" s="1148"/>
      <c r="G23" s="1148"/>
      <c r="H23" s="1148"/>
      <c r="I23" s="1148"/>
      <c r="J23" s="1149"/>
    </row>
    <row r="24" spans="1:12" x14ac:dyDescent="0.25">
      <c r="A24" s="760">
        <v>1</v>
      </c>
      <c r="B24" s="334" t="s">
        <v>428</v>
      </c>
      <c r="C24" s="750">
        <v>2.5</v>
      </c>
      <c r="D24" s="335">
        <f>E24+F24+G24</f>
        <v>15266.04</v>
      </c>
      <c r="E24" s="335">
        <f>7498*1.5*1.1+50+300</f>
        <v>12721.7</v>
      </c>
      <c r="F24" s="552">
        <v>0</v>
      </c>
      <c r="G24" s="335">
        <f t="shared" ref="G24:G35" si="3">(E24+F24)*20%</f>
        <v>2544.34</v>
      </c>
      <c r="H24" s="591">
        <v>0.5</v>
      </c>
      <c r="I24" s="760">
        <v>1.7</v>
      </c>
      <c r="J24" s="554">
        <f>((D24*C24)*(H24+I24))*12</f>
        <v>1007558.6400000001</v>
      </c>
      <c r="L24" s="552">
        <f>3200+5461</f>
        <v>8661</v>
      </c>
    </row>
    <row r="25" spans="1:12" ht="75" x14ac:dyDescent="0.25">
      <c r="A25" s="760">
        <v>2</v>
      </c>
      <c r="B25" s="334" t="s">
        <v>429</v>
      </c>
      <c r="C25" s="750">
        <v>1</v>
      </c>
      <c r="D25" s="335">
        <f t="shared" si="2"/>
        <v>15266.04</v>
      </c>
      <c r="E25" s="335">
        <f>7498*1.5*1.1+50+300</f>
        <v>12721.7</v>
      </c>
      <c r="F25" s="552">
        <v>0</v>
      </c>
      <c r="G25" s="335">
        <f t="shared" si="3"/>
        <v>2544.34</v>
      </c>
      <c r="H25" s="591">
        <v>0.5</v>
      </c>
      <c r="I25" s="760">
        <v>1.7</v>
      </c>
      <c r="J25" s="554">
        <f>((D25*C25)*(H25+I25))*12</f>
        <v>403023.45600000012</v>
      </c>
      <c r="L25" s="552">
        <f>4300+3079+2795</f>
        <v>10174</v>
      </c>
    </row>
    <row r="26" spans="1:12" x14ac:dyDescent="0.25">
      <c r="A26" s="760">
        <v>3</v>
      </c>
      <c r="B26" s="334" t="s">
        <v>316</v>
      </c>
      <c r="C26" s="750">
        <v>2.5</v>
      </c>
      <c r="D26" s="335">
        <f t="shared" si="2"/>
        <v>15266.04</v>
      </c>
      <c r="E26" s="335">
        <f>7498*1.5*1.1+50+300</f>
        <v>12721.7</v>
      </c>
      <c r="F26" s="552">
        <v>0</v>
      </c>
      <c r="G26" s="335">
        <f t="shared" si="3"/>
        <v>2544.34</v>
      </c>
      <c r="H26" s="591">
        <v>0.5</v>
      </c>
      <c r="I26" s="760">
        <v>1.7</v>
      </c>
      <c r="J26" s="554">
        <f t="shared" ref="J26:J35" si="4">((D26*C26)*(H26+I26))*12</f>
        <v>1007558.6400000001</v>
      </c>
      <c r="L26" s="552">
        <f>3200+5460</f>
        <v>8660</v>
      </c>
    </row>
    <row r="27" spans="1:12" x14ac:dyDescent="0.25">
      <c r="A27" s="760">
        <v>4</v>
      </c>
      <c r="B27" s="334" t="s">
        <v>614</v>
      </c>
      <c r="C27" s="750">
        <v>2</v>
      </c>
      <c r="D27" s="335">
        <f t="shared" si="2"/>
        <v>15266.04</v>
      </c>
      <c r="E27" s="335">
        <f>7498*1.5*1.1+50+300</f>
        <v>12721.7</v>
      </c>
      <c r="F27" s="552">
        <v>0</v>
      </c>
      <c r="G27" s="335">
        <f t="shared" si="3"/>
        <v>2544.34</v>
      </c>
      <c r="H27" s="591">
        <v>0.5</v>
      </c>
      <c r="I27" s="760">
        <v>1.7</v>
      </c>
      <c r="J27" s="554">
        <f t="shared" si="4"/>
        <v>806046.91200000024</v>
      </c>
      <c r="K27" s="296">
        <f>J36-J34</f>
        <v>20146340.903039999</v>
      </c>
      <c r="L27" s="552">
        <v>4487</v>
      </c>
    </row>
    <row r="28" spans="1:12" x14ac:dyDescent="0.25">
      <c r="A28" s="760">
        <v>5</v>
      </c>
      <c r="B28" s="334" t="s">
        <v>430</v>
      </c>
      <c r="C28" s="750">
        <v>2</v>
      </c>
      <c r="D28" s="335">
        <f t="shared" si="2"/>
        <v>15266.04</v>
      </c>
      <c r="E28" s="335">
        <f>7498*1.5*1.1+50+300</f>
        <v>12721.7</v>
      </c>
      <c r="F28" s="552">
        <v>0</v>
      </c>
      <c r="G28" s="335">
        <f t="shared" si="3"/>
        <v>2544.34</v>
      </c>
      <c r="H28" s="591">
        <v>0.5</v>
      </c>
      <c r="I28" s="760">
        <v>1.7</v>
      </c>
      <c r="J28" s="554">
        <f t="shared" si="4"/>
        <v>806046.91200000024</v>
      </c>
      <c r="L28" s="552">
        <v>3730</v>
      </c>
    </row>
    <row r="29" spans="1:12" x14ac:dyDescent="0.25">
      <c r="A29" s="760">
        <v>6</v>
      </c>
      <c r="B29" s="334" t="s">
        <v>317</v>
      </c>
      <c r="C29" s="750">
        <v>2</v>
      </c>
      <c r="D29" s="335">
        <f t="shared" si="2"/>
        <v>17290.5</v>
      </c>
      <c r="E29" s="335">
        <f>7498*1.5*1.25+50+300</f>
        <v>14408.75</v>
      </c>
      <c r="F29" s="552">
        <v>0</v>
      </c>
      <c r="G29" s="335">
        <f t="shared" si="3"/>
        <v>2881.75</v>
      </c>
      <c r="H29" s="591">
        <v>0.5</v>
      </c>
      <c r="I29" s="760">
        <v>1.7</v>
      </c>
      <c r="J29" s="554">
        <f t="shared" si="4"/>
        <v>912938.40000000014</v>
      </c>
      <c r="L29" s="552">
        <f>1860+3917</f>
        <v>5777</v>
      </c>
    </row>
    <row r="30" spans="1:12" x14ac:dyDescent="0.25">
      <c r="A30" s="760">
        <v>7</v>
      </c>
      <c r="B30" s="334" t="s">
        <v>315</v>
      </c>
      <c r="C30" s="750">
        <v>3</v>
      </c>
      <c r="D30" s="335">
        <f t="shared" si="2"/>
        <v>17290.5</v>
      </c>
      <c r="E30" s="335">
        <f>7498*1.5*1.25+50+300</f>
        <v>14408.75</v>
      </c>
      <c r="F30" s="552">
        <v>0</v>
      </c>
      <c r="G30" s="335">
        <f t="shared" si="3"/>
        <v>2881.75</v>
      </c>
      <c r="H30" s="591">
        <v>0.5</v>
      </c>
      <c r="I30" s="760">
        <v>1.7</v>
      </c>
      <c r="J30" s="554">
        <f t="shared" si="4"/>
        <v>1369407.6</v>
      </c>
      <c r="L30" s="552">
        <f>4300+2923+7169-2000</f>
        <v>12392</v>
      </c>
    </row>
    <row r="31" spans="1:12" x14ac:dyDescent="0.25">
      <c r="A31" s="760">
        <v>8</v>
      </c>
      <c r="B31" s="334" t="s">
        <v>314</v>
      </c>
      <c r="C31" s="750">
        <v>5</v>
      </c>
      <c r="D31" s="335">
        <f t="shared" si="2"/>
        <v>60703.199999999997</v>
      </c>
      <c r="E31" s="335">
        <f>(9289+9520+11244+11244+9289)</f>
        <v>50586</v>
      </c>
      <c r="F31" s="552">
        <v>0</v>
      </c>
      <c r="G31" s="335">
        <f t="shared" si="3"/>
        <v>10117.200000000001</v>
      </c>
      <c r="H31" s="591">
        <v>0.5</v>
      </c>
      <c r="I31" s="760">
        <v>1.7</v>
      </c>
      <c r="J31" s="554">
        <f t="shared" si="4"/>
        <v>8012822.4000000004</v>
      </c>
      <c r="L31" s="552">
        <v>2009</v>
      </c>
    </row>
    <row r="32" spans="1:12" ht="29.25" customHeight="1" x14ac:dyDescent="0.25">
      <c r="A32" s="760">
        <v>9</v>
      </c>
      <c r="B32" s="334" t="s">
        <v>431</v>
      </c>
      <c r="C32" s="750">
        <f>3+7.94</f>
        <v>10.940000000000001</v>
      </c>
      <c r="D32" s="335">
        <f t="shared" si="2"/>
        <v>16615.68</v>
      </c>
      <c r="E32" s="335">
        <f>7498*1.5*1.2+50+300</f>
        <v>13846.4</v>
      </c>
      <c r="F32" s="552">
        <v>0</v>
      </c>
      <c r="G32" s="335">
        <f>(E32+F32)*20%</f>
        <v>2769.28</v>
      </c>
      <c r="H32" s="591">
        <v>0.5</v>
      </c>
      <c r="I32" s="760">
        <v>1.7</v>
      </c>
      <c r="J32" s="554">
        <f t="shared" si="4"/>
        <v>4798874.2348800004</v>
      </c>
      <c r="L32" s="552">
        <v>2009</v>
      </c>
    </row>
    <row r="33" spans="1:17" x14ac:dyDescent="0.25">
      <c r="A33" s="760">
        <v>10</v>
      </c>
      <c r="B33" s="334" t="s">
        <v>317</v>
      </c>
      <c r="C33" s="750">
        <v>0</v>
      </c>
      <c r="D33" s="335">
        <f t="shared" si="2"/>
        <v>15266.04</v>
      </c>
      <c r="E33" s="335">
        <f>7498*1.5*1.1+50+300</f>
        <v>12721.7</v>
      </c>
      <c r="F33" s="552">
        <v>0</v>
      </c>
      <c r="G33" s="335">
        <f t="shared" ref="G33:G34" si="5">(E33+F33)*20%</f>
        <v>2544.34</v>
      </c>
      <c r="H33" s="591">
        <v>0.5</v>
      </c>
      <c r="I33" s="760">
        <v>1.7</v>
      </c>
      <c r="J33" s="554">
        <f t="shared" si="4"/>
        <v>0</v>
      </c>
      <c r="L33" s="552">
        <f t="shared" ref="L33" si="6">(J33+K33)*20%</f>
        <v>0</v>
      </c>
    </row>
    <row r="34" spans="1:17" x14ac:dyDescent="0.25">
      <c r="A34" s="760">
        <v>11</v>
      </c>
      <c r="B34" s="334" t="s">
        <v>432</v>
      </c>
      <c r="C34" s="750">
        <v>78.459999999999994</v>
      </c>
      <c r="D34" s="335">
        <f t="shared" si="2"/>
        <v>21960</v>
      </c>
      <c r="E34" s="335">
        <f>16500+1800</f>
        <v>18300</v>
      </c>
      <c r="F34" s="552">
        <v>0</v>
      </c>
      <c r="G34" s="335">
        <f t="shared" si="5"/>
        <v>3660</v>
      </c>
      <c r="H34" s="591">
        <v>0.5</v>
      </c>
      <c r="I34" s="760">
        <v>1.7</v>
      </c>
      <c r="J34" s="554">
        <f t="shared" si="4"/>
        <v>45486714.240000002</v>
      </c>
      <c r="K34" s="295">
        <f>84769*50*12</f>
        <v>50861400</v>
      </c>
      <c r="L34" s="552">
        <f>6461-2400</f>
        <v>4061</v>
      </c>
    </row>
    <row r="35" spans="1:17" x14ac:dyDescent="0.25">
      <c r="A35" s="760">
        <v>12</v>
      </c>
      <c r="B35" s="334" t="s">
        <v>674</v>
      </c>
      <c r="C35" s="750">
        <v>2.33</v>
      </c>
      <c r="D35" s="335">
        <f t="shared" si="2"/>
        <v>16615.68</v>
      </c>
      <c r="E35" s="335">
        <f>7498*1.5*1.2+50+300</f>
        <v>13846.4</v>
      </c>
      <c r="F35" s="552">
        <v>0</v>
      </c>
      <c r="G35" s="335">
        <f t="shared" si="3"/>
        <v>2769.28</v>
      </c>
      <c r="H35" s="591">
        <v>0.5</v>
      </c>
      <c r="I35" s="760">
        <v>1.7</v>
      </c>
      <c r="J35" s="554">
        <f t="shared" si="4"/>
        <v>1022063.7081600002</v>
      </c>
      <c r="L35" s="552">
        <v>4265</v>
      </c>
    </row>
    <row r="36" spans="1:17" s="278" customFormat="1" x14ac:dyDescent="0.25">
      <c r="A36" s="557"/>
      <c r="B36" s="339" t="s">
        <v>434</v>
      </c>
      <c r="C36" s="338">
        <f>SUM(C24:C35)</f>
        <v>111.72999999999999</v>
      </c>
      <c r="D36" s="338">
        <f t="shared" ref="D36:J36" si="7">SUM(D24:D35)</f>
        <v>242071.80000000002</v>
      </c>
      <c r="E36" s="557">
        <f t="shared" si="7"/>
        <v>201726.5</v>
      </c>
      <c r="F36" s="557">
        <f t="shared" si="7"/>
        <v>0</v>
      </c>
      <c r="G36" s="557">
        <f t="shared" si="7"/>
        <v>40345.300000000003</v>
      </c>
      <c r="H36" s="557">
        <v>0</v>
      </c>
      <c r="I36" s="557">
        <v>0</v>
      </c>
      <c r="J36" s="558">
        <f t="shared" si="7"/>
        <v>65633055.143040001</v>
      </c>
      <c r="K36" s="298">
        <v>73253</v>
      </c>
      <c r="L36" s="278">
        <f>K36*12*68</f>
        <v>59774448</v>
      </c>
      <c r="N36" s="278">
        <v>72</v>
      </c>
      <c r="O36" s="278">
        <v>12</v>
      </c>
      <c r="P36" s="278">
        <v>1.1000000000000001</v>
      </c>
      <c r="Q36" s="278">
        <f>K36*O36*N36*P36</f>
        <v>69619651.200000003</v>
      </c>
    </row>
    <row r="37" spans="1:17" ht="15.75" customHeight="1" x14ac:dyDescent="0.25">
      <c r="A37" s="1147" t="s">
        <v>435</v>
      </c>
      <c r="B37" s="1148"/>
      <c r="C37" s="1148"/>
      <c r="D37" s="1148"/>
      <c r="E37" s="1148"/>
      <c r="F37" s="1148"/>
      <c r="G37" s="1148"/>
      <c r="H37" s="1148"/>
      <c r="I37" s="1148"/>
      <c r="J37" s="1149"/>
      <c r="K37" s="593">
        <f>66*81753*12</f>
        <v>64748376</v>
      </c>
    </row>
    <row r="38" spans="1:17" x14ac:dyDescent="0.25">
      <c r="A38" s="760">
        <v>1</v>
      </c>
      <c r="B38" s="334" t="s">
        <v>441</v>
      </c>
      <c r="C38" s="750">
        <v>2</v>
      </c>
      <c r="D38" s="335">
        <f t="shared" ref="D38:D45" si="8">E38+F38+G38</f>
        <v>17809.569599999999</v>
      </c>
      <c r="E38" s="335">
        <f>7498*1.3*1.42+1000</f>
        <v>14841.307999999999</v>
      </c>
      <c r="F38" s="335">
        <v>0</v>
      </c>
      <c r="G38" s="335">
        <f t="shared" ref="G38:G49" si="9">(E38+F38)*20%</f>
        <v>2968.2615999999998</v>
      </c>
      <c r="H38" s="591">
        <v>0.5</v>
      </c>
      <c r="I38" s="760">
        <v>1.7</v>
      </c>
      <c r="J38" s="554">
        <f>((D38*C38)*(H38+I38))*12</f>
        <v>940345.27488000016</v>
      </c>
      <c r="K38" s="297"/>
    </row>
    <row r="39" spans="1:17" x14ac:dyDescent="0.25">
      <c r="A39" s="760">
        <v>2</v>
      </c>
      <c r="B39" s="334" t="s">
        <v>440</v>
      </c>
      <c r="C39" s="750">
        <v>1.5</v>
      </c>
      <c r="D39" s="335">
        <f t="shared" si="8"/>
        <v>21639.707999999999</v>
      </c>
      <c r="E39" s="335">
        <f>7498*1.5*1.47+1500</f>
        <v>18033.09</v>
      </c>
      <c r="F39" s="335">
        <v>0</v>
      </c>
      <c r="G39" s="335">
        <f t="shared" si="9"/>
        <v>3606.6180000000004</v>
      </c>
      <c r="H39" s="591">
        <v>0.5</v>
      </c>
      <c r="I39" s="760">
        <v>1.7</v>
      </c>
      <c r="J39" s="554">
        <f t="shared" ref="J39:J49" si="10">((D39*C39)*(H39+I39))*12</f>
        <v>856932.43680000002</v>
      </c>
      <c r="K39" s="297"/>
    </row>
    <row r="40" spans="1:17" x14ac:dyDescent="0.25">
      <c r="A40" s="760">
        <v>3</v>
      </c>
      <c r="B40" s="334" t="s">
        <v>439</v>
      </c>
      <c r="C40" s="750">
        <v>1.75</v>
      </c>
      <c r="D40" s="335">
        <f t="shared" si="8"/>
        <v>20050.067999999999</v>
      </c>
      <c r="E40" s="335">
        <f>7498*1.5*1.37+1300</f>
        <v>16708.39</v>
      </c>
      <c r="F40" s="335">
        <v>0</v>
      </c>
      <c r="G40" s="335">
        <f t="shared" si="9"/>
        <v>3341.6779999999999</v>
      </c>
      <c r="H40" s="591">
        <v>0.5</v>
      </c>
      <c r="I40" s="760">
        <v>1.7</v>
      </c>
      <c r="J40" s="554">
        <f t="shared" si="10"/>
        <v>926313.14160000009</v>
      </c>
      <c r="K40" s="297"/>
    </row>
    <row r="41" spans="1:17" x14ac:dyDescent="0.25">
      <c r="A41" s="760">
        <v>4</v>
      </c>
      <c r="B41" s="334" t="s">
        <v>319</v>
      </c>
      <c r="C41" s="750">
        <v>1.25</v>
      </c>
      <c r="D41" s="335">
        <f t="shared" si="8"/>
        <v>17224.725600000002</v>
      </c>
      <c r="E41" s="335">
        <f>7498*1.3*1.37+1000</f>
        <v>14353.938</v>
      </c>
      <c r="F41" s="335">
        <v>0</v>
      </c>
      <c r="G41" s="335">
        <f t="shared" si="9"/>
        <v>2870.7876000000001</v>
      </c>
      <c r="H41" s="591">
        <v>0.5</v>
      </c>
      <c r="I41" s="760">
        <v>1.7</v>
      </c>
      <c r="J41" s="554">
        <f t="shared" si="10"/>
        <v>568415.94480000006</v>
      </c>
      <c r="K41" s="297"/>
    </row>
    <row r="42" spans="1:17" x14ac:dyDescent="0.25">
      <c r="A42" s="760">
        <v>5</v>
      </c>
      <c r="B42" s="334" t="s">
        <v>320</v>
      </c>
      <c r="C42" s="750">
        <v>1</v>
      </c>
      <c r="D42" s="335">
        <f t="shared" si="8"/>
        <v>19690.067999999999</v>
      </c>
      <c r="E42" s="335">
        <f>7498*1.5*1.37+1000</f>
        <v>16408.39</v>
      </c>
      <c r="F42" s="335">
        <v>0</v>
      </c>
      <c r="G42" s="335">
        <f t="shared" si="9"/>
        <v>3281.6779999999999</v>
      </c>
      <c r="H42" s="591">
        <v>0.5</v>
      </c>
      <c r="I42" s="760">
        <v>1.7</v>
      </c>
      <c r="J42" s="554">
        <f t="shared" si="10"/>
        <v>519817.79520000005</v>
      </c>
      <c r="K42" s="297"/>
    </row>
    <row r="43" spans="1:17" x14ac:dyDescent="0.25">
      <c r="A43" s="760">
        <v>6</v>
      </c>
      <c r="B43" s="334" t="s">
        <v>438</v>
      </c>
      <c r="C43" s="750">
        <v>1</v>
      </c>
      <c r="D43" s="335">
        <f t="shared" si="8"/>
        <v>17224.725600000002</v>
      </c>
      <c r="E43" s="335">
        <f>7498*1.3*1.37+1000</f>
        <v>14353.938</v>
      </c>
      <c r="F43" s="335">
        <v>0</v>
      </c>
      <c r="G43" s="335">
        <f t="shared" si="9"/>
        <v>2870.7876000000001</v>
      </c>
      <c r="H43" s="591">
        <v>0.5</v>
      </c>
      <c r="I43" s="760">
        <v>1.7</v>
      </c>
      <c r="J43" s="554">
        <f t="shared" si="10"/>
        <v>454732.75584000011</v>
      </c>
      <c r="K43" s="297"/>
    </row>
    <row r="44" spans="1:17" ht="30" x14ac:dyDescent="0.25">
      <c r="A44" s="760">
        <v>7</v>
      </c>
      <c r="B44" s="334" t="s">
        <v>437</v>
      </c>
      <c r="C44" s="750">
        <v>1</v>
      </c>
      <c r="D44" s="335">
        <f t="shared" si="8"/>
        <v>19690.067999999999</v>
      </c>
      <c r="E44" s="335">
        <f>7498*1.5*1.37+1000</f>
        <v>16408.39</v>
      </c>
      <c r="F44" s="335">
        <v>0</v>
      </c>
      <c r="G44" s="335">
        <f t="shared" si="9"/>
        <v>3281.6779999999999</v>
      </c>
      <c r="H44" s="591">
        <v>0.5</v>
      </c>
      <c r="I44" s="760">
        <v>1.7</v>
      </c>
      <c r="J44" s="554">
        <f t="shared" si="10"/>
        <v>519817.79520000005</v>
      </c>
      <c r="K44" s="297"/>
    </row>
    <row r="45" spans="1:17" ht="30" x14ac:dyDescent="0.25">
      <c r="A45" s="760">
        <v>8</v>
      </c>
      <c r="B45" s="334" t="s">
        <v>436</v>
      </c>
      <c r="C45" s="750">
        <v>1</v>
      </c>
      <c r="D45" s="335">
        <f t="shared" si="8"/>
        <v>19690.067999999999</v>
      </c>
      <c r="E45" s="335">
        <f>7498*1.5*1.37+1000</f>
        <v>16408.39</v>
      </c>
      <c r="F45" s="335">
        <v>0</v>
      </c>
      <c r="G45" s="335">
        <f t="shared" si="9"/>
        <v>3281.6779999999999</v>
      </c>
      <c r="H45" s="591">
        <v>0.5</v>
      </c>
      <c r="I45" s="760">
        <v>1.7</v>
      </c>
      <c r="J45" s="554">
        <f t="shared" si="10"/>
        <v>519817.79520000005</v>
      </c>
      <c r="K45" s="297"/>
    </row>
    <row r="46" spans="1:17" ht="30" x14ac:dyDescent="0.25">
      <c r="A46" s="760">
        <v>9</v>
      </c>
      <c r="B46" s="334" t="s">
        <v>318</v>
      </c>
      <c r="C46" s="750">
        <v>1</v>
      </c>
      <c r="D46" s="335">
        <f t="shared" si="2"/>
        <v>19690.067999999999</v>
      </c>
      <c r="E46" s="335">
        <f>7498*1.5*1.37+1000</f>
        <v>16408.39</v>
      </c>
      <c r="F46" s="335">
        <v>0</v>
      </c>
      <c r="G46" s="335">
        <f t="shared" si="9"/>
        <v>3281.6779999999999</v>
      </c>
      <c r="H46" s="591">
        <v>0.5</v>
      </c>
      <c r="I46" s="760">
        <v>1.7</v>
      </c>
      <c r="J46" s="554">
        <f t="shared" si="10"/>
        <v>519817.79520000005</v>
      </c>
      <c r="K46" s="295"/>
    </row>
    <row r="47" spans="1:17" x14ac:dyDescent="0.25">
      <c r="A47" s="760">
        <v>10</v>
      </c>
      <c r="B47" s="334" t="s">
        <v>442</v>
      </c>
      <c r="C47" s="750">
        <v>1</v>
      </c>
      <c r="D47" s="335">
        <f t="shared" si="2"/>
        <v>19690.067999999999</v>
      </c>
      <c r="E47" s="335">
        <f>7498*1.5*1.37+1000</f>
        <v>16408.39</v>
      </c>
      <c r="F47" s="335">
        <v>0</v>
      </c>
      <c r="G47" s="335">
        <f t="shared" si="9"/>
        <v>3281.6779999999999</v>
      </c>
      <c r="H47" s="591">
        <v>0.5</v>
      </c>
      <c r="I47" s="760">
        <v>1.7</v>
      </c>
      <c r="J47" s="554">
        <f t="shared" si="10"/>
        <v>519817.79520000005</v>
      </c>
    </row>
    <row r="48" spans="1:17" x14ac:dyDescent="0.25">
      <c r="A48" s="760">
        <v>11</v>
      </c>
      <c r="B48" s="334" t="s">
        <v>443</v>
      </c>
      <c r="C48" s="750">
        <v>1</v>
      </c>
      <c r="D48" s="335">
        <f t="shared" si="2"/>
        <v>17224.725600000002</v>
      </c>
      <c r="E48" s="335">
        <f>7498*1.3*1.37+1000</f>
        <v>14353.938</v>
      </c>
      <c r="F48" s="335">
        <v>0</v>
      </c>
      <c r="G48" s="335">
        <f t="shared" si="9"/>
        <v>2870.7876000000001</v>
      </c>
      <c r="H48" s="591">
        <v>0.5</v>
      </c>
      <c r="I48" s="760">
        <v>1.7</v>
      </c>
      <c r="J48" s="554">
        <f t="shared" si="10"/>
        <v>454732.75584000011</v>
      </c>
    </row>
    <row r="49" spans="1:11" x14ac:dyDescent="0.25">
      <c r="A49" s="760">
        <v>12</v>
      </c>
      <c r="B49" s="334" t="s">
        <v>444</v>
      </c>
      <c r="C49" s="750">
        <v>2</v>
      </c>
      <c r="D49" s="335">
        <f t="shared" si="2"/>
        <v>19690.067999999999</v>
      </c>
      <c r="E49" s="335">
        <f>7498*1.5*1.37+1000</f>
        <v>16408.39</v>
      </c>
      <c r="F49" s="335">
        <v>0</v>
      </c>
      <c r="G49" s="335">
        <f t="shared" si="9"/>
        <v>3281.6779999999999</v>
      </c>
      <c r="H49" s="591">
        <v>0.5</v>
      </c>
      <c r="I49" s="760">
        <v>1.7</v>
      </c>
      <c r="J49" s="554">
        <f t="shared" si="10"/>
        <v>1039635.5904000001</v>
      </c>
    </row>
    <row r="50" spans="1:11" s="278" customFormat="1" x14ac:dyDescent="0.25">
      <c r="A50" s="557"/>
      <c r="B50" s="339" t="s">
        <v>445</v>
      </c>
      <c r="C50" s="338">
        <f>SUM(C38:C49)</f>
        <v>15.5</v>
      </c>
      <c r="D50" s="338">
        <f t="shared" ref="D50:J50" si="11">SUM(D38:D49)</f>
        <v>229313.93040000001</v>
      </c>
      <c r="E50" s="557">
        <f t="shared" si="11"/>
        <v>191094.94199999998</v>
      </c>
      <c r="F50" s="557">
        <f t="shared" si="11"/>
        <v>0</v>
      </c>
      <c r="G50" s="557">
        <f t="shared" si="11"/>
        <v>38218.988400000002</v>
      </c>
      <c r="H50" s="557">
        <v>0</v>
      </c>
      <c r="I50" s="557">
        <v>0</v>
      </c>
      <c r="J50" s="558">
        <f t="shared" si="11"/>
        <v>7840196.8761599986</v>
      </c>
      <c r="K50" s="299">
        <f>66*12*71500</f>
        <v>56628000</v>
      </c>
    </row>
    <row r="51" spans="1:11" ht="28.5" x14ac:dyDescent="0.25">
      <c r="A51" s="760"/>
      <c r="B51" s="752" t="s">
        <v>446</v>
      </c>
      <c r="C51" s="336">
        <f>C36+C50</f>
        <v>127.22999999999999</v>
      </c>
      <c r="D51" s="336">
        <f>D36+D50</f>
        <v>471385.7304</v>
      </c>
      <c r="E51" s="555" t="s">
        <v>14</v>
      </c>
      <c r="F51" s="555" t="s">
        <v>14</v>
      </c>
      <c r="G51" s="555" t="s">
        <v>14</v>
      </c>
      <c r="H51" s="555" t="s">
        <v>14</v>
      </c>
      <c r="I51" s="555" t="s">
        <v>14</v>
      </c>
      <c r="J51" s="556">
        <f>J36+J50</f>
        <v>73473252.019199997</v>
      </c>
    </row>
    <row r="52" spans="1:11" ht="15.75" customHeight="1" x14ac:dyDescent="0.25">
      <c r="A52" s="1187" t="s">
        <v>450</v>
      </c>
      <c r="B52" s="1193"/>
      <c r="C52" s="1193"/>
      <c r="D52" s="1193"/>
      <c r="E52" s="1193"/>
      <c r="F52" s="1193"/>
      <c r="G52" s="1193"/>
      <c r="H52" s="1193"/>
      <c r="I52" s="1193"/>
      <c r="J52" s="1193"/>
    </row>
    <row r="53" spans="1:11" x14ac:dyDescent="0.25">
      <c r="A53" s="760">
        <v>1</v>
      </c>
      <c r="B53" s="334" t="s">
        <v>321</v>
      </c>
      <c r="C53" s="750">
        <v>1</v>
      </c>
      <c r="D53" s="335">
        <f t="shared" si="2"/>
        <v>15439.881599999999</v>
      </c>
      <c r="E53" s="335">
        <f>7498*1.3*1.32</f>
        <v>12866.567999999999</v>
      </c>
      <c r="F53" s="335">
        <v>0</v>
      </c>
      <c r="G53" s="335">
        <f>E53*20%</f>
        <v>2573.3136</v>
      </c>
      <c r="H53" s="591">
        <v>0.5</v>
      </c>
      <c r="I53" s="760">
        <v>1.7</v>
      </c>
      <c r="J53" s="554">
        <f>((D53*C53)*(H53+I53))*12</f>
        <v>407612.87424000003</v>
      </c>
      <c r="K53" s="295"/>
    </row>
    <row r="54" spans="1:11" x14ac:dyDescent="0.25">
      <c r="A54" s="760">
        <v>2</v>
      </c>
      <c r="B54" s="334" t="s">
        <v>448</v>
      </c>
      <c r="C54" s="750">
        <v>1</v>
      </c>
      <c r="D54" s="335">
        <f t="shared" si="2"/>
        <v>15439.881599999999</v>
      </c>
      <c r="E54" s="335">
        <f>7498*1.3*1.32</f>
        <v>12866.567999999999</v>
      </c>
      <c r="F54" s="335">
        <v>0</v>
      </c>
      <c r="G54" s="335">
        <f>E54*20%</f>
        <v>2573.3136</v>
      </c>
      <c r="H54" s="591">
        <v>0.5</v>
      </c>
      <c r="I54" s="760">
        <v>1.7</v>
      </c>
      <c r="J54" s="554">
        <f t="shared" ref="J54:J56" si="12">((D54*C54)*(H54+I54))*12</f>
        <v>407612.87424000003</v>
      </c>
      <c r="K54" s="295"/>
    </row>
    <row r="55" spans="1:11" x14ac:dyDescent="0.25">
      <c r="A55" s="760">
        <v>3</v>
      </c>
      <c r="B55" s="334" t="s">
        <v>1170</v>
      </c>
      <c r="C55" s="750">
        <v>1</v>
      </c>
      <c r="D55" s="335">
        <f t="shared" si="2"/>
        <v>15439.881599999999</v>
      </c>
      <c r="E55" s="335">
        <f>7498*1.3*1.32</f>
        <v>12866.567999999999</v>
      </c>
      <c r="F55" s="335">
        <v>0</v>
      </c>
      <c r="G55" s="335">
        <f>E55*20%</f>
        <v>2573.3136</v>
      </c>
      <c r="H55" s="591">
        <v>0.5</v>
      </c>
      <c r="I55" s="760">
        <v>1.7</v>
      </c>
      <c r="J55" s="554">
        <f t="shared" si="12"/>
        <v>407612.87424000003</v>
      </c>
      <c r="K55" s="295"/>
    </row>
    <row r="56" spans="1:11" ht="30" x14ac:dyDescent="0.25">
      <c r="A56" s="760">
        <v>4</v>
      </c>
      <c r="B56" s="334" t="s">
        <v>449</v>
      </c>
      <c r="C56" s="750">
        <v>0.17</v>
      </c>
      <c r="D56" s="335">
        <f t="shared" si="2"/>
        <v>15439.881599999999</v>
      </c>
      <c r="E56" s="335">
        <f>7498*1.3*1.32</f>
        <v>12866.567999999999</v>
      </c>
      <c r="F56" s="335">
        <v>0</v>
      </c>
      <c r="G56" s="335">
        <f>E56*20%</f>
        <v>2573.3136</v>
      </c>
      <c r="H56" s="591">
        <v>0.5</v>
      </c>
      <c r="I56" s="760">
        <v>1.7</v>
      </c>
      <c r="J56" s="554">
        <f t="shared" si="12"/>
        <v>69294.188620800007</v>
      </c>
    </row>
    <row r="57" spans="1:11" ht="28.5" x14ac:dyDescent="0.25">
      <c r="A57" s="760"/>
      <c r="B57" s="752" t="s">
        <v>447</v>
      </c>
      <c r="C57" s="336">
        <f>SUM(C53:C56)</f>
        <v>3.17</v>
      </c>
      <c r="D57" s="340">
        <f>SUM(D53:D56)</f>
        <v>61759.526399999995</v>
      </c>
      <c r="E57" s="555" t="s">
        <v>14</v>
      </c>
      <c r="F57" s="555" t="s">
        <v>14</v>
      </c>
      <c r="G57" s="555" t="s">
        <v>14</v>
      </c>
      <c r="H57" s="555" t="s">
        <v>14</v>
      </c>
      <c r="I57" s="555" t="s">
        <v>14</v>
      </c>
      <c r="J57" s="559">
        <f>SUM(J53:J56)</f>
        <v>1292132.8113408</v>
      </c>
    </row>
    <row r="58" spans="1:11" ht="15.75" customHeight="1" x14ac:dyDescent="0.25">
      <c r="A58" s="1187" t="s">
        <v>451</v>
      </c>
      <c r="B58" s="1188"/>
      <c r="C58" s="1188"/>
      <c r="D58" s="1188"/>
      <c r="E58" s="1188"/>
      <c r="F58" s="1188"/>
      <c r="G58" s="1188"/>
      <c r="H58" s="1188"/>
      <c r="I58" s="1188"/>
      <c r="J58" s="1188"/>
    </row>
    <row r="59" spans="1:11" ht="30" x14ac:dyDescent="0.25">
      <c r="A59" s="760">
        <v>1</v>
      </c>
      <c r="B59" s="334" t="s">
        <v>309</v>
      </c>
      <c r="C59" s="750">
        <v>14</v>
      </c>
      <c r="D59" s="335">
        <f t="shared" si="2"/>
        <v>13514.491199999999</v>
      </c>
      <c r="E59" s="335">
        <f>7498*1.462+300</f>
        <v>11262.075999999999</v>
      </c>
      <c r="F59" s="335">
        <v>0</v>
      </c>
      <c r="G59" s="335">
        <f>(E59+F59)*20%</f>
        <v>2252.4151999999999</v>
      </c>
      <c r="H59" s="591">
        <v>0.5</v>
      </c>
      <c r="I59" s="760">
        <v>1.7</v>
      </c>
      <c r="J59" s="554">
        <f>((D59*C59)*(H59+I59))*12</f>
        <v>4994955.947519999</v>
      </c>
      <c r="K59" s="295"/>
    </row>
    <row r="60" spans="1:11" x14ac:dyDescent="0.25">
      <c r="A60" s="760">
        <v>2</v>
      </c>
      <c r="B60" s="334" t="s">
        <v>452</v>
      </c>
      <c r="C60" s="750">
        <v>1</v>
      </c>
      <c r="D60" s="335">
        <f t="shared" si="2"/>
        <v>13343.440800000002</v>
      </c>
      <c r="E60" s="335">
        <f>7498*1.483</f>
        <v>11119.534000000001</v>
      </c>
      <c r="F60" s="335">
        <v>0</v>
      </c>
      <c r="G60" s="335">
        <f t="shared" ref="G60:G64" si="13">(E60+F60)*20%</f>
        <v>2223.9068000000002</v>
      </c>
      <c r="H60" s="591">
        <v>0.5</v>
      </c>
      <c r="I60" s="760">
        <v>1.7</v>
      </c>
      <c r="J60" s="554">
        <f t="shared" ref="J60:J65" si="14">((D60*C60)*(H60+I60))*12</f>
        <v>352266.83712000004</v>
      </c>
      <c r="K60" s="295"/>
    </row>
    <row r="61" spans="1:11" ht="45" x14ac:dyDescent="0.25">
      <c r="A61" s="760">
        <v>3</v>
      </c>
      <c r="B61" s="334" t="s">
        <v>307</v>
      </c>
      <c r="C61" s="750">
        <v>1.5</v>
      </c>
      <c r="D61" s="335">
        <f t="shared" si="2"/>
        <v>13262.4624</v>
      </c>
      <c r="E61" s="335">
        <f>7498*1.474</f>
        <v>11052.052</v>
      </c>
      <c r="F61" s="335">
        <v>0</v>
      </c>
      <c r="G61" s="335">
        <f t="shared" si="13"/>
        <v>2210.4104000000002</v>
      </c>
      <c r="H61" s="591">
        <v>0.5</v>
      </c>
      <c r="I61" s="760">
        <v>1.7</v>
      </c>
      <c r="J61" s="554">
        <f t="shared" si="14"/>
        <v>525193.51104000001</v>
      </c>
    </row>
    <row r="62" spans="1:11" x14ac:dyDescent="0.25">
      <c r="A62" s="760">
        <v>4</v>
      </c>
      <c r="B62" s="334" t="s">
        <v>310</v>
      </c>
      <c r="C62" s="750">
        <v>0</v>
      </c>
      <c r="D62" s="335">
        <v>0</v>
      </c>
      <c r="E62" s="335">
        <f>7498*1.462</f>
        <v>10962.075999999999</v>
      </c>
      <c r="F62" s="335">
        <v>0</v>
      </c>
      <c r="G62" s="335">
        <f t="shared" si="13"/>
        <v>2192.4151999999999</v>
      </c>
      <c r="H62" s="591">
        <v>0.5</v>
      </c>
      <c r="I62" s="760">
        <v>1.7</v>
      </c>
      <c r="J62" s="554">
        <f t="shared" si="14"/>
        <v>0</v>
      </c>
    </row>
    <row r="63" spans="1:11" x14ac:dyDescent="0.25">
      <c r="A63" s="760">
        <v>5</v>
      </c>
      <c r="B63" s="334" t="s">
        <v>453</v>
      </c>
      <c r="C63" s="750">
        <v>0</v>
      </c>
      <c r="D63" s="335">
        <v>0</v>
      </c>
      <c r="E63" s="335">
        <f>7498*1.462</f>
        <v>10962.075999999999</v>
      </c>
      <c r="F63" s="335">
        <v>0</v>
      </c>
      <c r="G63" s="335">
        <f t="shared" si="13"/>
        <v>2192.4151999999999</v>
      </c>
      <c r="H63" s="591">
        <v>0.5</v>
      </c>
      <c r="I63" s="760">
        <v>1.7</v>
      </c>
      <c r="J63" s="554">
        <f t="shared" si="14"/>
        <v>0</v>
      </c>
    </row>
    <row r="64" spans="1:11" x14ac:dyDescent="0.25">
      <c r="A64" s="760">
        <v>6</v>
      </c>
      <c r="B64" s="334" t="s">
        <v>308</v>
      </c>
      <c r="C64" s="750">
        <v>1</v>
      </c>
      <c r="D64" s="335">
        <f t="shared" si="2"/>
        <v>13208.4768</v>
      </c>
      <c r="E64" s="335">
        <f>7498*1.468</f>
        <v>11007.064</v>
      </c>
      <c r="F64" s="335">
        <v>0</v>
      </c>
      <c r="G64" s="335">
        <f t="shared" si="13"/>
        <v>2201.4128000000001</v>
      </c>
      <c r="H64" s="591">
        <v>0.5</v>
      </c>
      <c r="I64" s="760">
        <v>1.7</v>
      </c>
      <c r="J64" s="554">
        <f t="shared" si="14"/>
        <v>348703.78752000001</v>
      </c>
    </row>
    <row r="65" spans="1:14" x14ac:dyDescent="0.25">
      <c r="A65" s="760">
        <v>7</v>
      </c>
      <c r="B65" s="334" t="s">
        <v>311</v>
      </c>
      <c r="C65" s="750">
        <v>2</v>
      </c>
      <c r="D65" s="335">
        <f t="shared" si="2"/>
        <v>13154.491199999999</v>
      </c>
      <c r="E65" s="335">
        <f>7498*1.462</f>
        <v>10962.075999999999</v>
      </c>
      <c r="F65" s="335">
        <v>0</v>
      </c>
      <c r="G65" s="335">
        <f>(E65+F65)*20%</f>
        <v>2192.4151999999999</v>
      </c>
      <c r="H65" s="591">
        <v>0.5</v>
      </c>
      <c r="I65" s="760">
        <v>1.7</v>
      </c>
      <c r="J65" s="554">
        <f t="shared" si="14"/>
        <v>694557.13535999996</v>
      </c>
    </row>
    <row r="66" spans="1:14" ht="28.5" x14ac:dyDescent="0.25">
      <c r="A66" s="760"/>
      <c r="B66" s="752" t="s">
        <v>454</v>
      </c>
      <c r="C66" s="336">
        <f>SUM(C59:C65)</f>
        <v>19.5</v>
      </c>
      <c r="D66" s="340">
        <f>SUM(D59:D65)</f>
        <v>66483.362400000013</v>
      </c>
      <c r="E66" s="555"/>
      <c r="F66" s="555" t="s">
        <v>14</v>
      </c>
      <c r="G66" s="555" t="s">
        <v>14</v>
      </c>
      <c r="H66" s="555" t="s">
        <v>14</v>
      </c>
      <c r="I66" s="555" t="s">
        <v>14</v>
      </c>
      <c r="J66" s="559">
        <f>SUM(J59:J65)</f>
        <v>6915677.218559999</v>
      </c>
      <c r="K66" s="296"/>
    </row>
    <row r="67" spans="1:14" x14ac:dyDescent="0.25">
      <c r="A67" s="760"/>
      <c r="B67" s="752"/>
      <c r="C67" s="336"/>
      <c r="D67" s="340"/>
      <c r="E67" s="555"/>
      <c r="F67" s="555"/>
      <c r="G67" s="555"/>
      <c r="H67" s="555"/>
      <c r="I67" s="555"/>
      <c r="J67" s="559"/>
      <c r="K67" s="296"/>
    </row>
    <row r="68" spans="1:14" s="276" customFormat="1" x14ac:dyDescent="0.25">
      <c r="A68" s="1145"/>
      <c r="B68" s="1146"/>
      <c r="C68" s="1146"/>
      <c r="D68" s="1146"/>
      <c r="E68" s="1146"/>
      <c r="F68" s="1146"/>
      <c r="G68" s="1146"/>
      <c r="H68" s="1146"/>
      <c r="I68" s="1146"/>
      <c r="J68" s="559">
        <v>0</v>
      </c>
      <c r="K68" s="292"/>
    </row>
    <row r="69" spans="1:14" ht="15.75" customHeight="1" x14ac:dyDescent="0.25">
      <c r="A69" s="1150" t="s">
        <v>324</v>
      </c>
      <c r="B69" s="1150"/>
      <c r="C69" s="336">
        <f>C21+C51+C57+C66</f>
        <v>156.39999999999998</v>
      </c>
      <c r="D69" s="340">
        <f>D21+D51+D57+D66</f>
        <v>916882.66189090919</v>
      </c>
      <c r="E69" s="555" t="s">
        <v>14</v>
      </c>
      <c r="F69" s="555" t="s">
        <v>14</v>
      </c>
      <c r="G69" s="555" t="s">
        <v>14</v>
      </c>
      <c r="H69" s="555" t="s">
        <v>14</v>
      </c>
      <c r="I69" s="555" t="s">
        <v>14</v>
      </c>
      <c r="J69" s="556">
        <f>J21+J51+J57+J66+J68</f>
        <v>89400227.090882599</v>
      </c>
      <c r="K69" s="292" t="s">
        <v>730</v>
      </c>
      <c r="L69" s="277"/>
    </row>
    <row r="70" spans="1:14" ht="30" customHeight="1" x14ac:dyDescent="0.25">
      <c r="A70" s="1147" t="s">
        <v>1209</v>
      </c>
      <c r="B70" s="1194"/>
      <c r="C70" s="1194"/>
      <c r="D70" s="1194"/>
      <c r="E70" s="1194"/>
      <c r="F70" s="1194"/>
      <c r="G70" s="1194"/>
      <c r="H70" s="1194"/>
      <c r="I70" s="1195"/>
      <c r="J70" s="554">
        <f>J69*10%+2061750.200029</f>
        <v>11001772.909117261</v>
      </c>
      <c r="K70" s="420"/>
      <c r="L70" s="277"/>
    </row>
    <row r="71" spans="1:14" ht="21" customHeight="1" x14ac:dyDescent="0.25">
      <c r="A71" s="1308" t="s">
        <v>313</v>
      </c>
      <c r="B71" s="1309"/>
      <c r="C71" s="1309"/>
      <c r="D71" s="1309"/>
      <c r="E71" s="1309"/>
      <c r="F71" s="1309"/>
      <c r="G71" s="1309"/>
      <c r="H71" s="1309"/>
      <c r="I71" s="1309"/>
      <c r="J71" s="554">
        <v>2000000</v>
      </c>
      <c r="K71" s="420" t="s">
        <v>1173</v>
      </c>
      <c r="L71" s="277"/>
    </row>
    <row r="72" spans="1:14" ht="17.25" customHeight="1" x14ac:dyDescent="0.25">
      <c r="A72" s="1147" t="s">
        <v>1210</v>
      </c>
      <c r="B72" s="1148"/>
      <c r="C72" s="1148"/>
      <c r="D72" s="1148"/>
      <c r="E72" s="1148"/>
      <c r="F72" s="1148"/>
      <c r="G72" s="1148"/>
      <c r="H72" s="1148"/>
      <c r="I72" s="1149"/>
      <c r="J72" s="554">
        <v>0</v>
      </c>
      <c r="K72" s="420"/>
      <c r="L72" s="277"/>
    </row>
    <row r="73" spans="1:14" ht="21.75" customHeight="1" x14ac:dyDescent="0.25">
      <c r="A73" s="1147" t="s">
        <v>324</v>
      </c>
      <c r="B73" s="1148"/>
      <c r="C73" s="1148"/>
      <c r="D73" s="1148"/>
      <c r="E73" s="1148"/>
      <c r="F73" s="1148"/>
      <c r="G73" s="1148"/>
      <c r="H73" s="1148"/>
      <c r="I73" s="1149"/>
      <c r="J73" s="559">
        <f>J69+J70+J68+J72+J71</f>
        <v>102401999.99999987</v>
      </c>
      <c r="L73" s="283">
        <v>84800000</v>
      </c>
      <c r="N73" s="341">
        <f>J73-L73</f>
        <v>17601999.999999866</v>
      </c>
    </row>
    <row r="74" spans="1:14" ht="65.25" hidden="1" customHeight="1" x14ac:dyDescent="0.25">
      <c r="A74" s="699"/>
      <c r="B74" s="749" t="s">
        <v>540</v>
      </c>
      <c r="C74" s="749"/>
      <c r="D74" s="749"/>
      <c r="E74" s="699"/>
      <c r="F74" s="699"/>
      <c r="G74" s="699"/>
      <c r="H74" s="699"/>
      <c r="I74" s="699"/>
      <c r="J74" s="554">
        <v>0</v>
      </c>
      <c r="L74" s="283"/>
    </row>
    <row r="75" spans="1:14" ht="20.25" hidden="1" customHeight="1" x14ac:dyDescent="0.25">
      <c r="A75" s="1147" t="s">
        <v>562</v>
      </c>
      <c r="B75" s="1148"/>
      <c r="C75" s="1148"/>
      <c r="D75" s="1148"/>
      <c r="E75" s="1148"/>
      <c r="F75" s="1148"/>
      <c r="G75" s="1148"/>
      <c r="H75" s="1148"/>
      <c r="I75" s="1149"/>
      <c r="J75" s="554">
        <v>0</v>
      </c>
      <c r="L75" s="283"/>
    </row>
    <row r="76" spans="1:14" ht="39.75" hidden="1" customHeight="1" x14ac:dyDescent="0.25">
      <c r="A76" s="1147" t="s">
        <v>534</v>
      </c>
      <c r="B76" s="1148"/>
      <c r="C76" s="1148"/>
      <c r="D76" s="1148"/>
      <c r="E76" s="1148"/>
      <c r="F76" s="1148"/>
      <c r="G76" s="1148"/>
      <c r="H76" s="1148"/>
      <c r="I76" s="1149"/>
      <c r="J76" s="554">
        <v>0</v>
      </c>
      <c r="L76" s="283"/>
    </row>
    <row r="77" spans="1:14" hidden="1" x14ac:dyDescent="0.25">
      <c r="A77" s="561"/>
      <c r="B77" s="342"/>
      <c r="C77" s="751"/>
      <c r="D77" s="343"/>
      <c r="E77" s="698"/>
      <c r="F77" s="698"/>
      <c r="G77" s="698"/>
      <c r="H77" s="698"/>
      <c r="I77" s="698"/>
      <c r="J77" s="563"/>
      <c r="L77" s="283"/>
    </row>
    <row r="78" spans="1:14" hidden="1" x14ac:dyDescent="0.25">
      <c r="A78" s="1131" t="s">
        <v>1</v>
      </c>
      <c r="B78" s="1179" t="s">
        <v>2</v>
      </c>
      <c r="C78" s="1179" t="s">
        <v>3</v>
      </c>
      <c r="D78" s="1184" t="s">
        <v>4</v>
      </c>
      <c r="E78" s="1184"/>
      <c r="F78" s="1184"/>
      <c r="G78" s="1184"/>
      <c r="H78" s="1131" t="s">
        <v>5</v>
      </c>
      <c r="I78" s="1131" t="s">
        <v>6</v>
      </c>
      <c r="J78" s="1185" t="s">
        <v>305</v>
      </c>
      <c r="L78" s="283"/>
    </row>
    <row r="79" spans="1:14" hidden="1" x14ac:dyDescent="0.25">
      <c r="A79" s="1131"/>
      <c r="B79" s="1179"/>
      <c r="C79" s="1179"/>
      <c r="D79" s="1179" t="s">
        <v>8</v>
      </c>
      <c r="E79" s="1184" t="s">
        <v>9</v>
      </c>
      <c r="F79" s="1184"/>
      <c r="G79" s="1184"/>
      <c r="H79" s="1131"/>
      <c r="I79" s="1131"/>
      <c r="J79" s="1185"/>
      <c r="L79" s="283"/>
    </row>
    <row r="80" spans="1:14" ht="75" hidden="1" x14ac:dyDescent="0.25">
      <c r="A80" s="1131"/>
      <c r="B80" s="1179"/>
      <c r="C80" s="1179"/>
      <c r="D80" s="1179"/>
      <c r="E80" s="697" t="s">
        <v>10</v>
      </c>
      <c r="F80" s="697" t="s">
        <v>11</v>
      </c>
      <c r="G80" s="697" t="s">
        <v>12</v>
      </c>
      <c r="H80" s="1131"/>
      <c r="I80" s="1131"/>
      <c r="J80" s="1185"/>
      <c r="L80" s="283"/>
    </row>
    <row r="81" spans="1:14" hidden="1" x14ac:dyDescent="0.25">
      <c r="A81" s="695">
        <v>1</v>
      </c>
      <c r="B81" s="750">
        <v>2</v>
      </c>
      <c r="C81" s="750">
        <v>3</v>
      </c>
      <c r="D81" s="750">
        <v>4</v>
      </c>
      <c r="E81" s="695">
        <v>5</v>
      </c>
      <c r="F81" s="695">
        <v>6</v>
      </c>
      <c r="G81" s="695">
        <v>7</v>
      </c>
      <c r="H81" s="695">
        <v>8</v>
      </c>
      <c r="I81" s="695">
        <v>9</v>
      </c>
      <c r="J81" s="554">
        <v>10</v>
      </c>
      <c r="L81" s="283"/>
    </row>
    <row r="82" spans="1:14" hidden="1" x14ac:dyDescent="0.25">
      <c r="A82" s="1187" t="s">
        <v>306</v>
      </c>
      <c r="B82" s="1188"/>
      <c r="C82" s="1188"/>
      <c r="D82" s="1188"/>
      <c r="E82" s="1188"/>
      <c r="F82" s="1188"/>
      <c r="G82" s="1188"/>
      <c r="H82" s="1188"/>
      <c r="I82" s="1188"/>
      <c r="J82" s="1188"/>
      <c r="L82" s="283"/>
    </row>
    <row r="83" spans="1:14" ht="45" hidden="1" x14ac:dyDescent="0.25">
      <c r="A83" s="695">
        <v>1</v>
      </c>
      <c r="B83" s="334" t="s">
        <v>307</v>
      </c>
      <c r="C83" s="750"/>
      <c r="D83" s="344">
        <f>E83+F83+G83</f>
        <v>0</v>
      </c>
      <c r="E83" s="554"/>
      <c r="F83" s="554"/>
      <c r="G83" s="554">
        <f>(E83+F83)*20%</f>
        <v>0</v>
      </c>
      <c r="H83" s="553">
        <v>50</v>
      </c>
      <c r="I83" s="695">
        <v>1.7</v>
      </c>
      <c r="J83" s="554">
        <f>(C83*D83*(H83/100+I83))*12.5</f>
        <v>0</v>
      </c>
      <c r="L83" s="283"/>
    </row>
    <row r="84" spans="1:14" ht="15.75" hidden="1" customHeight="1" x14ac:dyDescent="0.25">
      <c r="A84" s="695">
        <v>2</v>
      </c>
      <c r="B84" s="334" t="s">
        <v>308</v>
      </c>
      <c r="C84" s="750"/>
      <c r="D84" s="344">
        <f t="shared" ref="D84:D85" si="15">E84+F84+G84</f>
        <v>0</v>
      </c>
      <c r="E84" s="554"/>
      <c r="F84" s="554"/>
      <c r="G84" s="554">
        <f>(E84+F84)*20%</f>
        <v>0</v>
      </c>
      <c r="H84" s="553">
        <v>50</v>
      </c>
      <c r="I84" s="695">
        <v>1.7</v>
      </c>
      <c r="J84" s="554">
        <f>(C84*D84*(H84/100+I84))*12.5</f>
        <v>0</v>
      </c>
      <c r="L84" s="283"/>
    </row>
    <row r="85" spans="1:14" ht="30" hidden="1" x14ac:dyDescent="0.25">
      <c r="A85" s="695">
        <v>3</v>
      </c>
      <c r="B85" s="334" t="s">
        <v>309</v>
      </c>
      <c r="C85" s="750"/>
      <c r="D85" s="344">
        <f t="shared" si="15"/>
        <v>0</v>
      </c>
      <c r="E85" s="554"/>
      <c r="F85" s="554"/>
      <c r="G85" s="554">
        <f>(E85+F85)*20%</f>
        <v>0</v>
      </c>
      <c r="H85" s="553">
        <v>50</v>
      </c>
      <c r="I85" s="695">
        <v>1.7</v>
      </c>
      <c r="J85" s="554">
        <f>(C85*D85*(H85/100+I85))*12.5</f>
        <v>0</v>
      </c>
      <c r="L85" s="283"/>
    </row>
    <row r="86" spans="1:14" hidden="1" x14ac:dyDescent="0.25">
      <c r="A86" s="695">
        <v>4</v>
      </c>
      <c r="B86" s="334" t="s">
        <v>310</v>
      </c>
      <c r="C86" s="750"/>
      <c r="D86" s="344">
        <f>E86+F86+G86</f>
        <v>0</v>
      </c>
      <c r="E86" s="554"/>
      <c r="F86" s="554"/>
      <c r="G86" s="554">
        <f>(E86+F86)*20%</f>
        <v>0</v>
      </c>
      <c r="H86" s="553">
        <v>50</v>
      </c>
      <c r="I86" s="695">
        <v>1.7</v>
      </c>
      <c r="J86" s="554">
        <f>(C86*D86*(H86/100+I86))*12.5</f>
        <v>0</v>
      </c>
      <c r="L86" s="283"/>
    </row>
    <row r="87" spans="1:14" ht="21.75" hidden="1" customHeight="1" x14ac:dyDescent="0.25">
      <c r="A87" s="695">
        <v>5</v>
      </c>
      <c r="B87" s="334" t="s">
        <v>311</v>
      </c>
      <c r="C87" s="750"/>
      <c r="D87" s="344">
        <f t="shared" ref="D87" si="16">E87+F87+G87</f>
        <v>0</v>
      </c>
      <c r="E87" s="554"/>
      <c r="F87" s="554"/>
      <c r="G87" s="554">
        <f t="shared" ref="G87" si="17">(E87+F87)*20%</f>
        <v>0</v>
      </c>
      <c r="H87" s="553">
        <v>50</v>
      </c>
      <c r="I87" s="695">
        <v>1.7</v>
      </c>
      <c r="J87" s="554">
        <f>(C87*D87*(H87/100+I87))*12.5</f>
        <v>0</v>
      </c>
      <c r="K87" s="297"/>
      <c r="L87" s="283"/>
    </row>
    <row r="88" spans="1:14" ht="16.5" hidden="1" customHeight="1" x14ac:dyDescent="0.25">
      <c r="A88" s="695"/>
      <c r="B88" s="749" t="s">
        <v>312</v>
      </c>
      <c r="C88" s="345">
        <f>SUM(C83:C87)</f>
        <v>0</v>
      </c>
      <c r="D88" s="346">
        <f>SUM(D83:D87)</f>
        <v>0</v>
      </c>
      <c r="E88" s="564" t="s">
        <v>14</v>
      </c>
      <c r="F88" s="564" t="s">
        <v>14</v>
      </c>
      <c r="G88" s="564" t="s">
        <v>14</v>
      </c>
      <c r="H88" s="564" t="s">
        <v>14</v>
      </c>
      <c r="I88" s="564" t="s">
        <v>14</v>
      </c>
      <c r="J88" s="554">
        <f>SUM(J83:J87)</f>
        <v>0</v>
      </c>
      <c r="L88" s="283"/>
    </row>
    <row r="89" spans="1:14" ht="15.75" hidden="1" customHeight="1" x14ac:dyDescent="0.25">
      <c r="A89" s="1189" t="s">
        <v>336</v>
      </c>
      <c r="B89" s="1190"/>
      <c r="C89" s="1190"/>
      <c r="D89" s="1190"/>
      <c r="E89" s="1190"/>
      <c r="F89" s="1190"/>
      <c r="G89" s="1190"/>
      <c r="H89" s="1190"/>
      <c r="I89" s="1191"/>
      <c r="J89" s="554"/>
      <c r="L89" s="283"/>
    </row>
    <row r="90" spans="1:14" s="276" customFormat="1" hidden="1" x14ac:dyDescent="0.25">
      <c r="A90" s="1189" t="s">
        <v>669</v>
      </c>
      <c r="B90" s="1190"/>
      <c r="C90" s="1190"/>
      <c r="D90" s="1190"/>
      <c r="E90" s="1190"/>
      <c r="F90" s="1190"/>
      <c r="G90" s="1190"/>
      <c r="H90" s="1190"/>
      <c r="I90" s="1191"/>
      <c r="J90" s="554">
        <v>0</v>
      </c>
      <c r="K90" s="292"/>
      <c r="L90" s="283"/>
    </row>
    <row r="91" spans="1:14" s="276" customFormat="1" x14ac:dyDescent="0.25">
      <c r="A91" s="1211" t="s">
        <v>372</v>
      </c>
      <c r="B91" s="1212"/>
      <c r="C91" s="1212"/>
      <c r="D91" s="1212"/>
      <c r="E91" s="1212"/>
      <c r="F91" s="1212"/>
      <c r="G91" s="1212"/>
      <c r="H91" s="1212"/>
      <c r="I91" s="1213"/>
      <c r="J91" s="559">
        <v>216000</v>
      </c>
      <c r="K91" s="292"/>
      <c r="L91" s="283"/>
      <c r="N91" s="276">
        <v>98000</v>
      </c>
    </row>
    <row r="92" spans="1:14" s="276" customFormat="1" x14ac:dyDescent="0.25">
      <c r="A92" s="1173" t="s">
        <v>456</v>
      </c>
      <c r="B92" s="1174"/>
      <c r="C92" s="1174"/>
      <c r="D92" s="1174"/>
      <c r="E92" s="1174"/>
      <c r="F92" s="1174"/>
      <c r="G92" s="1174"/>
      <c r="H92" s="1174"/>
      <c r="I92" s="1174"/>
      <c r="J92" s="1175"/>
      <c r="K92" s="292"/>
      <c r="L92" s="283"/>
    </row>
    <row r="93" spans="1:14" ht="31.5" customHeight="1" x14ac:dyDescent="0.25">
      <c r="A93" s="1151" t="s">
        <v>737</v>
      </c>
      <c r="B93" s="1152"/>
      <c r="C93" s="750">
        <v>2</v>
      </c>
      <c r="D93" s="344">
        <f>D88</f>
        <v>0</v>
      </c>
      <c r="E93" s="695" t="s">
        <v>14</v>
      </c>
      <c r="F93" s="695" t="s">
        <v>14</v>
      </c>
      <c r="G93" s="695" t="s">
        <v>14</v>
      </c>
      <c r="H93" s="695" t="s">
        <v>14</v>
      </c>
      <c r="I93" s="695" t="s">
        <v>14</v>
      </c>
      <c r="J93" s="554">
        <f>216000+22000</f>
        <v>238000</v>
      </c>
      <c r="K93" s="297"/>
      <c r="L93" s="283"/>
    </row>
    <row r="94" spans="1:14" ht="21" customHeight="1" x14ac:dyDescent="0.25">
      <c r="A94" s="1177" t="s">
        <v>455</v>
      </c>
      <c r="B94" s="1178"/>
      <c r="C94" s="1178"/>
      <c r="D94" s="1178"/>
      <c r="E94" s="1178"/>
      <c r="F94" s="1178"/>
      <c r="G94" s="1178"/>
      <c r="H94" s="1178"/>
      <c r="I94" s="1178"/>
      <c r="J94" s="565">
        <f>J93+J73+J76+J74+J75</f>
        <v>102639999.99999987</v>
      </c>
      <c r="K94" s="297">
        <f>9000000*12+10%</f>
        <v>108000000.09999999</v>
      </c>
      <c r="L94" s="283">
        <f>J73+J74+J75+J76+J93</f>
        <v>102639999.99999987</v>
      </c>
    </row>
    <row r="95" spans="1:14" ht="21" customHeight="1" x14ac:dyDescent="0.25">
      <c r="A95" s="566"/>
      <c r="B95" s="212"/>
      <c r="C95" s="691"/>
      <c r="D95" s="214"/>
      <c r="E95" s="701"/>
      <c r="F95" s="701"/>
      <c r="G95" s="701"/>
      <c r="H95" s="701"/>
      <c r="I95" s="701"/>
      <c r="J95" s="567"/>
      <c r="K95" s="297"/>
      <c r="L95" s="277"/>
    </row>
    <row r="96" spans="1:14" ht="20.25" customHeight="1" x14ac:dyDescent="0.25">
      <c r="A96" s="1154" t="s">
        <v>536</v>
      </c>
      <c r="B96" s="1155"/>
      <c r="C96" s="1155"/>
      <c r="D96" s="1155"/>
      <c r="E96" s="1155"/>
      <c r="F96" s="1155"/>
      <c r="G96" s="1155"/>
      <c r="H96" s="1155"/>
      <c r="I96" s="1155"/>
      <c r="J96" s="1156"/>
    </row>
    <row r="97" spans="1:14" ht="30" customHeight="1" x14ac:dyDescent="0.25">
      <c r="A97" s="688" t="s">
        <v>1</v>
      </c>
      <c r="B97" s="1176" t="s">
        <v>44</v>
      </c>
      <c r="C97" s="1176"/>
      <c r="D97" s="1176"/>
      <c r="E97" s="1153" t="s">
        <v>45</v>
      </c>
      <c r="F97" s="1153"/>
      <c r="G97" s="1153" t="s">
        <v>46</v>
      </c>
      <c r="H97" s="1153"/>
      <c r="I97" s="1153" t="s">
        <v>102</v>
      </c>
      <c r="J97" s="1153"/>
    </row>
    <row r="98" spans="1:14" ht="16.5" customHeight="1" x14ac:dyDescent="0.25">
      <c r="A98" s="702">
        <v>1</v>
      </c>
      <c r="B98" s="1015">
        <v>2</v>
      </c>
      <c r="C98" s="1015"/>
      <c r="D98" s="1015"/>
      <c r="E98" s="1205">
        <v>3</v>
      </c>
      <c r="F98" s="1205"/>
      <c r="G98" s="1205">
        <v>4</v>
      </c>
      <c r="H98" s="1205"/>
      <c r="I98" s="1205">
        <v>5</v>
      </c>
      <c r="J98" s="1205"/>
    </row>
    <row r="99" spans="1:14" ht="30.75" hidden="1" customHeight="1" x14ac:dyDescent="0.25">
      <c r="A99" s="570">
        <v>1</v>
      </c>
      <c r="B99" s="1066" t="s">
        <v>1083</v>
      </c>
      <c r="C99" s="1067"/>
      <c r="D99" s="1068"/>
      <c r="E99" s="1157">
        <v>0</v>
      </c>
      <c r="F99" s="1157"/>
      <c r="G99" s="1158">
        <v>0</v>
      </c>
      <c r="H99" s="1158"/>
      <c r="I99" s="1159">
        <v>0</v>
      </c>
      <c r="J99" s="1159"/>
    </row>
    <row r="100" spans="1:14" ht="47.25" customHeight="1" x14ac:dyDescent="0.25">
      <c r="A100" s="570">
        <v>2</v>
      </c>
      <c r="B100" s="1066" t="s">
        <v>537</v>
      </c>
      <c r="C100" s="1067"/>
      <c r="D100" s="1068"/>
      <c r="E100" s="1157">
        <v>4200</v>
      </c>
      <c r="F100" s="1157"/>
      <c r="G100" s="1158">
        <v>72</v>
      </c>
      <c r="H100" s="1158"/>
      <c r="I100" s="1159">
        <v>900000</v>
      </c>
      <c r="J100" s="1159"/>
    </row>
    <row r="101" spans="1:14" ht="22.5" customHeight="1" x14ac:dyDescent="0.25">
      <c r="A101" s="700"/>
      <c r="B101" s="1164" t="s">
        <v>324</v>
      </c>
      <c r="C101" s="1165"/>
      <c r="D101" s="1166"/>
      <c r="E101" s="1167" t="s">
        <v>14</v>
      </c>
      <c r="F101" s="1168"/>
      <c r="G101" s="1167" t="s">
        <v>14</v>
      </c>
      <c r="H101" s="1201"/>
      <c r="I101" s="1160">
        <f>I100+I99</f>
        <v>900000</v>
      </c>
      <c r="J101" s="1161"/>
    </row>
    <row r="102" spans="1:14" s="276" customFormat="1" ht="40.5" customHeight="1" x14ac:dyDescent="0.25">
      <c r="A102" s="1206" t="s">
        <v>353</v>
      </c>
      <c r="B102" s="1206"/>
      <c r="C102" s="1206"/>
      <c r="D102" s="1206"/>
      <c r="E102" s="1206"/>
      <c r="F102" s="1206"/>
      <c r="G102" s="1206"/>
      <c r="H102" s="1206"/>
      <c r="I102" s="1206"/>
      <c r="J102" s="1206"/>
      <c r="K102" s="292"/>
    </row>
    <row r="103" spans="1:14" ht="38.25" x14ac:dyDescent="0.25">
      <c r="A103" s="681" t="s">
        <v>1</v>
      </c>
      <c r="B103" s="1015" t="s">
        <v>15</v>
      </c>
      <c r="C103" s="1015"/>
      <c r="D103" s="1015"/>
      <c r="E103" s="1015" t="s">
        <v>16</v>
      </c>
      <c r="F103" s="1015"/>
      <c r="G103" s="681" t="s">
        <v>17</v>
      </c>
      <c r="H103" s="681" t="s">
        <v>18</v>
      </c>
      <c r="I103" s="1015" t="s">
        <v>104</v>
      </c>
      <c r="J103" s="1015"/>
      <c r="K103" s="1063" t="s">
        <v>1117</v>
      </c>
    </row>
    <row r="104" spans="1:14" ht="15" customHeight="1" x14ac:dyDescent="0.25">
      <c r="A104" s="681">
        <v>1</v>
      </c>
      <c r="B104" s="1015">
        <v>2</v>
      </c>
      <c r="C104" s="1015"/>
      <c r="D104" s="1015"/>
      <c r="E104" s="1015">
        <v>3</v>
      </c>
      <c r="F104" s="1015"/>
      <c r="G104" s="681">
        <v>4</v>
      </c>
      <c r="H104" s="681">
        <v>5</v>
      </c>
      <c r="I104" s="1015">
        <v>6</v>
      </c>
      <c r="J104" s="1015"/>
      <c r="K104" s="1064"/>
    </row>
    <row r="105" spans="1:14" ht="16.5" hidden="1" customHeight="1" x14ac:dyDescent="0.25">
      <c r="A105" s="1031" t="s">
        <v>354</v>
      </c>
      <c r="B105" s="1162"/>
      <c r="C105" s="1162"/>
      <c r="D105" s="1162"/>
      <c r="E105" s="1162"/>
      <c r="F105" s="1162"/>
      <c r="G105" s="1162"/>
      <c r="H105" s="1162"/>
      <c r="I105" s="1162"/>
      <c r="J105" s="1163"/>
      <c r="K105" s="1064"/>
    </row>
    <row r="106" spans="1:14" ht="48.75" hidden="1" customHeight="1" x14ac:dyDescent="0.25">
      <c r="A106" s="676" t="s">
        <v>70</v>
      </c>
      <c r="B106" s="1017" t="s">
        <v>355</v>
      </c>
      <c r="C106" s="1018"/>
      <c r="D106" s="1019"/>
      <c r="E106" s="1171">
        <v>0</v>
      </c>
      <c r="F106" s="1172"/>
      <c r="G106" s="676">
        <v>0</v>
      </c>
      <c r="H106" s="676">
        <v>0</v>
      </c>
      <c r="I106" s="1020">
        <f>E106*G106*H106</f>
        <v>0</v>
      </c>
      <c r="J106" s="1020"/>
      <c r="K106" s="1064"/>
    </row>
    <row r="107" spans="1:14" ht="15" customHeight="1" x14ac:dyDescent="0.25">
      <c r="A107" s="1031" t="s">
        <v>356</v>
      </c>
      <c r="B107" s="1162"/>
      <c r="C107" s="1162"/>
      <c r="D107" s="1162"/>
      <c r="E107" s="1162"/>
      <c r="F107" s="1162"/>
      <c r="G107" s="1162"/>
      <c r="H107" s="1162"/>
      <c r="I107" s="1162"/>
      <c r="J107" s="1163"/>
      <c r="K107" s="1065"/>
      <c r="L107" s="164" t="s">
        <v>1156</v>
      </c>
    </row>
    <row r="108" spans="1:14" ht="53.25" customHeight="1" x14ac:dyDescent="0.25">
      <c r="A108" s="669" t="s">
        <v>70</v>
      </c>
      <c r="B108" s="1207" t="s">
        <v>458</v>
      </c>
      <c r="C108" s="1208"/>
      <c r="D108" s="1209"/>
      <c r="E108" s="1202">
        <v>22866.58</v>
      </c>
      <c r="F108" s="1202"/>
      <c r="G108" s="401">
        <v>28</v>
      </c>
      <c r="H108" s="401">
        <v>1</v>
      </c>
      <c r="I108" s="1180">
        <f>E108*G108-264.24+2000</f>
        <v>642000</v>
      </c>
      <c r="J108" s="1181"/>
      <c r="K108" s="1028" t="s">
        <v>1118</v>
      </c>
      <c r="L108" s="164">
        <v>62</v>
      </c>
      <c r="N108" s="164">
        <f>E108*G108</f>
        <v>640264.24</v>
      </c>
    </row>
    <row r="109" spans="1:14" ht="48.75" customHeight="1" x14ac:dyDescent="0.25">
      <c r="A109" s="676" t="s">
        <v>75</v>
      </c>
      <c r="B109" s="1207" t="s">
        <v>459</v>
      </c>
      <c r="C109" s="1208"/>
      <c r="D109" s="1209"/>
      <c r="E109" s="1199">
        <v>17821.11</v>
      </c>
      <c r="F109" s="1199"/>
      <c r="G109" s="347">
        <v>25</v>
      </c>
      <c r="H109" s="684">
        <v>1</v>
      </c>
      <c r="I109" s="1200">
        <f>E109*G109-527.75</f>
        <v>445000</v>
      </c>
      <c r="J109" s="1200"/>
      <c r="K109" s="1030"/>
      <c r="L109" s="164">
        <v>41</v>
      </c>
      <c r="N109" s="164">
        <f>E109*G109</f>
        <v>445527.75</v>
      </c>
    </row>
    <row r="110" spans="1:14" x14ac:dyDescent="0.25">
      <c r="A110" s="1031" t="s">
        <v>357</v>
      </c>
      <c r="B110" s="1162"/>
      <c r="C110" s="1162"/>
      <c r="D110" s="1162"/>
      <c r="E110" s="1162"/>
      <c r="F110" s="1162"/>
      <c r="G110" s="1162"/>
      <c r="H110" s="1162"/>
      <c r="I110" s="1162"/>
      <c r="J110" s="1163"/>
    </row>
    <row r="111" spans="1:14" ht="35.25" customHeight="1" x14ac:dyDescent="0.25">
      <c r="A111" s="676" t="s">
        <v>77</v>
      </c>
      <c r="B111" s="1017" t="s">
        <v>358</v>
      </c>
      <c r="C111" s="1018"/>
      <c r="D111" s="1019"/>
      <c r="E111" s="1196">
        <v>8000</v>
      </c>
      <c r="F111" s="1196"/>
      <c r="G111" s="676">
        <v>5</v>
      </c>
      <c r="H111" s="676">
        <v>1</v>
      </c>
      <c r="I111" s="1197">
        <f>E111*G111</f>
        <v>40000</v>
      </c>
      <c r="J111" s="1197"/>
      <c r="K111" s="304" t="s">
        <v>687</v>
      </c>
    </row>
    <row r="112" spans="1:14" ht="35.25" hidden="1" customHeight="1" x14ac:dyDescent="0.25">
      <c r="A112" s="1031" t="s">
        <v>357</v>
      </c>
      <c r="B112" s="1162"/>
      <c r="C112" s="1162"/>
      <c r="D112" s="1162"/>
      <c r="E112" s="1162"/>
      <c r="F112" s="1162"/>
      <c r="G112" s="1162"/>
      <c r="H112" s="1162"/>
      <c r="I112" s="1162"/>
      <c r="J112" s="1163"/>
    </row>
    <row r="113" spans="1:13" ht="35.25" hidden="1" customHeight="1" x14ac:dyDescent="0.25">
      <c r="A113" s="676">
        <v>4</v>
      </c>
      <c r="B113" s="1026" t="s">
        <v>608</v>
      </c>
      <c r="C113" s="1052"/>
      <c r="D113" s="1027"/>
      <c r="E113" s="1171"/>
      <c r="F113" s="1172"/>
      <c r="G113" s="676"/>
      <c r="H113" s="676"/>
      <c r="I113" s="1203">
        <v>0</v>
      </c>
      <c r="J113" s="1204"/>
    </row>
    <row r="114" spans="1:13" ht="69" hidden="1" customHeight="1" x14ac:dyDescent="0.25">
      <c r="A114" s="676"/>
      <c r="B114" s="1041" t="s">
        <v>479</v>
      </c>
      <c r="C114" s="1042"/>
      <c r="D114" s="1043"/>
      <c r="E114" s="1034" t="s">
        <v>74</v>
      </c>
      <c r="F114" s="1035"/>
      <c r="G114" s="696" t="s">
        <v>74</v>
      </c>
      <c r="H114" s="696" t="s">
        <v>74</v>
      </c>
      <c r="I114" s="1169"/>
      <c r="J114" s="1170"/>
    </row>
    <row r="115" spans="1:13" ht="35.25" hidden="1" customHeight="1" x14ac:dyDescent="0.25">
      <c r="A115" s="676">
        <v>5</v>
      </c>
      <c r="B115" s="1017" t="s">
        <v>529</v>
      </c>
      <c r="C115" s="1018"/>
      <c r="D115" s="1019"/>
      <c r="E115" s="1171"/>
      <c r="F115" s="1172"/>
      <c r="G115" s="676"/>
      <c r="H115" s="676"/>
      <c r="I115" s="1097">
        <v>0</v>
      </c>
      <c r="J115" s="1098"/>
    </row>
    <row r="116" spans="1:13" ht="35.25" hidden="1" customHeight="1" x14ac:dyDescent="0.25">
      <c r="A116" s="676">
        <v>4</v>
      </c>
      <c r="B116" s="1026" t="s">
        <v>604</v>
      </c>
      <c r="C116" s="1052"/>
      <c r="D116" s="1027"/>
      <c r="E116" s="1171"/>
      <c r="F116" s="1172"/>
      <c r="G116" s="676"/>
      <c r="H116" s="676"/>
      <c r="I116" s="1097">
        <v>0</v>
      </c>
      <c r="J116" s="1098"/>
    </row>
    <row r="117" spans="1:13" x14ac:dyDescent="0.25">
      <c r="A117" s="679"/>
      <c r="B117" s="1014" t="s">
        <v>13</v>
      </c>
      <c r="C117" s="1014"/>
      <c r="D117" s="1014"/>
      <c r="E117" s="1053" t="s">
        <v>14</v>
      </c>
      <c r="F117" s="1053"/>
      <c r="G117" s="679" t="s">
        <v>14</v>
      </c>
      <c r="H117" s="679" t="s">
        <v>14</v>
      </c>
      <c r="I117" s="1016">
        <f>I106+I109+I111+I108+I115+I116+I113</f>
        <v>1127000</v>
      </c>
      <c r="J117" s="1016"/>
    </row>
    <row r="118" spans="1:13" ht="19.5" hidden="1" customHeight="1" x14ac:dyDescent="0.25">
      <c r="A118" s="1123" t="s">
        <v>359</v>
      </c>
      <c r="B118" s="1123"/>
      <c r="C118" s="1123"/>
      <c r="D118" s="1123"/>
      <c r="E118" s="1123"/>
      <c r="F118" s="1123"/>
      <c r="G118" s="1123"/>
      <c r="H118" s="1123"/>
      <c r="I118" s="1123"/>
      <c r="J118" s="1123"/>
    </row>
    <row r="119" spans="1:13" ht="51" hidden="1" x14ac:dyDescent="0.25">
      <c r="A119" s="681" t="s">
        <v>1</v>
      </c>
      <c r="B119" s="1015" t="s">
        <v>15</v>
      </c>
      <c r="C119" s="1015"/>
      <c r="D119" s="1015"/>
      <c r="E119" s="1024" t="s">
        <v>20</v>
      </c>
      <c r="F119" s="1025"/>
      <c r="G119" s="681" t="s">
        <v>21</v>
      </c>
      <c r="H119" s="681" t="s">
        <v>22</v>
      </c>
      <c r="I119" s="1015" t="s">
        <v>19</v>
      </c>
      <c r="J119" s="1015"/>
    </row>
    <row r="120" spans="1:13" hidden="1" x14ac:dyDescent="0.25">
      <c r="A120" s="681">
        <v>1</v>
      </c>
      <c r="B120" s="1015">
        <v>2</v>
      </c>
      <c r="C120" s="1015"/>
      <c r="D120" s="1015"/>
      <c r="E120" s="1024">
        <v>3</v>
      </c>
      <c r="F120" s="1025"/>
      <c r="G120" s="681">
        <v>4</v>
      </c>
      <c r="H120" s="681">
        <v>5</v>
      </c>
      <c r="I120" s="1015">
        <v>6</v>
      </c>
      <c r="J120" s="1015"/>
    </row>
    <row r="121" spans="1:13" ht="47.25" hidden="1" customHeight="1" x14ac:dyDescent="0.25">
      <c r="A121" s="750" t="s">
        <v>70</v>
      </c>
      <c r="B121" s="1214" t="s">
        <v>79</v>
      </c>
      <c r="C121" s="1215"/>
      <c r="D121" s="1216"/>
      <c r="E121" s="1038"/>
      <c r="F121" s="1039"/>
      <c r="G121" s="336">
        <v>12</v>
      </c>
      <c r="H121" s="336">
        <v>85</v>
      </c>
      <c r="I121" s="1218">
        <v>0</v>
      </c>
      <c r="J121" s="1218"/>
    </row>
    <row r="122" spans="1:13" ht="17.25" hidden="1" customHeight="1" x14ac:dyDescent="0.25">
      <c r="A122" s="750"/>
      <c r="B122" s="1219" t="s">
        <v>13</v>
      </c>
      <c r="C122" s="1219"/>
      <c r="D122" s="1219"/>
      <c r="E122" s="1026" t="s">
        <v>14</v>
      </c>
      <c r="F122" s="1027"/>
      <c r="G122" s="676" t="s">
        <v>14</v>
      </c>
      <c r="H122" s="676" t="s">
        <v>14</v>
      </c>
      <c r="I122" s="1016">
        <f>SUM(I121)</f>
        <v>0</v>
      </c>
      <c r="J122" s="1053"/>
    </row>
    <row r="123" spans="1:13" s="276" customFormat="1" ht="42" customHeight="1" x14ac:dyDescent="0.25">
      <c r="A123" s="1217" t="s">
        <v>288</v>
      </c>
      <c r="B123" s="1217"/>
      <c r="C123" s="1217"/>
      <c r="D123" s="1217"/>
      <c r="E123" s="1217"/>
      <c r="F123" s="1217"/>
      <c r="G123" s="1217"/>
      <c r="H123" s="1217"/>
      <c r="I123" s="1217"/>
      <c r="J123" s="1217"/>
      <c r="K123" s="292"/>
    </row>
    <row r="124" spans="1:13" ht="25.5" customHeight="1" x14ac:dyDescent="0.25">
      <c r="A124" s="694" t="s">
        <v>1</v>
      </c>
      <c r="B124" s="1176" t="s">
        <v>23</v>
      </c>
      <c r="C124" s="1176"/>
      <c r="D124" s="1176"/>
      <c r="E124" s="1176"/>
      <c r="F124" s="1176"/>
      <c r="G124" s="1176" t="s">
        <v>24</v>
      </c>
      <c r="H124" s="1176"/>
      <c r="I124" s="1176" t="s">
        <v>25</v>
      </c>
      <c r="J124" s="1176"/>
    </row>
    <row r="125" spans="1:13" ht="12" customHeight="1" x14ac:dyDescent="0.25">
      <c r="A125" s="681">
        <v>1</v>
      </c>
      <c r="B125" s="1015">
        <v>2</v>
      </c>
      <c r="C125" s="1015"/>
      <c r="D125" s="1015"/>
      <c r="E125" s="1015"/>
      <c r="F125" s="1015"/>
      <c r="G125" s="1015">
        <v>3</v>
      </c>
      <c r="H125" s="1015"/>
      <c r="I125" s="1015">
        <v>4</v>
      </c>
      <c r="J125" s="1015"/>
    </row>
    <row r="126" spans="1:13" ht="17.25" customHeight="1" x14ac:dyDescent="0.25">
      <c r="A126" s="676" t="s">
        <v>70</v>
      </c>
      <c r="B126" s="1050" t="s">
        <v>26</v>
      </c>
      <c r="C126" s="1050"/>
      <c r="D126" s="1050"/>
      <c r="E126" s="1050"/>
      <c r="F126" s="1050"/>
      <c r="G126" s="1013" t="s">
        <v>14</v>
      </c>
      <c r="H126" s="1013"/>
      <c r="I126" s="1198">
        <f>SUM(I128:J130)</f>
        <v>22528439.99999997</v>
      </c>
      <c r="J126" s="1198"/>
    </row>
    <row r="127" spans="1:13" ht="16.5" customHeight="1" x14ac:dyDescent="0.25">
      <c r="A127" s="349"/>
      <c r="B127" s="1026" t="s">
        <v>9</v>
      </c>
      <c r="C127" s="1052"/>
      <c r="D127" s="1052"/>
      <c r="E127" s="1052"/>
      <c r="F127" s="1027"/>
      <c r="G127" s="1051"/>
      <c r="H127" s="1051"/>
      <c r="I127" s="1198"/>
      <c r="J127" s="1198"/>
    </row>
    <row r="128" spans="1:13" ht="17.25" customHeight="1" x14ac:dyDescent="0.25">
      <c r="A128" s="676" t="s">
        <v>27</v>
      </c>
      <c r="B128" s="1220" t="s">
        <v>28</v>
      </c>
      <c r="C128" s="1220"/>
      <c r="D128" s="1220"/>
      <c r="E128" s="1220"/>
      <c r="F128" s="1220"/>
      <c r="G128" s="1210">
        <f>J73</f>
        <v>102401999.99999987</v>
      </c>
      <c r="H128" s="1210"/>
      <c r="I128" s="1198">
        <f>G128*22%</f>
        <v>22528439.99999997</v>
      </c>
      <c r="J128" s="1198"/>
      <c r="L128" s="1210"/>
      <c r="M128" s="1210"/>
    </row>
    <row r="129" spans="1:13" ht="15" customHeight="1" x14ac:dyDescent="0.25">
      <c r="A129" s="676" t="s">
        <v>29</v>
      </c>
      <c r="B129" s="1040" t="s">
        <v>30</v>
      </c>
      <c r="C129" s="1040"/>
      <c r="D129" s="1040"/>
      <c r="E129" s="1040"/>
      <c r="F129" s="1040"/>
      <c r="G129" s="1051">
        <v>0</v>
      </c>
      <c r="H129" s="1051"/>
      <c r="I129" s="1198">
        <f>G129*10%</f>
        <v>0</v>
      </c>
      <c r="J129" s="1198"/>
      <c r="L129" s="1051"/>
      <c r="M129" s="1051"/>
    </row>
    <row r="130" spans="1:13" ht="29.45" customHeight="1" x14ac:dyDescent="0.25">
      <c r="A130" s="676" t="s">
        <v>31</v>
      </c>
      <c r="B130" s="1050" t="s">
        <v>32</v>
      </c>
      <c r="C130" s="1050"/>
      <c r="D130" s="1050"/>
      <c r="E130" s="1050"/>
      <c r="F130" s="1050"/>
      <c r="G130" s="1051"/>
      <c r="H130" s="1051"/>
      <c r="I130" s="1198"/>
      <c r="J130" s="1198"/>
    </row>
    <row r="131" spans="1:13" ht="29.25" customHeight="1" x14ac:dyDescent="0.25">
      <c r="A131" s="676" t="s">
        <v>75</v>
      </c>
      <c r="B131" s="1050" t="s">
        <v>33</v>
      </c>
      <c r="C131" s="1050"/>
      <c r="D131" s="1050"/>
      <c r="E131" s="1050"/>
      <c r="F131" s="1050"/>
      <c r="G131" s="1013" t="s">
        <v>14</v>
      </c>
      <c r="H131" s="1013"/>
      <c r="I131" s="1198">
        <f>SUM(I133:J137)</f>
        <v>3174461.9999999953</v>
      </c>
      <c r="J131" s="1198"/>
    </row>
    <row r="132" spans="1:13" ht="15.75" customHeight="1" x14ac:dyDescent="0.25">
      <c r="A132" s="349"/>
      <c r="B132" s="1026" t="s">
        <v>9</v>
      </c>
      <c r="C132" s="1052"/>
      <c r="D132" s="1052"/>
      <c r="E132" s="1052"/>
      <c r="F132" s="1027"/>
      <c r="G132" s="1051"/>
      <c r="H132" s="1051"/>
      <c r="I132" s="1198"/>
      <c r="J132" s="1198"/>
    </row>
    <row r="133" spans="1:13" ht="27.75" customHeight="1" x14ac:dyDescent="0.25">
      <c r="A133" s="676" t="s">
        <v>34</v>
      </c>
      <c r="B133" s="1050" t="s">
        <v>35</v>
      </c>
      <c r="C133" s="1050"/>
      <c r="D133" s="1050"/>
      <c r="E133" s="1050"/>
      <c r="F133" s="1050"/>
      <c r="G133" s="1210">
        <f>G128+G129</f>
        <v>102401999.99999987</v>
      </c>
      <c r="H133" s="1210"/>
      <c r="I133" s="1198">
        <f>G133*2.9%</f>
        <v>2969657.9999999958</v>
      </c>
      <c r="J133" s="1198"/>
    </row>
    <row r="134" spans="1:13" ht="15" customHeight="1" x14ac:dyDescent="0.25">
      <c r="A134" s="676" t="s">
        <v>36</v>
      </c>
      <c r="B134" s="1050" t="s">
        <v>37</v>
      </c>
      <c r="C134" s="1050"/>
      <c r="D134" s="1050"/>
      <c r="E134" s="1050"/>
      <c r="F134" s="1050"/>
      <c r="G134" s="1051"/>
      <c r="H134" s="1051"/>
      <c r="I134" s="1198"/>
      <c r="J134" s="1198"/>
    </row>
    <row r="135" spans="1:13" ht="35.25" customHeight="1" x14ac:dyDescent="0.25">
      <c r="A135" s="676" t="s">
        <v>38</v>
      </c>
      <c r="B135" s="1050" t="s">
        <v>39</v>
      </c>
      <c r="C135" s="1050"/>
      <c r="D135" s="1050"/>
      <c r="E135" s="1050"/>
      <c r="F135" s="1050"/>
      <c r="G135" s="1210">
        <f>G128+G129</f>
        <v>102401999.99999987</v>
      </c>
      <c r="H135" s="1210"/>
      <c r="I135" s="1198">
        <f>G135*0.2%</f>
        <v>204803.99999999974</v>
      </c>
      <c r="J135" s="1198"/>
    </row>
    <row r="136" spans="1:13" s="276" customFormat="1" ht="15" customHeight="1" x14ac:dyDescent="0.25">
      <c r="A136" s="676" t="s">
        <v>40</v>
      </c>
      <c r="B136" s="1050" t="s">
        <v>41</v>
      </c>
      <c r="C136" s="1050"/>
      <c r="D136" s="1050"/>
      <c r="E136" s="1050"/>
      <c r="F136" s="1050"/>
      <c r="G136" s="1051"/>
      <c r="H136" s="1051"/>
      <c r="I136" s="1198"/>
      <c r="J136" s="1198"/>
      <c r="K136" s="292"/>
    </row>
    <row r="137" spans="1:13" ht="15" customHeight="1" x14ac:dyDescent="0.25">
      <c r="A137" s="676" t="s">
        <v>42</v>
      </c>
      <c r="B137" s="1050" t="s">
        <v>41</v>
      </c>
      <c r="C137" s="1050"/>
      <c r="D137" s="1050"/>
      <c r="E137" s="1050"/>
      <c r="F137" s="1050"/>
      <c r="G137" s="1051"/>
      <c r="H137" s="1051"/>
      <c r="I137" s="1198"/>
      <c r="J137" s="1198"/>
    </row>
    <row r="138" spans="1:13" ht="30" customHeight="1" x14ac:dyDescent="0.25">
      <c r="A138" s="676" t="s">
        <v>77</v>
      </c>
      <c r="B138" s="1050" t="s">
        <v>43</v>
      </c>
      <c r="C138" s="1050"/>
      <c r="D138" s="1050"/>
      <c r="E138" s="1050"/>
      <c r="F138" s="1050"/>
      <c r="G138" s="1210">
        <f>G128+G129</f>
        <v>102401999.99999987</v>
      </c>
      <c r="H138" s="1210"/>
      <c r="I138" s="1198">
        <f>G138*5.1%-404-135000</f>
        <v>5087097.9999999925</v>
      </c>
      <c r="J138" s="1198"/>
    </row>
    <row r="139" spans="1:13" ht="19.5" customHeight="1" x14ac:dyDescent="0.25">
      <c r="A139" s="676"/>
      <c r="B139" s="1014" t="s">
        <v>324</v>
      </c>
      <c r="C139" s="1014"/>
      <c r="D139" s="1014"/>
      <c r="E139" s="1014"/>
      <c r="F139" s="1014"/>
      <c r="G139" s="1053" t="s">
        <v>14</v>
      </c>
      <c r="H139" s="1053"/>
      <c r="I139" s="1124">
        <f>I126+I131+I138</f>
        <v>30789999.999999959</v>
      </c>
      <c r="J139" s="1124"/>
    </row>
    <row r="140" spans="1:13" ht="36" customHeight="1" x14ac:dyDescent="0.25">
      <c r="A140" s="694" t="s">
        <v>1</v>
      </c>
      <c r="B140" s="1120" t="s">
        <v>23</v>
      </c>
      <c r="C140" s="1223"/>
      <c r="D140" s="1223"/>
      <c r="E140" s="1223"/>
      <c r="F140" s="1121"/>
      <c r="G140" s="1120" t="s">
        <v>24</v>
      </c>
      <c r="H140" s="1121"/>
      <c r="I140" s="1120" t="s">
        <v>25</v>
      </c>
      <c r="J140" s="1121"/>
    </row>
    <row r="141" spans="1:13" ht="11.25" customHeight="1" x14ac:dyDescent="0.25">
      <c r="A141" s="681">
        <v>1</v>
      </c>
      <c r="B141" s="1024">
        <v>2</v>
      </c>
      <c r="C141" s="1077"/>
      <c r="D141" s="1077"/>
      <c r="E141" s="1077"/>
      <c r="F141" s="1025"/>
      <c r="G141" s="1024">
        <v>3</v>
      </c>
      <c r="H141" s="1025"/>
      <c r="I141" s="1024">
        <v>4</v>
      </c>
      <c r="J141" s="1025"/>
    </row>
    <row r="142" spans="1:13" ht="20.25" customHeight="1" x14ac:dyDescent="0.25">
      <c r="A142" s="676" t="s">
        <v>70</v>
      </c>
      <c r="B142" s="1104" t="s">
        <v>26</v>
      </c>
      <c r="C142" s="1105"/>
      <c r="D142" s="1105"/>
      <c r="E142" s="1105"/>
      <c r="F142" s="1106"/>
      <c r="G142" s="1026" t="s">
        <v>14</v>
      </c>
      <c r="H142" s="1027"/>
      <c r="I142" s="1116">
        <f>SUM(I144:J146)</f>
        <v>42484</v>
      </c>
      <c r="J142" s="1117"/>
    </row>
    <row r="143" spans="1:13" ht="18" customHeight="1" x14ac:dyDescent="0.25">
      <c r="A143" s="349"/>
      <c r="B143" s="1026" t="s">
        <v>9</v>
      </c>
      <c r="C143" s="1052"/>
      <c r="D143" s="1052"/>
      <c r="E143" s="1052"/>
      <c r="F143" s="1027"/>
      <c r="G143" s="1113"/>
      <c r="H143" s="1114"/>
      <c r="I143" s="1116"/>
      <c r="J143" s="1117"/>
    </row>
    <row r="144" spans="1:13" s="276" customFormat="1" ht="20.25" customHeight="1" x14ac:dyDescent="0.25">
      <c r="A144" s="676" t="s">
        <v>27</v>
      </c>
      <c r="B144" s="1224" t="s">
        <v>28</v>
      </c>
      <c r="C144" s="1225"/>
      <c r="D144" s="1225"/>
      <c r="E144" s="1225"/>
      <c r="F144" s="1226"/>
      <c r="G144" s="1102">
        <f>J93</f>
        <v>238000</v>
      </c>
      <c r="H144" s="1103"/>
      <c r="I144" s="1116">
        <f>G144*22%-11232+1356</f>
        <v>42484</v>
      </c>
      <c r="J144" s="1117"/>
      <c r="K144" s="292"/>
    </row>
    <row r="145" spans="1:13" x14ac:dyDescent="0.25">
      <c r="A145" s="676" t="s">
        <v>29</v>
      </c>
      <c r="B145" s="1017" t="s">
        <v>30</v>
      </c>
      <c r="C145" s="1018"/>
      <c r="D145" s="1018"/>
      <c r="E145" s="1018"/>
      <c r="F145" s="1019"/>
      <c r="G145" s="1113"/>
      <c r="H145" s="1114"/>
      <c r="I145" s="1116"/>
      <c r="J145" s="1117"/>
    </row>
    <row r="146" spans="1:13" ht="15" customHeight="1" x14ac:dyDescent="0.25">
      <c r="A146" s="676" t="s">
        <v>31</v>
      </c>
      <c r="B146" s="1104" t="s">
        <v>32</v>
      </c>
      <c r="C146" s="1105"/>
      <c r="D146" s="1105"/>
      <c r="E146" s="1105"/>
      <c r="F146" s="1106"/>
      <c r="G146" s="1113"/>
      <c r="H146" s="1114"/>
      <c r="I146" s="1116"/>
      <c r="J146" s="1117"/>
    </row>
    <row r="147" spans="1:13" ht="15" customHeight="1" x14ac:dyDescent="0.25">
      <c r="A147" s="676" t="s">
        <v>75</v>
      </c>
      <c r="B147" s="1104" t="s">
        <v>33</v>
      </c>
      <c r="C147" s="1105"/>
      <c r="D147" s="1105"/>
      <c r="E147" s="1105"/>
      <c r="F147" s="1106"/>
      <c r="G147" s="1026" t="s">
        <v>14</v>
      </c>
      <c r="H147" s="1027"/>
      <c r="I147" s="1116">
        <f>I149+I150+I151</f>
        <v>7377.9999999999991</v>
      </c>
      <c r="J147" s="1117"/>
    </row>
    <row r="148" spans="1:13" ht="15" customHeight="1" x14ac:dyDescent="0.25">
      <c r="A148" s="349"/>
      <c r="B148" s="1026" t="s">
        <v>9</v>
      </c>
      <c r="C148" s="1052"/>
      <c r="D148" s="1052"/>
      <c r="E148" s="1052"/>
      <c r="F148" s="1027"/>
      <c r="G148" s="1113"/>
      <c r="H148" s="1114"/>
      <c r="I148" s="1116"/>
      <c r="J148" s="1117"/>
    </row>
    <row r="149" spans="1:13" ht="26.25" customHeight="1" x14ac:dyDescent="0.25">
      <c r="A149" s="676" t="s">
        <v>34</v>
      </c>
      <c r="B149" s="1104" t="s">
        <v>35</v>
      </c>
      <c r="C149" s="1105"/>
      <c r="D149" s="1105"/>
      <c r="E149" s="1105"/>
      <c r="F149" s="1106"/>
      <c r="G149" s="1102">
        <f>G144</f>
        <v>238000</v>
      </c>
      <c r="H149" s="1103"/>
      <c r="I149" s="1116">
        <f>G149*2.9%</f>
        <v>6901.9999999999991</v>
      </c>
      <c r="J149" s="1117"/>
    </row>
    <row r="150" spans="1:13" x14ac:dyDescent="0.25">
      <c r="A150" s="676" t="s">
        <v>36</v>
      </c>
      <c r="B150" s="1104" t="s">
        <v>37</v>
      </c>
      <c r="C150" s="1105"/>
      <c r="D150" s="1105"/>
      <c r="E150" s="1105"/>
      <c r="F150" s="1106"/>
      <c r="G150" s="1113"/>
      <c r="H150" s="1114"/>
      <c r="I150" s="1116"/>
      <c r="J150" s="1117"/>
    </row>
    <row r="151" spans="1:13" ht="26.25" customHeight="1" x14ac:dyDescent="0.25">
      <c r="A151" s="676" t="s">
        <v>38</v>
      </c>
      <c r="B151" s="1104" t="s">
        <v>39</v>
      </c>
      <c r="C151" s="1105"/>
      <c r="D151" s="1105"/>
      <c r="E151" s="1105"/>
      <c r="F151" s="1106"/>
      <c r="G151" s="1102">
        <f>G144</f>
        <v>238000</v>
      </c>
      <c r="H151" s="1103"/>
      <c r="I151" s="1116">
        <f>G151*0.2%</f>
        <v>476</v>
      </c>
      <c r="J151" s="1117"/>
    </row>
    <row r="152" spans="1:13" s="276" customFormat="1" ht="14.25" customHeight="1" x14ac:dyDescent="0.25">
      <c r="A152" s="676" t="s">
        <v>40</v>
      </c>
      <c r="B152" s="1104" t="s">
        <v>41</v>
      </c>
      <c r="C152" s="1105"/>
      <c r="D152" s="1105"/>
      <c r="E152" s="1105"/>
      <c r="F152" s="1106"/>
      <c r="G152" s="1113"/>
      <c r="H152" s="1114"/>
      <c r="I152" s="1116"/>
      <c r="J152" s="1117"/>
      <c r="K152" s="292"/>
    </row>
    <row r="153" spans="1:13" ht="15" customHeight="1" x14ac:dyDescent="0.25">
      <c r="A153" s="676" t="s">
        <v>42</v>
      </c>
      <c r="B153" s="1104" t="s">
        <v>41</v>
      </c>
      <c r="C153" s="1105"/>
      <c r="D153" s="1105"/>
      <c r="E153" s="1105"/>
      <c r="F153" s="1106"/>
      <c r="G153" s="1113"/>
      <c r="H153" s="1114"/>
      <c r="I153" s="1116"/>
      <c r="J153" s="1117"/>
    </row>
    <row r="154" spans="1:13" x14ac:dyDescent="0.25">
      <c r="A154" s="676" t="s">
        <v>77</v>
      </c>
      <c r="B154" s="1104" t="s">
        <v>43</v>
      </c>
      <c r="C154" s="1105"/>
      <c r="D154" s="1105"/>
      <c r="E154" s="1105"/>
      <c r="F154" s="1106"/>
      <c r="G154" s="1102">
        <f>G144</f>
        <v>238000</v>
      </c>
      <c r="H154" s="1103"/>
      <c r="I154" s="1116">
        <f>G154*5.1%</f>
        <v>12138</v>
      </c>
      <c r="J154" s="1117"/>
    </row>
    <row r="155" spans="1:13" x14ac:dyDescent="0.25">
      <c r="A155" s="676"/>
      <c r="B155" s="1125" t="s">
        <v>373</v>
      </c>
      <c r="C155" s="1126"/>
      <c r="D155" s="1126"/>
      <c r="E155" s="1126"/>
      <c r="F155" s="1127"/>
      <c r="G155" s="1031" t="s">
        <v>14</v>
      </c>
      <c r="H155" s="1033"/>
      <c r="I155" s="1270">
        <f>I142+I147+I154</f>
        <v>62000</v>
      </c>
      <c r="J155" s="1271"/>
    </row>
    <row r="156" spans="1:13" x14ac:dyDescent="0.25">
      <c r="A156" s="676"/>
      <c r="B156" s="1125" t="s">
        <v>506</v>
      </c>
      <c r="C156" s="1126"/>
      <c r="D156" s="1126"/>
      <c r="E156" s="1126"/>
      <c r="F156" s="1127"/>
      <c r="G156" s="671"/>
      <c r="H156" s="672"/>
      <c r="I156" s="1270">
        <v>0</v>
      </c>
      <c r="J156" s="1271"/>
    </row>
    <row r="157" spans="1:13" x14ac:dyDescent="0.25">
      <c r="A157" s="676"/>
      <c r="B157" s="1031" t="s">
        <v>539</v>
      </c>
      <c r="C157" s="1032"/>
      <c r="D157" s="1032"/>
      <c r="E157" s="1032"/>
      <c r="F157" s="1033"/>
      <c r="G157" s="671"/>
      <c r="H157" s="672"/>
      <c r="I157" s="1128">
        <v>0</v>
      </c>
      <c r="J157" s="1129"/>
    </row>
    <row r="158" spans="1:13" s="276" customFormat="1" ht="18" customHeight="1" x14ac:dyDescent="0.25">
      <c r="A158" s="676"/>
      <c r="B158" s="1014" t="s">
        <v>325</v>
      </c>
      <c r="C158" s="1014"/>
      <c r="D158" s="1014"/>
      <c r="E158" s="1014"/>
      <c r="F158" s="1014"/>
      <c r="G158" s="1053" t="s">
        <v>14</v>
      </c>
      <c r="H158" s="1053"/>
      <c r="I158" s="1124">
        <f>I139+I155+I156+I157</f>
        <v>30851999.999999959</v>
      </c>
      <c r="J158" s="1124"/>
      <c r="K158" s="402"/>
      <c r="L158" s="402"/>
      <c r="M158" s="284"/>
    </row>
    <row r="159" spans="1:13" s="276" customFormat="1" ht="3" customHeight="1" x14ac:dyDescent="0.25">
      <c r="A159" s="1142" t="s">
        <v>414</v>
      </c>
      <c r="B159" s="1142"/>
      <c r="C159" s="1142"/>
      <c r="D159" s="1142"/>
      <c r="E159" s="1142"/>
      <c r="F159" s="1142"/>
      <c r="G159" s="1142"/>
      <c r="H159" s="1142"/>
      <c r="I159" s="1142"/>
      <c r="J159" s="1142"/>
      <c r="K159" s="292"/>
    </row>
    <row r="160" spans="1:13" ht="19.5" hidden="1" customHeight="1" x14ac:dyDescent="0.25">
      <c r="A160" s="1123" t="s">
        <v>370</v>
      </c>
      <c r="B160" s="1123"/>
      <c r="C160" s="1123"/>
      <c r="D160" s="1123"/>
      <c r="E160" s="1123"/>
      <c r="F160" s="1123"/>
      <c r="G160" s="1123"/>
      <c r="H160" s="1123"/>
      <c r="I160" s="1123"/>
      <c r="J160" s="1123"/>
      <c r="K160" s="300"/>
      <c r="L160" s="279"/>
    </row>
    <row r="161" spans="1:12" ht="15" hidden="1" customHeight="1" x14ac:dyDescent="0.25">
      <c r="A161" s="324" t="s">
        <v>80</v>
      </c>
      <c r="B161" s="325"/>
      <c r="C161" s="328">
        <v>321</v>
      </c>
      <c r="D161" s="328"/>
      <c r="E161" s="328"/>
      <c r="F161" s="329"/>
      <c r="G161" s="329"/>
      <c r="H161" s="329"/>
      <c r="I161" s="329"/>
      <c r="J161" s="442"/>
      <c r="K161" s="300"/>
      <c r="L161" s="279"/>
    </row>
    <row r="162" spans="1:12" ht="16.5" hidden="1" customHeight="1" x14ac:dyDescent="0.25">
      <c r="A162" s="324" t="s">
        <v>81</v>
      </c>
      <c r="B162" s="325"/>
      <c r="C162" s="325"/>
      <c r="D162" s="325"/>
      <c r="E162" s="330"/>
      <c r="F162" s="331"/>
      <c r="G162" s="331"/>
      <c r="H162" s="331"/>
      <c r="I162" s="331"/>
      <c r="J162" s="443"/>
      <c r="K162" s="300"/>
      <c r="L162" s="279"/>
    </row>
    <row r="163" spans="1:12" ht="36" hidden="1" customHeight="1" x14ac:dyDescent="0.25">
      <c r="A163" s="681" t="s">
        <v>1</v>
      </c>
      <c r="B163" s="1024" t="s">
        <v>44</v>
      </c>
      <c r="C163" s="1077"/>
      <c r="D163" s="1025"/>
      <c r="E163" s="1024" t="s">
        <v>45</v>
      </c>
      <c r="F163" s="1025"/>
      <c r="G163" s="1024" t="s">
        <v>46</v>
      </c>
      <c r="H163" s="1025"/>
      <c r="I163" s="1024" t="s">
        <v>102</v>
      </c>
      <c r="J163" s="1025"/>
      <c r="K163" s="300"/>
      <c r="L163" s="279"/>
    </row>
    <row r="164" spans="1:12" ht="16.5" hidden="1" customHeight="1" x14ac:dyDescent="0.25">
      <c r="A164" s="681">
        <v>1</v>
      </c>
      <c r="B164" s="1024">
        <v>2</v>
      </c>
      <c r="C164" s="1077"/>
      <c r="D164" s="1025"/>
      <c r="E164" s="1024">
        <v>3</v>
      </c>
      <c r="F164" s="1025"/>
      <c r="G164" s="1024">
        <v>4</v>
      </c>
      <c r="H164" s="1025"/>
      <c r="I164" s="1024">
        <v>5</v>
      </c>
      <c r="J164" s="1025"/>
      <c r="K164" s="300"/>
      <c r="L164" s="279"/>
    </row>
    <row r="165" spans="1:12" ht="89.25" hidden="1" customHeight="1" x14ac:dyDescent="0.25">
      <c r="A165" s="696" t="s">
        <v>70</v>
      </c>
      <c r="B165" s="1017" t="s">
        <v>361</v>
      </c>
      <c r="C165" s="1018"/>
      <c r="D165" s="1019"/>
      <c r="E165" s="1118"/>
      <c r="F165" s="1119"/>
      <c r="G165" s="1118"/>
      <c r="H165" s="1119"/>
      <c r="I165" s="1118">
        <v>0</v>
      </c>
      <c r="J165" s="1119"/>
    </row>
    <row r="166" spans="1:12" ht="28.5" hidden="1" customHeight="1" x14ac:dyDescent="0.25">
      <c r="A166" s="676" t="s">
        <v>75</v>
      </c>
      <c r="B166" s="1017" t="s">
        <v>360</v>
      </c>
      <c r="C166" s="1018"/>
      <c r="D166" s="1019"/>
      <c r="E166" s="1118"/>
      <c r="F166" s="1119"/>
      <c r="G166" s="1118"/>
      <c r="H166" s="1119"/>
      <c r="I166" s="1118"/>
      <c r="J166" s="1119"/>
    </row>
    <row r="167" spans="1:12" ht="28.5" hidden="1" customHeight="1" x14ac:dyDescent="0.25">
      <c r="A167" s="676" t="s">
        <v>77</v>
      </c>
      <c r="B167" s="1214" t="s">
        <v>366</v>
      </c>
      <c r="C167" s="1215"/>
      <c r="D167" s="1216"/>
      <c r="E167" s="1118"/>
      <c r="F167" s="1122"/>
      <c r="G167" s="1118"/>
      <c r="H167" s="1122"/>
      <c r="I167" s="1118"/>
      <c r="J167" s="1122"/>
    </row>
    <row r="168" spans="1:12" hidden="1" x14ac:dyDescent="0.25">
      <c r="A168" s="679"/>
      <c r="B168" s="1125" t="s">
        <v>13</v>
      </c>
      <c r="C168" s="1126"/>
      <c r="D168" s="1127"/>
      <c r="E168" s="1031" t="s">
        <v>14</v>
      </c>
      <c r="F168" s="1033"/>
      <c r="G168" s="1031" t="s">
        <v>14</v>
      </c>
      <c r="H168" s="1033"/>
      <c r="I168" s="1072">
        <f>I165+I166+I167</f>
        <v>0</v>
      </c>
      <c r="J168" s="1033"/>
    </row>
    <row r="169" spans="1:12" s="276" customFormat="1" ht="19.5" customHeight="1" x14ac:dyDescent="0.25">
      <c r="A169" s="1123" t="s">
        <v>1080</v>
      </c>
      <c r="B169" s="1123"/>
      <c r="C169" s="1123"/>
      <c r="D169" s="1123"/>
      <c r="E169" s="1123"/>
      <c r="F169" s="1123"/>
      <c r="G169" s="1123"/>
      <c r="H169" s="1123"/>
      <c r="I169" s="1123"/>
      <c r="J169" s="1123"/>
      <c r="K169" s="292"/>
    </row>
    <row r="170" spans="1:12" s="276" customFormat="1" ht="21.75" customHeight="1" x14ac:dyDescent="0.25">
      <c r="A170" s="324" t="s">
        <v>80</v>
      </c>
      <c r="B170" s="325"/>
      <c r="C170" s="328">
        <v>321</v>
      </c>
      <c r="D170" s="328"/>
      <c r="E170" s="328"/>
      <c r="F170" s="329"/>
      <c r="G170" s="329"/>
      <c r="H170" s="329"/>
      <c r="I170" s="329"/>
      <c r="J170" s="442"/>
      <c r="K170" s="292"/>
    </row>
    <row r="171" spans="1:12" s="276" customFormat="1" ht="23.25" customHeight="1" x14ac:dyDescent="0.25">
      <c r="A171" s="324" t="s">
        <v>81</v>
      </c>
      <c r="B171" s="325"/>
      <c r="C171" s="325"/>
      <c r="D171" s="1115" t="s">
        <v>195</v>
      </c>
      <c r="E171" s="1115"/>
      <c r="F171" s="1115"/>
      <c r="G171" s="1115"/>
      <c r="H171" s="1115"/>
      <c r="I171" s="1115"/>
      <c r="J171" s="1115"/>
      <c r="K171" s="292"/>
    </row>
    <row r="172" spans="1:12" s="276" customFormat="1" ht="19.5" customHeight="1" x14ac:dyDescent="0.25">
      <c r="A172" s="681" t="s">
        <v>1</v>
      </c>
      <c r="B172" s="1024" t="s">
        <v>44</v>
      </c>
      <c r="C172" s="1077"/>
      <c r="D172" s="1025"/>
      <c r="E172" s="1024" t="s">
        <v>45</v>
      </c>
      <c r="F172" s="1025"/>
      <c r="G172" s="1024" t="s">
        <v>46</v>
      </c>
      <c r="H172" s="1025"/>
      <c r="I172" s="1024" t="s">
        <v>102</v>
      </c>
      <c r="J172" s="1025"/>
      <c r="K172" s="292"/>
    </row>
    <row r="173" spans="1:12" s="276" customFormat="1" ht="14.25" customHeight="1" x14ac:dyDescent="0.25">
      <c r="A173" s="681">
        <v>1</v>
      </c>
      <c r="B173" s="1024">
        <v>2</v>
      </c>
      <c r="C173" s="1077"/>
      <c r="D173" s="1025"/>
      <c r="E173" s="1024">
        <v>3</v>
      </c>
      <c r="F173" s="1025"/>
      <c r="G173" s="1024">
        <v>4</v>
      </c>
      <c r="H173" s="1025"/>
      <c r="I173" s="1024">
        <v>5</v>
      </c>
      <c r="J173" s="1025"/>
      <c r="K173" s="292"/>
    </row>
    <row r="174" spans="1:12" s="276" customFormat="1" ht="45.75" customHeight="1" x14ac:dyDescent="0.25">
      <c r="A174" s="696" t="s">
        <v>70</v>
      </c>
      <c r="B174" s="1017" t="s">
        <v>1162</v>
      </c>
      <c r="C174" s="1018"/>
      <c r="D174" s="1019"/>
      <c r="E174" s="1026">
        <v>207</v>
      </c>
      <c r="F174" s="1027"/>
      <c r="G174" s="1026">
        <v>0</v>
      </c>
      <c r="H174" s="1027"/>
      <c r="I174" s="1118">
        <f>20*207*160</f>
        <v>662400</v>
      </c>
      <c r="J174" s="1119"/>
      <c r="K174" s="292"/>
    </row>
    <row r="175" spans="1:12" s="276" customFormat="1" ht="1.5" hidden="1" customHeight="1" x14ac:dyDescent="0.25">
      <c r="A175" s="676" t="s">
        <v>75</v>
      </c>
      <c r="B175" s="1026" t="s">
        <v>360</v>
      </c>
      <c r="C175" s="1052"/>
      <c r="D175" s="1027"/>
      <c r="E175" s="669"/>
      <c r="F175" s="670"/>
      <c r="G175" s="669"/>
      <c r="H175" s="670"/>
      <c r="I175" s="686"/>
      <c r="J175" s="687"/>
      <c r="K175" s="292"/>
    </row>
    <row r="176" spans="1:12" s="276" customFormat="1" ht="38.25" hidden="1" customHeight="1" x14ac:dyDescent="0.25">
      <c r="A176" s="676" t="s">
        <v>75</v>
      </c>
      <c r="B176" s="1214"/>
      <c r="C176" s="1215"/>
      <c r="D176" s="1216"/>
      <c r="E176" s="1026"/>
      <c r="F176" s="1027"/>
      <c r="G176" s="1026">
        <f>4*3</f>
        <v>12</v>
      </c>
      <c r="H176" s="1027"/>
      <c r="I176" s="1118"/>
      <c r="J176" s="1119"/>
      <c r="K176" s="292"/>
    </row>
    <row r="177" spans="1:12" s="276" customFormat="1" ht="18" customHeight="1" x14ac:dyDescent="0.25">
      <c r="A177" s="679"/>
      <c r="B177" s="1031" t="s">
        <v>13</v>
      </c>
      <c r="C177" s="1032"/>
      <c r="D177" s="1033"/>
      <c r="E177" s="1031" t="s">
        <v>14</v>
      </c>
      <c r="F177" s="1033"/>
      <c r="G177" s="1031" t="s">
        <v>14</v>
      </c>
      <c r="H177" s="1033"/>
      <c r="I177" s="1143">
        <f>I174+I176</f>
        <v>662400</v>
      </c>
      <c r="J177" s="1144"/>
      <c r="K177" s="292"/>
    </row>
    <row r="178" spans="1:12" s="276" customFormat="1" ht="18" customHeight="1" x14ac:dyDescent="0.25">
      <c r="A178" s="1130" t="s">
        <v>362</v>
      </c>
      <c r="B178" s="1130"/>
      <c r="C178" s="1130"/>
      <c r="D178" s="1130"/>
      <c r="E178" s="1130"/>
      <c r="F178" s="1130"/>
      <c r="G178" s="1130"/>
      <c r="H178" s="1130"/>
      <c r="I178" s="1130"/>
      <c r="J178" s="1130"/>
      <c r="K178" s="292"/>
    </row>
    <row r="179" spans="1:12" s="276" customFormat="1" ht="18" customHeight="1" x14ac:dyDescent="0.25">
      <c r="A179" s="324" t="s">
        <v>80</v>
      </c>
      <c r="B179" s="325"/>
      <c r="C179" s="328">
        <v>851</v>
      </c>
      <c r="D179" s="328">
        <v>852</v>
      </c>
      <c r="E179" s="328">
        <v>853</v>
      </c>
      <c r="F179" s="329"/>
      <c r="G179" s="329"/>
      <c r="H179" s="329"/>
      <c r="I179" s="329"/>
      <c r="J179" s="442"/>
      <c r="K179" s="292"/>
    </row>
    <row r="180" spans="1:12" s="276" customFormat="1" ht="18" customHeight="1" x14ac:dyDescent="0.25">
      <c r="A180" s="324" t="s">
        <v>81</v>
      </c>
      <c r="B180" s="325"/>
      <c r="C180" s="325"/>
      <c r="D180" s="1115" t="s">
        <v>82</v>
      </c>
      <c r="E180" s="1115"/>
      <c r="F180" s="1115"/>
      <c r="G180" s="1115"/>
      <c r="H180" s="1115"/>
      <c r="I180" s="331"/>
      <c r="J180" s="443"/>
      <c r="K180" s="292"/>
    </row>
    <row r="181" spans="1:12" s="276" customFormat="1" ht="30.75" customHeight="1" x14ac:dyDescent="0.2">
      <c r="A181" s="681" t="s">
        <v>1</v>
      </c>
      <c r="B181" s="1015" t="s">
        <v>15</v>
      </c>
      <c r="C181" s="1015"/>
      <c r="D181" s="1015"/>
      <c r="E181" s="1015" t="s">
        <v>47</v>
      </c>
      <c r="F181" s="1015"/>
      <c r="G181" s="1015" t="s">
        <v>48</v>
      </c>
      <c r="H181" s="1015"/>
      <c r="I181" s="1015" t="s">
        <v>103</v>
      </c>
      <c r="J181" s="1015"/>
      <c r="K181" s="1021" t="s">
        <v>1116</v>
      </c>
    </row>
    <row r="182" spans="1:12" s="276" customFormat="1" ht="18" customHeight="1" x14ac:dyDescent="0.2">
      <c r="A182" s="681">
        <v>1</v>
      </c>
      <c r="B182" s="1015">
        <v>2</v>
      </c>
      <c r="C182" s="1015"/>
      <c r="D182" s="1015"/>
      <c r="E182" s="1015">
        <v>3</v>
      </c>
      <c r="F182" s="1015"/>
      <c r="G182" s="1015">
        <v>4</v>
      </c>
      <c r="H182" s="1015"/>
      <c r="I182" s="1015">
        <v>5</v>
      </c>
      <c r="J182" s="1015"/>
      <c r="K182" s="1021"/>
    </row>
    <row r="183" spans="1:12" s="276" customFormat="1" ht="29.25" customHeight="1" x14ac:dyDescent="0.25">
      <c r="A183" s="1093" t="s">
        <v>70</v>
      </c>
      <c r="B183" s="1274" t="s">
        <v>289</v>
      </c>
      <c r="C183" s="1275"/>
      <c r="D183" s="709" t="s">
        <v>1090</v>
      </c>
      <c r="E183" s="1234"/>
      <c r="F183" s="1234"/>
      <c r="G183" s="1233">
        <v>2.1999999999999999E-2</v>
      </c>
      <c r="H183" s="1233"/>
      <c r="I183" s="1069">
        <v>64000</v>
      </c>
      <c r="J183" s="1069"/>
      <c r="K183" s="582" t="s">
        <v>1110</v>
      </c>
    </row>
    <row r="184" spans="1:12" s="276" customFormat="1" ht="36" customHeight="1" x14ac:dyDescent="0.25">
      <c r="A184" s="1246"/>
      <c r="B184" s="1275"/>
      <c r="C184" s="1275"/>
      <c r="D184" s="710" t="s">
        <v>1091</v>
      </c>
      <c r="E184" s="1234"/>
      <c r="F184" s="1234"/>
      <c r="G184" s="1233">
        <v>2.1999999999999999E-2</v>
      </c>
      <c r="H184" s="1233"/>
      <c r="I184" s="1069">
        <v>200000</v>
      </c>
      <c r="J184" s="1069"/>
      <c r="K184" s="582"/>
    </row>
    <row r="185" spans="1:12" s="276" customFormat="1" ht="31.5" hidden="1" customHeight="1" x14ac:dyDescent="0.25">
      <c r="A185" s="676" t="s">
        <v>75</v>
      </c>
      <c r="B185" s="1017" t="s">
        <v>291</v>
      </c>
      <c r="C185" s="1018"/>
      <c r="D185" s="1019"/>
      <c r="E185" s="1013">
        <v>0</v>
      </c>
      <c r="F185" s="1013"/>
      <c r="G185" s="1013">
        <v>0</v>
      </c>
      <c r="H185" s="1013"/>
      <c r="I185" s="1069">
        <v>0</v>
      </c>
      <c r="J185" s="1069"/>
      <c r="K185" s="292"/>
    </row>
    <row r="186" spans="1:12" s="276" customFormat="1" ht="46.5" hidden="1" customHeight="1" x14ac:dyDescent="0.25">
      <c r="A186" s="676" t="s">
        <v>77</v>
      </c>
      <c r="B186" s="1017" t="s">
        <v>292</v>
      </c>
      <c r="C186" s="1018"/>
      <c r="D186" s="1019"/>
      <c r="E186" s="1013">
        <v>0</v>
      </c>
      <c r="F186" s="1013"/>
      <c r="G186" s="1013">
        <v>0</v>
      </c>
      <c r="H186" s="1013"/>
      <c r="I186" s="1069">
        <v>0</v>
      </c>
      <c r="J186" s="1069"/>
      <c r="K186" s="292"/>
    </row>
    <row r="187" spans="1:12" s="276" customFormat="1" ht="18" hidden="1" customHeight="1" x14ac:dyDescent="0.25">
      <c r="A187" s="676" t="s">
        <v>86</v>
      </c>
      <c r="B187" s="1017" t="s">
        <v>290</v>
      </c>
      <c r="C187" s="1018"/>
      <c r="D187" s="1019"/>
      <c r="E187" s="1026">
        <v>0</v>
      </c>
      <c r="F187" s="1027"/>
      <c r="G187" s="1026">
        <v>0</v>
      </c>
      <c r="H187" s="1027"/>
      <c r="I187" s="1272">
        <v>0</v>
      </c>
      <c r="J187" s="1273"/>
      <c r="K187" s="304"/>
    </row>
    <row r="188" spans="1:12" s="276" customFormat="1" ht="18" customHeight="1" x14ac:dyDescent="0.25">
      <c r="A188" s="679"/>
      <c r="B188" s="1014" t="s">
        <v>13</v>
      </c>
      <c r="C188" s="1014"/>
      <c r="D188" s="1014"/>
      <c r="E188" s="1053" t="s">
        <v>74</v>
      </c>
      <c r="F188" s="1053"/>
      <c r="G188" s="1053" t="s">
        <v>14</v>
      </c>
      <c r="H188" s="1053"/>
      <c r="I188" s="1016">
        <f>SUM(I183:J187)</f>
        <v>264000</v>
      </c>
      <c r="J188" s="1053"/>
      <c r="K188" s="292"/>
    </row>
    <row r="189" spans="1:12" s="276" customFormat="1" ht="18" hidden="1" customHeight="1" x14ac:dyDescent="0.25">
      <c r="A189" s="1232"/>
      <c r="B189" s="1232"/>
      <c r="C189" s="1232"/>
      <c r="D189" s="1232"/>
      <c r="E189" s="1232"/>
      <c r="F189" s="1232"/>
      <c r="G189" s="1232"/>
      <c r="H189" s="1232"/>
      <c r="I189" s="1232"/>
      <c r="J189" s="1232"/>
      <c r="K189" s="292"/>
    </row>
    <row r="190" spans="1:12" ht="27" hidden="1" customHeight="1" x14ac:dyDescent="0.25">
      <c r="A190" s="1123" t="s">
        <v>85</v>
      </c>
      <c r="B190" s="1123"/>
      <c r="C190" s="1123"/>
      <c r="D190" s="1123"/>
      <c r="E190" s="1123"/>
      <c r="F190" s="1123"/>
      <c r="G190" s="1123"/>
      <c r="H190" s="1123"/>
      <c r="I190" s="1123"/>
      <c r="J190" s="1123"/>
      <c r="K190" s="402"/>
      <c r="L190" s="402"/>
    </row>
    <row r="191" spans="1:12" s="276" customFormat="1" ht="15.75" hidden="1" customHeight="1" x14ac:dyDescent="0.25">
      <c r="A191" s="324" t="s">
        <v>80</v>
      </c>
      <c r="B191" s="325"/>
      <c r="C191" s="328"/>
      <c r="D191" s="328"/>
      <c r="E191" s="328"/>
      <c r="F191" s="329"/>
      <c r="G191" s="329"/>
      <c r="H191" s="329"/>
      <c r="I191" s="329"/>
      <c r="J191" s="442"/>
      <c r="K191" s="294"/>
      <c r="L191" s="285"/>
    </row>
    <row r="192" spans="1:12" s="276" customFormat="1" hidden="1" x14ac:dyDescent="0.25">
      <c r="A192" s="324" t="s">
        <v>81</v>
      </c>
      <c r="B192" s="325"/>
      <c r="C192" s="325"/>
      <c r="D192" s="325"/>
      <c r="E192" s="330"/>
      <c r="F192" s="331"/>
      <c r="G192" s="331"/>
      <c r="H192" s="331"/>
      <c r="I192" s="331"/>
      <c r="J192" s="443"/>
      <c r="K192" s="292"/>
    </row>
    <row r="193" spans="1:13" ht="24.75" hidden="1" customHeight="1" x14ac:dyDescent="0.25">
      <c r="A193" s="681" t="s">
        <v>1</v>
      </c>
      <c r="B193" s="1015" t="s">
        <v>44</v>
      </c>
      <c r="C193" s="1015"/>
      <c r="D193" s="1015"/>
      <c r="E193" s="1015" t="s">
        <v>45</v>
      </c>
      <c r="F193" s="1015"/>
      <c r="G193" s="1015" t="s">
        <v>46</v>
      </c>
      <c r="H193" s="1015"/>
      <c r="I193" s="1015" t="s">
        <v>102</v>
      </c>
      <c r="J193" s="1015"/>
      <c r="K193" s="300"/>
      <c r="L193" s="279"/>
    </row>
    <row r="194" spans="1:13" ht="14.25" hidden="1" customHeight="1" x14ac:dyDescent="0.25">
      <c r="A194" s="681">
        <v>1</v>
      </c>
      <c r="B194" s="1015">
        <v>2</v>
      </c>
      <c r="C194" s="1015"/>
      <c r="D194" s="1015"/>
      <c r="E194" s="1015">
        <v>3</v>
      </c>
      <c r="F194" s="1015"/>
      <c r="G194" s="1015">
        <v>4</v>
      </c>
      <c r="H194" s="1015"/>
      <c r="I194" s="1015">
        <v>5</v>
      </c>
      <c r="J194" s="1015"/>
      <c r="K194" s="301"/>
      <c r="L194" s="286"/>
    </row>
    <row r="195" spans="1:13" ht="15" hidden="1" customHeight="1" x14ac:dyDescent="0.25">
      <c r="A195" s="676"/>
      <c r="B195" s="1026"/>
      <c r="C195" s="1052"/>
      <c r="D195" s="1027"/>
      <c r="E195" s="1026"/>
      <c r="F195" s="1027"/>
      <c r="G195" s="1026"/>
      <c r="H195" s="1027"/>
      <c r="I195" s="1026"/>
      <c r="J195" s="1027"/>
      <c r="K195" s="300"/>
      <c r="L195" s="279"/>
    </row>
    <row r="196" spans="1:13" ht="17.25" hidden="1" customHeight="1" x14ac:dyDescent="0.25">
      <c r="A196" s="679"/>
      <c r="B196" s="1014" t="s">
        <v>13</v>
      </c>
      <c r="C196" s="1014"/>
      <c r="D196" s="1014"/>
      <c r="E196" s="1053" t="s">
        <v>14</v>
      </c>
      <c r="F196" s="1053"/>
      <c r="G196" s="1053" t="s">
        <v>14</v>
      </c>
      <c r="H196" s="1053"/>
      <c r="I196" s="1053"/>
      <c r="J196" s="1053"/>
      <c r="K196" s="300"/>
      <c r="L196" s="279"/>
    </row>
    <row r="197" spans="1:13" ht="16.5" customHeight="1" x14ac:dyDescent="0.25">
      <c r="A197" s="1082" t="s">
        <v>91</v>
      </c>
      <c r="B197" s="1082"/>
      <c r="C197" s="1082"/>
      <c r="D197" s="1082"/>
      <c r="E197" s="1082"/>
      <c r="F197" s="1082"/>
      <c r="G197" s="1082"/>
      <c r="H197" s="1082"/>
      <c r="I197" s="1082"/>
      <c r="J197" s="1082"/>
      <c r="K197" s="300"/>
      <c r="L197" s="279"/>
    </row>
    <row r="198" spans="1:13" ht="18" customHeight="1" x14ac:dyDescent="0.25">
      <c r="A198" s="324" t="s">
        <v>80</v>
      </c>
      <c r="B198" s="325"/>
      <c r="C198" s="328">
        <v>244</v>
      </c>
      <c r="D198" s="328"/>
      <c r="E198" s="328"/>
      <c r="F198" s="329"/>
      <c r="G198" s="329"/>
      <c r="H198" s="329"/>
      <c r="I198" s="329"/>
      <c r="J198" s="442"/>
      <c r="K198" s="300"/>
      <c r="L198" s="279"/>
    </row>
    <row r="199" spans="1:13" ht="18" customHeight="1" x14ac:dyDescent="0.25">
      <c r="A199" s="324" t="s">
        <v>81</v>
      </c>
      <c r="B199" s="325"/>
      <c r="C199" s="325"/>
      <c r="D199" s="325"/>
      <c r="E199" s="330" t="s">
        <v>82</v>
      </c>
      <c r="F199" s="331"/>
      <c r="G199" s="330"/>
      <c r="H199" s="331"/>
      <c r="I199" s="331"/>
      <c r="J199" s="443"/>
      <c r="K199" s="300"/>
      <c r="L199" s="279"/>
    </row>
    <row r="200" spans="1:13" ht="18" customHeight="1" x14ac:dyDescent="0.25">
      <c r="A200" s="1055" t="s">
        <v>507</v>
      </c>
      <c r="B200" s="1055"/>
      <c r="C200" s="1055"/>
      <c r="D200" s="1055"/>
      <c r="E200" s="1055"/>
      <c r="F200" s="1055"/>
      <c r="G200" s="1055"/>
      <c r="H200" s="1055"/>
      <c r="I200" s="1055"/>
      <c r="J200" s="1055"/>
      <c r="K200" s="1021" t="s">
        <v>1115</v>
      </c>
      <c r="L200" s="279"/>
    </row>
    <row r="201" spans="1:13" ht="15.75" customHeight="1" x14ac:dyDescent="0.25">
      <c r="A201" s="681" t="s">
        <v>1</v>
      </c>
      <c r="B201" s="1015" t="s">
        <v>44</v>
      </c>
      <c r="C201" s="1015"/>
      <c r="D201" s="1015"/>
      <c r="E201" s="1015" t="s">
        <v>45</v>
      </c>
      <c r="F201" s="1015"/>
      <c r="G201" s="1015" t="s">
        <v>46</v>
      </c>
      <c r="H201" s="1015"/>
      <c r="I201" s="1015" t="s">
        <v>102</v>
      </c>
      <c r="J201" s="1015"/>
      <c r="K201" s="1021"/>
      <c r="L201" s="279"/>
    </row>
    <row r="202" spans="1:13" ht="12.75" customHeight="1" x14ac:dyDescent="0.25">
      <c r="A202" s="681">
        <v>1</v>
      </c>
      <c r="B202" s="1015">
        <v>2</v>
      </c>
      <c r="C202" s="1015"/>
      <c r="D202" s="1015"/>
      <c r="E202" s="1015">
        <v>3</v>
      </c>
      <c r="F202" s="1015"/>
      <c r="G202" s="1015">
        <v>4</v>
      </c>
      <c r="H202" s="1015"/>
      <c r="I202" s="1015">
        <v>5</v>
      </c>
      <c r="J202" s="1015"/>
      <c r="K202" s="1049" t="s">
        <v>1109</v>
      </c>
      <c r="L202" s="279"/>
    </row>
    <row r="203" spans="1:13" ht="21.75" customHeight="1" x14ac:dyDescent="0.25">
      <c r="A203" s="676" t="s">
        <v>70</v>
      </c>
      <c r="B203" s="1017" t="s">
        <v>1092</v>
      </c>
      <c r="C203" s="1018"/>
      <c r="D203" s="1019"/>
      <c r="E203" s="1026">
        <v>5000</v>
      </c>
      <c r="F203" s="1027"/>
      <c r="G203" s="1026">
        <v>1</v>
      </c>
      <c r="H203" s="1027"/>
      <c r="I203" s="1276">
        <v>3000</v>
      </c>
      <c r="J203" s="1277"/>
      <c r="K203" s="1049"/>
      <c r="L203" s="287"/>
    </row>
    <row r="204" spans="1:13" ht="33.75" hidden="1" customHeight="1" x14ac:dyDescent="0.25">
      <c r="A204" s="676" t="s">
        <v>75</v>
      </c>
      <c r="B204" s="1099" t="s">
        <v>487</v>
      </c>
      <c r="C204" s="1100"/>
      <c r="D204" s="1101"/>
      <c r="E204" s="1026">
        <f>1625-1625</f>
        <v>0</v>
      </c>
      <c r="F204" s="1027"/>
      <c r="G204" s="1026">
        <v>0</v>
      </c>
      <c r="H204" s="1027"/>
      <c r="I204" s="1276">
        <v>0</v>
      </c>
      <c r="J204" s="1277"/>
      <c r="K204" s="300"/>
      <c r="L204" s="287"/>
    </row>
    <row r="205" spans="1:13" ht="15" customHeight="1" x14ac:dyDescent="0.25">
      <c r="A205" s="676"/>
      <c r="B205" s="1014" t="s">
        <v>13</v>
      </c>
      <c r="C205" s="1014"/>
      <c r="D205" s="1014"/>
      <c r="E205" s="1053" t="s">
        <v>14</v>
      </c>
      <c r="F205" s="1053"/>
      <c r="G205" s="1053" t="s">
        <v>14</v>
      </c>
      <c r="H205" s="1053"/>
      <c r="I205" s="1278">
        <f>I203+I204</f>
        <v>3000</v>
      </c>
      <c r="J205" s="1278"/>
      <c r="K205" s="300"/>
      <c r="L205" s="279"/>
      <c r="M205" s="281"/>
    </row>
    <row r="206" spans="1:13" ht="29.25" customHeight="1" x14ac:dyDescent="0.25">
      <c r="A206" s="1082" t="s">
        <v>49</v>
      </c>
      <c r="B206" s="1082"/>
      <c r="C206" s="1082"/>
      <c r="D206" s="1082"/>
      <c r="E206" s="1082"/>
      <c r="F206" s="1082"/>
      <c r="G206" s="1082"/>
      <c r="H206" s="1082"/>
      <c r="I206" s="1082"/>
      <c r="J206" s="1082"/>
      <c r="K206" s="300"/>
      <c r="L206" s="279"/>
      <c r="M206" s="281"/>
    </row>
    <row r="207" spans="1:13" ht="19.5" customHeight="1" x14ac:dyDescent="0.25">
      <c r="A207" s="324" t="s">
        <v>80</v>
      </c>
      <c r="B207" s="325"/>
      <c r="C207" s="328" t="s">
        <v>751</v>
      </c>
      <c r="D207" s="328"/>
      <c r="E207" s="328"/>
      <c r="F207" s="329"/>
      <c r="G207" s="329"/>
      <c r="H207" s="329"/>
      <c r="I207" s="329"/>
      <c r="J207" s="442"/>
      <c r="K207" s="300"/>
      <c r="L207" s="279"/>
      <c r="M207" s="281"/>
    </row>
    <row r="208" spans="1:13" ht="17.25" customHeight="1" x14ac:dyDescent="0.25">
      <c r="A208" s="324" t="s">
        <v>81</v>
      </c>
      <c r="B208" s="325"/>
      <c r="C208" s="325"/>
      <c r="D208" s="325"/>
      <c r="E208" s="330" t="s">
        <v>82</v>
      </c>
      <c r="F208" s="331"/>
      <c r="G208" s="572" t="s">
        <v>195</v>
      </c>
      <c r="H208" s="573"/>
      <c r="I208" s="572" t="s">
        <v>744</v>
      </c>
      <c r="J208" s="574"/>
      <c r="K208" s="300"/>
      <c r="L208" s="279"/>
      <c r="M208" s="281"/>
    </row>
    <row r="209" spans="1:14" ht="17.25" customHeight="1" x14ac:dyDescent="0.25">
      <c r="A209" s="1082" t="s">
        <v>294</v>
      </c>
      <c r="B209" s="1082"/>
      <c r="C209" s="1082"/>
      <c r="D209" s="1082"/>
      <c r="E209" s="1082"/>
      <c r="F209" s="1082"/>
      <c r="G209" s="1082"/>
      <c r="H209" s="1082"/>
      <c r="I209" s="1082"/>
      <c r="J209" s="1082"/>
      <c r="K209" s="300"/>
      <c r="L209" s="279"/>
      <c r="M209" s="281"/>
    </row>
    <row r="210" spans="1:14" ht="38.25" customHeight="1" x14ac:dyDescent="0.25">
      <c r="A210" s="681" t="s">
        <v>1</v>
      </c>
      <c r="B210" s="1015" t="s">
        <v>15</v>
      </c>
      <c r="C210" s="1015"/>
      <c r="D210" s="1015"/>
      <c r="E210" s="681" t="s">
        <v>50</v>
      </c>
      <c r="F210" s="681" t="s">
        <v>51</v>
      </c>
      <c r="G210" s="1015" t="s">
        <v>52</v>
      </c>
      <c r="H210" s="1015"/>
      <c r="I210" s="1015" t="s">
        <v>104</v>
      </c>
      <c r="J210" s="1015"/>
      <c r="K210" s="300"/>
      <c r="L210" s="279"/>
      <c r="M210" s="281"/>
    </row>
    <row r="211" spans="1:14" ht="15" customHeight="1" x14ac:dyDescent="0.25">
      <c r="A211" s="681">
        <v>1</v>
      </c>
      <c r="B211" s="1015">
        <v>2</v>
      </c>
      <c r="C211" s="1015"/>
      <c r="D211" s="1015"/>
      <c r="E211" s="681">
        <v>3</v>
      </c>
      <c r="F211" s="681">
        <v>4</v>
      </c>
      <c r="G211" s="1015">
        <v>5</v>
      </c>
      <c r="H211" s="1015"/>
      <c r="I211" s="1015">
        <v>6</v>
      </c>
      <c r="J211" s="1015"/>
      <c r="K211" s="300"/>
      <c r="L211" s="279"/>
      <c r="M211" s="281"/>
    </row>
    <row r="212" spans="1:14" ht="14.25" customHeight="1" x14ac:dyDescent="0.25">
      <c r="A212" s="679">
        <v>1</v>
      </c>
      <c r="B212" s="1041" t="s">
        <v>341</v>
      </c>
      <c r="C212" s="1042"/>
      <c r="D212" s="1043"/>
      <c r="E212" s="336" t="s">
        <v>74</v>
      </c>
      <c r="F212" s="336" t="s">
        <v>74</v>
      </c>
      <c r="G212" s="1109" t="s">
        <v>74</v>
      </c>
      <c r="H212" s="1109"/>
      <c r="I212" s="1079">
        <f>I213+I214+I215+I216</f>
        <v>52000</v>
      </c>
      <c r="J212" s="1079"/>
      <c r="K212" s="300"/>
      <c r="L212" s="279"/>
      <c r="M212" s="281"/>
    </row>
    <row r="213" spans="1:14" ht="15" customHeight="1" x14ac:dyDescent="0.25">
      <c r="A213" s="676" t="s">
        <v>342</v>
      </c>
      <c r="B213" s="1040" t="s">
        <v>93</v>
      </c>
      <c r="C213" s="1040"/>
      <c r="D213" s="1040"/>
      <c r="E213" s="676">
        <v>6</v>
      </c>
      <c r="F213" s="676">
        <v>12</v>
      </c>
      <c r="G213" s="1221">
        <v>3200</v>
      </c>
      <c r="H213" s="1221"/>
      <c r="I213" s="1069">
        <f>F213*G213</f>
        <v>38400</v>
      </c>
      <c r="J213" s="1069"/>
      <c r="K213" s="302"/>
      <c r="L213" s="280"/>
      <c r="M213" s="281"/>
    </row>
    <row r="214" spans="1:14" x14ac:dyDescent="0.25">
      <c r="A214" s="676" t="s">
        <v>343</v>
      </c>
      <c r="B214" s="1040" t="s">
        <v>665</v>
      </c>
      <c r="C214" s="1040"/>
      <c r="D214" s="1040"/>
      <c r="E214" s="679"/>
      <c r="F214" s="679">
        <v>12</v>
      </c>
      <c r="G214" s="1070">
        <v>900</v>
      </c>
      <c r="H214" s="1070"/>
      <c r="I214" s="1069">
        <v>10600</v>
      </c>
      <c r="J214" s="1069"/>
      <c r="M214" s="281"/>
    </row>
    <row r="215" spans="1:14" ht="30" customHeight="1" x14ac:dyDescent="0.25">
      <c r="A215" s="676" t="s">
        <v>344</v>
      </c>
      <c r="B215" s="1040" t="s">
        <v>96</v>
      </c>
      <c r="C215" s="1040"/>
      <c r="D215" s="1040"/>
      <c r="E215" s="676">
        <v>1</v>
      </c>
      <c r="F215" s="676">
        <v>1</v>
      </c>
      <c r="G215" s="1078">
        <v>1000</v>
      </c>
      <c r="H215" s="1078"/>
      <c r="I215" s="1069">
        <v>3000</v>
      </c>
      <c r="J215" s="1069"/>
      <c r="M215" s="281"/>
    </row>
    <row r="216" spans="1:14" hidden="1" x14ac:dyDescent="0.25">
      <c r="A216" s="676" t="s">
        <v>264</v>
      </c>
      <c r="B216" s="1040" t="s">
        <v>199</v>
      </c>
      <c r="C216" s="1040"/>
      <c r="D216" s="1040"/>
      <c r="E216" s="676"/>
      <c r="F216" s="676"/>
      <c r="G216" s="1078"/>
      <c r="H216" s="1078"/>
      <c r="I216" s="1069"/>
      <c r="J216" s="1069"/>
      <c r="M216" s="281"/>
    </row>
    <row r="217" spans="1:14" hidden="1" x14ac:dyDescent="0.25">
      <c r="A217" s="679">
        <v>2</v>
      </c>
      <c r="B217" s="1041" t="s">
        <v>345</v>
      </c>
      <c r="C217" s="1042"/>
      <c r="D217" s="1043"/>
      <c r="E217" s="336" t="s">
        <v>74</v>
      </c>
      <c r="F217" s="336" t="s">
        <v>74</v>
      </c>
      <c r="G217" s="1109" t="s">
        <v>74</v>
      </c>
      <c r="H217" s="1109"/>
      <c r="I217" s="1079">
        <f>I218</f>
        <v>0</v>
      </c>
      <c r="J217" s="1079"/>
      <c r="M217" s="281"/>
    </row>
    <row r="218" spans="1:14" s="276" customFormat="1" ht="19.5" hidden="1" customHeight="1" x14ac:dyDescent="0.25">
      <c r="A218" s="676" t="s">
        <v>346</v>
      </c>
      <c r="B218" s="1040" t="s">
        <v>199</v>
      </c>
      <c r="C218" s="1040"/>
      <c r="D218" s="1040"/>
      <c r="E218" s="676">
        <v>1</v>
      </c>
      <c r="F218" s="676">
        <v>10</v>
      </c>
      <c r="G218" s="1078">
        <v>0</v>
      </c>
      <c r="H218" s="1078"/>
      <c r="I218" s="1069">
        <v>0</v>
      </c>
      <c r="J218" s="1069"/>
      <c r="K218" s="292"/>
    </row>
    <row r="219" spans="1:14" ht="16.5" customHeight="1" x14ac:dyDescent="0.25">
      <c r="A219" s="676"/>
      <c r="B219" s="1014" t="s">
        <v>325</v>
      </c>
      <c r="C219" s="1014"/>
      <c r="D219" s="1014"/>
      <c r="E219" s="679" t="s">
        <v>14</v>
      </c>
      <c r="F219" s="679" t="s">
        <v>14</v>
      </c>
      <c r="G219" s="1053" t="s">
        <v>14</v>
      </c>
      <c r="H219" s="1053"/>
      <c r="I219" s="1054">
        <f>I212+I217</f>
        <v>52000</v>
      </c>
      <c r="J219" s="1071"/>
      <c r="K219" s="303"/>
      <c r="N219" s="351"/>
    </row>
    <row r="220" spans="1:14" ht="12" hidden="1" customHeight="1" x14ac:dyDescent="0.25">
      <c r="A220" s="352"/>
      <c r="B220" s="325"/>
      <c r="C220" s="325"/>
      <c r="D220" s="325"/>
      <c r="E220" s="325"/>
      <c r="F220" s="325"/>
      <c r="G220" s="325"/>
      <c r="H220" s="325"/>
      <c r="I220" s="325"/>
      <c r="J220" s="441"/>
      <c r="M220" s="288"/>
    </row>
    <row r="221" spans="1:14" ht="18.75" hidden="1" customHeight="1" x14ac:dyDescent="0.25">
      <c r="A221" s="1082" t="s">
        <v>278</v>
      </c>
      <c r="B221" s="1082"/>
      <c r="C221" s="1082"/>
      <c r="D221" s="1082"/>
      <c r="E221" s="1082"/>
      <c r="F221" s="1082"/>
      <c r="G221" s="1082"/>
      <c r="H221" s="1082"/>
      <c r="I221" s="1082"/>
      <c r="J221" s="1082"/>
      <c r="K221" s="1021" t="s">
        <v>1113</v>
      </c>
      <c r="M221" s="288"/>
    </row>
    <row r="222" spans="1:14" ht="12.75" hidden="1" customHeight="1" x14ac:dyDescent="0.25">
      <c r="A222" s="681" t="s">
        <v>1</v>
      </c>
      <c r="B222" s="1015" t="s">
        <v>15</v>
      </c>
      <c r="C222" s="1015"/>
      <c r="D222" s="1015"/>
      <c r="E222" s="1015" t="s">
        <v>53</v>
      </c>
      <c r="F222" s="1015"/>
      <c r="G222" s="1015" t="s">
        <v>54</v>
      </c>
      <c r="H222" s="1015"/>
      <c r="I222" s="1015" t="s">
        <v>260</v>
      </c>
      <c r="J222" s="1015"/>
      <c r="K222" s="1021"/>
      <c r="M222" s="288"/>
    </row>
    <row r="223" spans="1:14" ht="15" hidden="1" customHeight="1" x14ac:dyDescent="0.25">
      <c r="A223" s="681">
        <v>1</v>
      </c>
      <c r="B223" s="1015">
        <v>2</v>
      </c>
      <c r="C223" s="1015"/>
      <c r="D223" s="1015"/>
      <c r="E223" s="1015">
        <v>3</v>
      </c>
      <c r="F223" s="1015"/>
      <c r="G223" s="1015">
        <v>4</v>
      </c>
      <c r="H223" s="1015"/>
      <c r="I223" s="1015">
        <v>5</v>
      </c>
      <c r="J223" s="1015"/>
      <c r="K223" s="1028" t="s">
        <v>1114</v>
      </c>
      <c r="M223" s="288"/>
    </row>
    <row r="224" spans="1:14" ht="16.5" hidden="1" customHeight="1" x14ac:dyDescent="0.25">
      <c r="A224" s="676">
        <v>1</v>
      </c>
      <c r="B224" s="1066" t="s">
        <v>611</v>
      </c>
      <c r="C224" s="1067"/>
      <c r="D224" s="1068"/>
      <c r="E224" s="1013">
        <v>0</v>
      </c>
      <c r="F224" s="1013"/>
      <c r="G224" s="1089">
        <v>0</v>
      </c>
      <c r="H224" s="1089"/>
      <c r="I224" s="1089">
        <f>E224*G224</f>
        <v>0</v>
      </c>
      <c r="J224" s="1089"/>
      <c r="K224" s="1029"/>
      <c r="M224" s="288"/>
    </row>
    <row r="225" spans="1:17" ht="15.75" hidden="1" customHeight="1" x14ac:dyDescent="0.25">
      <c r="A225" s="676"/>
      <c r="B225" s="1014" t="s">
        <v>13</v>
      </c>
      <c r="C225" s="1014"/>
      <c r="D225" s="1014"/>
      <c r="E225" s="1053" t="s">
        <v>74</v>
      </c>
      <c r="F225" s="1053"/>
      <c r="G225" s="1053" t="s">
        <v>74</v>
      </c>
      <c r="H225" s="1053"/>
      <c r="I225" s="1267">
        <f>I224</f>
        <v>0</v>
      </c>
      <c r="J225" s="1053"/>
      <c r="K225" s="1030"/>
    </row>
    <row r="226" spans="1:17" ht="24" customHeight="1" x14ac:dyDescent="0.25">
      <c r="A226" s="1056" t="s">
        <v>672</v>
      </c>
      <c r="B226" s="1056"/>
      <c r="C226" s="1056"/>
      <c r="D226" s="1056"/>
      <c r="E226" s="1056"/>
      <c r="F226" s="1056"/>
      <c r="G226" s="1056"/>
      <c r="H226" s="1056"/>
      <c r="I226" s="1056"/>
      <c r="J226" s="1056"/>
    </row>
    <row r="227" spans="1:17" s="276" customFormat="1" ht="25.5" customHeight="1" x14ac:dyDescent="0.2">
      <c r="A227" s="681" t="s">
        <v>1</v>
      </c>
      <c r="B227" s="1015" t="s">
        <v>44</v>
      </c>
      <c r="C227" s="1015"/>
      <c r="D227" s="1015"/>
      <c r="E227" s="681" t="s">
        <v>55</v>
      </c>
      <c r="F227" s="1015" t="s">
        <v>56</v>
      </c>
      <c r="G227" s="1015"/>
      <c r="H227" s="681" t="s">
        <v>57</v>
      </c>
      <c r="I227" s="1015" t="s">
        <v>104</v>
      </c>
      <c r="J227" s="1015"/>
      <c r="K227" s="1021" t="s">
        <v>650</v>
      </c>
    </row>
    <row r="228" spans="1:17" s="276" customFormat="1" ht="15.75" customHeight="1" x14ac:dyDescent="0.2">
      <c r="A228" s="681">
        <v>1</v>
      </c>
      <c r="B228" s="1015">
        <v>2</v>
      </c>
      <c r="C228" s="1015"/>
      <c r="D228" s="1015"/>
      <c r="E228" s="681">
        <v>3</v>
      </c>
      <c r="F228" s="1015">
        <v>4</v>
      </c>
      <c r="G228" s="1015"/>
      <c r="H228" s="681">
        <v>5</v>
      </c>
      <c r="I228" s="1015">
        <v>6</v>
      </c>
      <c r="J228" s="1015"/>
      <c r="K228" s="1021"/>
    </row>
    <row r="229" spans="1:17" s="378" customFormat="1" ht="30" customHeight="1" x14ac:dyDescent="0.25">
      <c r="A229" s="679">
        <v>1</v>
      </c>
      <c r="B229" s="1041" t="s">
        <v>523</v>
      </c>
      <c r="C229" s="1042"/>
      <c r="D229" s="1043"/>
      <c r="E229" s="377">
        <f>SUM(E230:E232)</f>
        <v>881</v>
      </c>
      <c r="F229" s="1072"/>
      <c r="G229" s="1073"/>
      <c r="H229" s="390">
        <f>F231/F230-100%</f>
        <v>4.0123025304068305E-2</v>
      </c>
      <c r="I229" s="1016">
        <f>I230+I231+I232</f>
        <v>64142.400000000009</v>
      </c>
      <c r="J229" s="1016"/>
      <c r="K229" s="1046" t="s">
        <v>1108</v>
      </c>
      <c r="L229" s="419">
        <v>772</v>
      </c>
    </row>
    <row r="230" spans="1:17" ht="17.25" customHeight="1" x14ac:dyDescent="0.25">
      <c r="A230" s="1083"/>
      <c r="B230" s="1013" t="s">
        <v>1103</v>
      </c>
      <c r="C230" s="1013"/>
      <c r="D230" s="1013"/>
      <c r="E230" s="705">
        <f>101+74+89+88+96+32</f>
        <v>480</v>
      </c>
      <c r="F230" s="1044">
        <v>71.53</v>
      </c>
      <c r="G230" s="1045"/>
      <c r="H230" s="390">
        <f t="shared" ref="H230:H232" si="18">F232/F231-100%</f>
        <v>0</v>
      </c>
      <c r="I230" s="1020">
        <f>E230*F230</f>
        <v>34334.400000000001</v>
      </c>
      <c r="J230" s="1020"/>
      <c r="K230" s="1047"/>
      <c r="L230" s="282">
        <f>I230+I231+I234+I235</f>
        <v>153447.88</v>
      </c>
      <c r="O230" s="164">
        <v>57.21</v>
      </c>
      <c r="Q230" s="164">
        <v>55.33</v>
      </c>
    </row>
    <row r="231" spans="1:17" ht="17.25" customHeight="1" x14ac:dyDescent="0.25">
      <c r="A231" s="1087"/>
      <c r="B231" s="1013" t="s">
        <v>1149</v>
      </c>
      <c r="C231" s="1013"/>
      <c r="D231" s="1013"/>
      <c r="E231" s="377">
        <f>19+29+81+104+80</f>
        <v>313</v>
      </c>
      <c r="F231" s="1044">
        <v>74.400000000000006</v>
      </c>
      <c r="G231" s="1045"/>
      <c r="H231" s="390">
        <f t="shared" si="18"/>
        <v>-1</v>
      </c>
      <c r="I231" s="1020">
        <f>E231*F231</f>
        <v>23287.200000000001</v>
      </c>
      <c r="J231" s="1020"/>
      <c r="K231" s="1047"/>
      <c r="O231" s="164">
        <f>O230*E229</f>
        <v>50402.01</v>
      </c>
    </row>
    <row r="232" spans="1:17" ht="15.75" customHeight="1" x14ac:dyDescent="0.25">
      <c r="A232" s="1088"/>
      <c r="B232" s="1031" t="s">
        <v>615</v>
      </c>
      <c r="C232" s="1032"/>
      <c r="D232" s="1033"/>
      <c r="E232" s="377">
        <v>88</v>
      </c>
      <c r="F232" s="1044">
        <v>74.400000000000006</v>
      </c>
      <c r="G232" s="1045"/>
      <c r="H232" s="390" t="e">
        <f t="shared" si="18"/>
        <v>#DIV/0!</v>
      </c>
      <c r="I232" s="1020">
        <f>E232*F232-26.4</f>
        <v>6520.8000000000011</v>
      </c>
      <c r="J232" s="1020"/>
      <c r="K232" s="1048"/>
    </row>
    <row r="233" spans="1:17" s="378" customFormat="1" ht="31.9" customHeight="1" x14ac:dyDescent="0.25">
      <c r="A233" s="679">
        <v>2</v>
      </c>
      <c r="B233" s="1041" t="s">
        <v>524</v>
      </c>
      <c r="C233" s="1042"/>
      <c r="D233" s="1043"/>
      <c r="E233" s="377">
        <f>SUM(E234:E236)</f>
        <v>40</v>
      </c>
      <c r="F233" s="1072"/>
      <c r="G233" s="1073"/>
      <c r="H233" s="390">
        <f>F235/F234-100%</f>
        <v>3.9998931733986387E-2</v>
      </c>
      <c r="I233" s="1111">
        <f>I234+I235+I236</f>
        <v>106729.92</v>
      </c>
      <c r="J233" s="1112"/>
      <c r="K233" s="1046" t="s">
        <v>1107</v>
      </c>
      <c r="L233" s="417">
        <v>33</v>
      </c>
    </row>
    <row r="234" spans="1:17" ht="17.25" customHeight="1" x14ac:dyDescent="0.25">
      <c r="A234" s="1083"/>
      <c r="B234" s="1026" t="s">
        <v>734</v>
      </c>
      <c r="C234" s="1052"/>
      <c r="D234" s="1027"/>
      <c r="E234" s="705">
        <f>4+2+4+5+4+3</f>
        <v>22</v>
      </c>
      <c r="F234" s="1044">
        <v>2621.0700000000002</v>
      </c>
      <c r="G234" s="1045"/>
      <c r="H234" s="391"/>
      <c r="I234" s="1020">
        <f>E234*F234</f>
        <v>57663.54</v>
      </c>
      <c r="J234" s="1020"/>
      <c r="K234" s="1047"/>
      <c r="O234" s="164">
        <v>2108.31</v>
      </c>
    </row>
    <row r="235" spans="1:17" ht="16.5" customHeight="1" x14ac:dyDescent="0.25">
      <c r="A235" s="1087"/>
      <c r="B235" s="1013" t="s">
        <v>735</v>
      </c>
      <c r="C235" s="1013"/>
      <c r="D235" s="1013"/>
      <c r="E235" s="377">
        <f>2+1+3+4+4</f>
        <v>14</v>
      </c>
      <c r="F235" s="1044">
        <v>2725.91</v>
      </c>
      <c r="G235" s="1045"/>
      <c r="H235" s="391"/>
      <c r="I235" s="1020">
        <f>E235*F235</f>
        <v>38162.74</v>
      </c>
      <c r="J235" s="1020"/>
      <c r="K235" s="1047"/>
      <c r="O235" s="164">
        <f>O234*E233</f>
        <v>84332.4</v>
      </c>
    </row>
    <row r="236" spans="1:17" ht="19.5" customHeight="1" x14ac:dyDescent="0.25">
      <c r="A236" s="1088"/>
      <c r="B236" s="1031" t="s">
        <v>615</v>
      </c>
      <c r="C236" s="1032"/>
      <c r="D236" s="1033"/>
      <c r="E236" s="377">
        <v>4</v>
      </c>
      <c r="F236" s="1044">
        <v>2725.91</v>
      </c>
      <c r="G236" s="1045"/>
      <c r="H236" s="391"/>
      <c r="I236" s="1020">
        <f>E236*F236</f>
        <v>10903.64</v>
      </c>
      <c r="J236" s="1020"/>
      <c r="K236" s="1048"/>
    </row>
    <row r="237" spans="1:17" s="378" customFormat="1" ht="22.5" customHeight="1" x14ac:dyDescent="0.25">
      <c r="A237" s="679">
        <v>3</v>
      </c>
      <c r="B237" s="1041" t="s">
        <v>153</v>
      </c>
      <c r="C237" s="1042"/>
      <c r="D237" s="1043"/>
      <c r="E237" s="377">
        <f>SUM(E238:E240)</f>
        <v>1175</v>
      </c>
      <c r="F237" s="1072"/>
      <c r="G237" s="1073"/>
      <c r="H237" s="390">
        <f>F239/F238-100%</f>
        <v>3.9983223822172453E-2</v>
      </c>
      <c r="I237" s="1016">
        <f>I238+I239+I240</f>
        <v>85795.209999999992</v>
      </c>
      <c r="J237" s="1016"/>
      <c r="K237" s="1046" t="s">
        <v>1108</v>
      </c>
      <c r="L237" s="418">
        <v>1068</v>
      </c>
      <c r="M237" s="380"/>
    </row>
    <row r="238" spans="1:17" ht="22.5" customHeight="1" x14ac:dyDescent="0.25">
      <c r="A238" s="1083"/>
      <c r="B238" s="1026" t="s">
        <v>1104</v>
      </c>
      <c r="C238" s="1052"/>
      <c r="D238" s="1027"/>
      <c r="E238" s="705">
        <f>45+95+122+127+140+35</f>
        <v>564</v>
      </c>
      <c r="F238" s="1044">
        <v>71.53</v>
      </c>
      <c r="G238" s="1045"/>
      <c r="H238" s="391"/>
      <c r="I238" s="1020">
        <f>E238*F238</f>
        <v>40342.92</v>
      </c>
      <c r="J238" s="1020"/>
      <c r="K238" s="1047"/>
      <c r="L238" s="282">
        <f>I238+I239+I242+I243</f>
        <v>230770.15</v>
      </c>
      <c r="O238" s="164">
        <v>57.21</v>
      </c>
      <c r="Q238" s="164">
        <v>55.33</v>
      </c>
    </row>
    <row r="239" spans="1:17" ht="25.5" customHeight="1" x14ac:dyDescent="0.25">
      <c r="A239" s="1087"/>
      <c r="B239" s="1013" t="s">
        <v>1150</v>
      </c>
      <c r="C239" s="1013"/>
      <c r="D239" s="1013"/>
      <c r="E239" s="377">
        <f>39+67+96+139+113</f>
        <v>454</v>
      </c>
      <c r="F239" s="1044">
        <v>74.39</v>
      </c>
      <c r="G239" s="1045"/>
      <c r="H239" s="391"/>
      <c r="I239" s="1020">
        <f>E239*F239</f>
        <v>33773.06</v>
      </c>
      <c r="J239" s="1020"/>
      <c r="K239" s="1047"/>
      <c r="O239" s="164">
        <f>O238*E237</f>
        <v>67221.75</v>
      </c>
    </row>
    <row r="240" spans="1:17" ht="16.5" customHeight="1" x14ac:dyDescent="0.25">
      <c r="A240" s="1088"/>
      <c r="B240" s="1031" t="s">
        <v>615</v>
      </c>
      <c r="C240" s="1032"/>
      <c r="D240" s="1033"/>
      <c r="E240" s="377">
        <v>157</v>
      </c>
      <c r="F240" s="1044">
        <v>74.39</v>
      </c>
      <c r="G240" s="1045"/>
      <c r="H240" s="391"/>
      <c r="I240" s="1097">
        <f>E240*F240</f>
        <v>11679.23</v>
      </c>
      <c r="J240" s="1098"/>
      <c r="K240" s="1048"/>
    </row>
    <row r="241" spans="1:17" s="378" customFormat="1" ht="17.25" customHeight="1" x14ac:dyDescent="0.25">
      <c r="A241" s="679">
        <v>4</v>
      </c>
      <c r="B241" s="1041" t="s">
        <v>154</v>
      </c>
      <c r="C241" s="1042"/>
      <c r="D241" s="1043"/>
      <c r="E241" s="377">
        <f>SUM(E242:E244)</f>
        <v>2028</v>
      </c>
      <c r="F241" s="1072"/>
      <c r="G241" s="1073"/>
      <c r="H241" s="390">
        <f>F243/F242-100%</f>
        <v>3.9957815795640839E-2</v>
      </c>
      <c r="I241" s="1016">
        <f>I242+I243+I244</f>
        <v>176445.41999999998</v>
      </c>
      <c r="J241" s="1016"/>
      <c r="K241" s="1046" t="s">
        <v>1106</v>
      </c>
      <c r="L241" s="417">
        <v>1825</v>
      </c>
    </row>
    <row r="242" spans="1:17" ht="15.75" customHeight="1" x14ac:dyDescent="0.25">
      <c r="A242" s="1083"/>
      <c r="B242" s="1026" t="s">
        <v>1105</v>
      </c>
      <c r="C242" s="1052"/>
      <c r="D242" s="1027"/>
      <c r="E242" s="705">
        <f>140+169+211+215+236+67</f>
        <v>1038</v>
      </c>
      <c r="F242" s="1044">
        <v>85.34</v>
      </c>
      <c r="G242" s="1045"/>
      <c r="H242" s="391"/>
      <c r="I242" s="1020">
        <f>E242*F242</f>
        <v>88582.92</v>
      </c>
      <c r="J242" s="1020"/>
      <c r="K242" s="1047"/>
      <c r="O242" s="164">
        <v>69.12</v>
      </c>
      <c r="Q242" s="164">
        <v>66.94</v>
      </c>
    </row>
    <row r="243" spans="1:17" ht="15" customHeight="1" x14ac:dyDescent="0.25">
      <c r="A243" s="1087"/>
      <c r="B243" s="1013" t="s">
        <v>1151</v>
      </c>
      <c r="C243" s="1013"/>
      <c r="D243" s="1013"/>
      <c r="E243" s="377">
        <f>58+96+177+243+193</f>
        <v>767</v>
      </c>
      <c r="F243" s="1044">
        <v>88.75</v>
      </c>
      <c r="G243" s="1045"/>
      <c r="H243" s="391"/>
      <c r="I243" s="1020">
        <f>E243*F243</f>
        <v>68071.25</v>
      </c>
      <c r="J243" s="1020"/>
      <c r="K243" s="1047"/>
      <c r="O243" s="164">
        <f>O242*E241</f>
        <v>140175.36000000002</v>
      </c>
    </row>
    <row r="244" spans="1:17" ht="14.25" customHeight="1" x14ac:dyDescent="0.25">
      <c r="A244" s="1088"/>
      <c r="B244" s="1031" t="s">
        <v>615</v>
      </c>
      <c r="C244" s="1032"/>
      <c r="D244" s="1033"/>
      <c r="E244" s="377">
        <v>223</v>
      </c>
      <c r="F244" s="1044">
        <v>88.75</v>
      </c>
      <c r="G244" s="1045"/>
      <c r="H244" s="391"/>
      <c r="I244" s="1095">
        <f>E244*F244</f>
        <v>19791.25</v>
      </c>
      <c r="J244" s="1096"/>
      <c r="K244" s="1048"/>
    </row>
    <row r="245" spans="1:17" ht="0.75" hidden="1" customHeight="1" x14ac:dyDescent="0.25">
      <c r="A245" s="676"/>
      <c r="B245" s="1026"/>
      <c r="C245" s="1052"/>
      <c r="D245" s="1027"/>
      <c r="E245" s="703"/>
      <c r="F245" s="1044"/>
      <c r="G245" s="1045"/>
      <c r="H245" s="391"/>
      <c r="I245" s="1110">
        <f>E245*F245</f>
        <v>0</v>
      </c>
      <c r="J245" s="1110"/>
      <c r="K245" s="745"/>
    </row>
    <row r="246" spans="1:17" s="378" customFormat="1" ht="29.25" customHeight="1" x14ac:dyDescent="0.25">
      <c r="A246" s="679">
        <v>5</v>
      </c>
      <c r="B246" s="1041" t="s">
        <v>371</v>
      </c>
      <c r="C246" s="1042"/>
      <c r="D246" s="1043"/>
      <c r="E246" s="712">
        <f>E247+E248+E249</f>
        <v>150.70000000000002</v>
      </c>
      <c r="F246" s="1072"/>
      <c r="G246" s="1073"/>
      <c r="H246" s="390">
        <v>0</v>
      </c>
      <c r="I246" s="1016">
        <f>I247+I248+I249</f>
        <v>166887.04999999999</v>
      </c>
      <c r="J246" s="1016"/>
      <c r="K246" s="1046" t="s">
        <v>1141</v>
      </c>
      <c r="L246" s="417">
        <v>157</v>
      </c>
      <c r="N246" s="378">
        <v>121163.26</v>
      </c>
      <c r="O246" s="378">
        <v>735.9</v>
      </c>
    </row>
    <row r="247" spans="1:17" ht="28.5" customHeight="1" x14ac:dyDescent="0.25">
      <c r="A247" s="676"/>
      <c r="B247" s="1026" t="s">
        <v>1152</v>
      </c>
      <c r="C247" s="1052"/>
      <c r="D247" s="1027"/>
      <c r="E247" s="703">
        <f>11+12.1+13.2+13.2+13.2+12.1</f>
        <v>74.8</v>
      </c>
      <c r="F247" s="1044">
        <v>1085.56</v>
      </c>
      <c r="G247" s="1045"/>
      <c r="H247" s="391"/>
      <c r="I247" s="1020">
        <f>E247*F247</f>
        <v>81199.887999999992</v>
      </c>
      <c r="J247" s="1020"/>
      <c r="K247" s="1047"/>
      <c r="O247" s="164">
        <f>O246*E246</f>
        <v>110900.13</v>
      </c>
    </row>
    <row r="248" spans="1:17" ht="30" customHeight="1" x14ac:dyDescent="0.25">
      <c r="A248" s="676"/>
      <c r="B248" s="1013" t="s">
        <v>1153</v>
      </c>
      <c r="C248" s="1013"/>
      <c r="D248" s="1013"/>
      <c r="E248" s="703">
        <f>9.9+9.9+14.3+14.3+13.2</f>
        <v>61.600000000000009</v>
      </c>
      <c r="F248" s="1044">
        <v>1128.98</v>
      </c>
      <c r="G248" s="1045"/>
      <c r="H248" s="391"/>
      <c r="I248" s="1020">
        <f>E248*F248</f>
        <v>69545.168000000005</v>
      </c>
      <c r="J248" s="1020"/>
      <c r="K248" s="1047"/>
    </row>
    <row r="249" spans="1:17" ht="24.75" customHeight="1" x14ac:dyDescent="0.25">
      <c r="A249" s="676"/>
      <c r="B249" s="1031" t="s">
        <v>615</v>
      </c>
      <c r="C249" s="1032"/>
      <c r="D249" s="1033"/>
      <c r="E249" s="703">
        <v>14.3</v>
      </c>
      <c r="F249" s="1044">
        <v>1128.98</v>
      </c>
      <c r="G249" s="1045"/>
      <c r="H249" s="676"/>
      <c r="I249" s="1020">
        <f>E249*F249-2.42</f>
        <v>16141.994000000001</v>
      </c>
      <c r="J249" s="1020"/>
      <c r="K249" s="1048"/>
    </row>
    <row r="250" spans="1:17" ht="15" customHeight="1" x14ac:dyDescent="0.25">
      <c r="A250" s="676"/>
      <c r="B250" s="1014" t="s">
        <v>13</v>
      </c>
      <c r="C250" s="1014"/>
      <c r="D250" s="1014"/>
      <c r="E250" s="679" t="s">
        <v>14</v>
      </c>
      <c r="F250" s="1053" t="s">
        <v>14</v>
      </c>
      <c r="G250" s="1053"/>
      <c r="H250" s="679" t="s">
        <v>14</v>
      </c>
      <c r="I250" s="1054">
        <f>I229+I233+I237+I241+I246</f>
        <v>600000</v>
      </c>
      <c r="J250" s="1054"/>
      <c r="M250" s="282"/>
      <c r="O250" s="164" t="e">
        <f>#REF!+O231+O235+O239+O243+#REF!+O247</f>
        <v>#REF!</v>
      </c>
    </row>
    <row r="251" spans="1:17" ht="24" customHeight="1" x14ac:dyDescent="0.25">
      <c r="A251" s="1056" t="s">
        <v>671</v>
      </c>
      <c r="B251" s="1056"/>
      <c r="C251" s="1056"/>
      <c r="D251" s="1056"/>
      <c r="E251" s="1056"/>
      <c r="F251" s="1056"/>
      <c r="G251" s="1056"/>
      <c r="H251" s="1056"/>
      <c r="I251" s="1056"/>
      <c r="J251" s="1056"/>
    </row>
    <row r="252" spans="1:17" s="276" customFormat="1" ht="25.5" customHeight="1" x14ac:dyDescent="0.2">
      <c r="A252" s="681" t="s">
        <v>1</v>
      </c>
      <c r="B252" s="1015" t="s">
        <v>44</v>
      </c>
      <c r="C252" s="1015"/>
      <c r="D252" s="1015"/>
      <c r="E252" s="681" t="s">
        <v>55</v>
      </c>
      <c r="F252" s="1015" t="s">
        <v>56</v>
      </c>
      <c r="G252" s="1015"/>
      <c r="H252" s="681" t="s">
        <v>57</v>
      </c>
      <c r="I252" s="1015" t="s">
        <v>104</v>
      </c>
      <c r="J252" s="1015"/>
      <c r="K252" s="1021" t="s">
        <v>650</v>
      </c>
    </row>
    <row r="253" spans="1:17" s="276" customFormat="1" ht="15.75" customHeight="1" x14ac:dyDescent="0.2">
      <c r="A253" s="681">
        <v>1</v>
      </c>
      <c r="B253" s="1015">
        <v>2</v>
      </c>
      <c r="C253" s="1015"/>
      <c r="D253" s="1015"/>
      <c r="E253" s="681">
        <v>3</v>
      </c>
      <c r="F253" s="1015">
        <v>4</v>
      </c>
      <c r="G253" s="1015"/>
      <c r="H253" s="681">
        <v>5</v>
      </c>
      <c r="I253" s="1015">
        <v>6</v>
      </c>
      <c r="J253" s="1015"/>
      <c r="K253" s="1021"/>
    </row>
    <row r="254" spans="1:17" s="378" customFormat="1" ht="16.5" customHeight="1" x14ac:dyDescent="0.25">
      <c r="A254" s="679">
        <v>1</v>
      </c>
      <c r="B254" s="1041" t="s">
        <v>151</v>
      </c>
      <c r="C254" s="1042"/>
      <c r="D254" s="1043"/>
      <c r="E254" s="377">
        <f>E255+E256+E257</f>
        <v>1103</v>
      </c>
      <c r="F254" s="1072"/>
      <c r="G254" s="1073"/>
      <c r="H254" s="390">
        <f>F256/F255-100%</f>
        <v>3.9998931733986387E-2</v>
      </c>
      <c r="I254" s="1016">
        <f>I255+I256+I257</f>
        <v>2945342.49</v>
      </c>
      <c r="J254" s="1016"/>
      <c r="K254" s="1046" t="s">
        <v>1107</v>
      </c>
      <c r="L254" s="417">
        <v>1159.0999999999999</v>
      </c>
      <c r="O254" s="378">
        <v>2108.31</v>
      </c>
    </row>
    <row r="255" spans="1:17" ht="15" customHeight="1" x14ac:dyDescent="0.25">
      <c r="A255" s="1083"/>
      <c r="B255" s="1013" t="s">
        <v>1102</v>
      </c>
      <c r="C255" s="1013"/>
      <c r="D255" s="1013"/>
      <c r="E255" s="377">
        <f>164+163+123+98+38</f>
        <v>586</v>
      </c>
      <c r="F255" s="1044">
        <v>2621.0700000000002</v>
      </c>
      <c r="G255" s="1045"/>
      <c r="H255" s="391"/>
      <c r="I255" s="1020">
        <f>E255*F255</f>
        <v>1535947.02</v>
      </c>
      <c r="J255" s="1020"/>
      <c r="K255" s="1047"/>
      <c r="L255" s="164">
        <v>1352117.76</v>
      </c>
      <c r="M255" s="282">
        <f>I255/E255</f>
        <v>2621.0700000000002</v>
      </c>
      <c r="O255" s="164">
        <f>O254*E254</f>
        <v>2325465.9300000002</v>
      </c>
      <c r="Q255" s="164">
        <v>2039.6</v>
      </c>
    </row>
    <row r="256" spans="1:17" ht="15.75" customHeight="1" x14ac:dyDescent="0.25">
      <c r="A256" s="1088"/>
      <c r="B256" s="1013" t="s">
        <v>1154</v>
      </c>
      <c r="C256" s="1013"/>
      <c r="D256" s="1013"/>
      <c r="E256" s="377">
        <f>27+88+160</f>
        <v>275</v>
      </c>
      <c r="F256" s="1044">
        <v>2725.91</v>
      </c>
      <c r="G256" s="1045"/>
      <c r="H256" s="391"/>
      <c r="I256" s="1020">
        <f>E256*F256</f>
        <v>749625.25</v>
      </c>
      <c r="J256" s="1020"/>
      <c r="K256" s="1047"/>
    </row>
    <row r="257" spans="1:15" ht="18" customHeight="1" x14ac:dyDescent="0.25">
      <c r="A257" s="684"/>
      <c r="B257" s="1031" t="s">
        <v>615</v>
      </c>
      <c r="C257" s="1032"/>
      <c r="D257" s="1033"/>
      <c r="E257" s="377">
        <v>242</v>
      </c>
      <c r="F257" s="1044">
        <v>2725.91</v>
      </c>
      <c r="G257" s="1045"/>
      <c r="H257" s="391"/>
      <c r="I257" s="1020">
        <f>E257*F257+100</f>
        <v>659770.22</v>
      </c>
      <c r="J257" s="1020"/>
      <c r="K257" s="1048"/>
    </row>
    <row r="258" spans="1:15" s="378" customFormat="1" ht="19.5" customHeight="1" x14ac:dyDescent="0.25">
      <c r="A258" s="679">
        <v>2</v>
      </c>
      <c r="B258" s="1041" t="s">
        <v>155</v>
      </c>
      <c r="C258" s="1042"/>
      <c r="D258" s="1043"/>
      <c r="E258" s="712">
        <f>E259+E260+E261</f>
        <v>127815</v>
      </c>
      <c r="F258" s="1072"/>
      <c r="G258" s="1073"/>
      <c r="H258" s="390">
        <f>F260/F259-100%</f>
        <v>3.9877300613496924E-2</v>
      </c>
      <c r="I258" s="1016">
        <f>I259+I260+I261</f>
        <v>1273657.51</v>
      </c>
      <c r="J258" s="1016"/>
      <c r="K258" s="1046" t="s">
        <v>1112</v>
      </c>
      <c r="L258" s="417">
        <v>135301</v>
      </c>
      <c r="O258" s="378">
        <v>7.57</v>
      </c>
    </row>
    <row r="259" spans="1:15" ht="28.5" customHeight="1" x14ac:dyDescent="0.25">
      <c r="A259" s="676"/>
      <c r="B259" s="1013" t="s">
        <v>1111</v>
      </c>
      <c r="C259" s="1013"/>
      <c r="D259" s="1013"/>
      <c r="E259" s="712">
        <f>12252+11815+13048+13361+12126+4858</f>
        <v>67460</v>
      </c>
      <c r="F259" s="1044">
        <v>9.7799999999999994</v>
      </c>
      <c r="G259" s="1045"/>
      <c r="H259" s="391"/>
      <c r="I259" s="1092">
        <f>E259*F259</f>
        <v>659758.79999999993</v>
      </c>
      <c r="J259" s="1092"/>
      <c r="K259" s="1047"/>
      <c r="M259" s="164">
        <v>1088991.56</v>
      </c>
      <c r="O259" s="164">
        <f>O258*E258</f>
        <v>967559.55</v>
      </c>
    </row>
    <row r="260" spans="1:15" ht="14.25" customHeight="1" x14ac:dyDescent="0.25">
      <c r="A260" s="676"/>
      <c r="B260" s="1013" t="s">
        <v>1155</v>
      </c>
      <c r="C260" s="1013"/>
      <c r="D260" s="1013"/>
      <c r="E260" s="712">
        <f>2538+3244+8966+13789+15015</f>
        <v>43552</v>
      </c>
      <c r="F260" s="1044">
        <v>10.17</v>
      </c>
      <c r="G260" s="1045"/>
      <c r="H260" s="676"/>
      <c r="I260" s="1020">
        <f>E260*F260+13.86</f>
        <v>442937.7</v>
      </c>
      <c r="J260" s="1020"/>
      <c r="K260" s="1047"/>
    </row>
    <row r="261" spans="1:15" ht="18" customHeight="1" x14ac:dyDescent="0.25">
      <c r="A261" s="676"/>
      <c r="B261" s="1031" t="s">
        <v>615</v>
      </c>
      <c r="C261" s="1032"/>
      <c r="D261" s="1033"/>
      <c r="E261" s="712">
        <f>16760+43</f>
        <v>16803</v>
      </c>
      <c r="F261" s="1044">
        <v>10.17</v>
      </c>
      <c r="G261" s="1045"/>
      <c r="H261" s="676"/>
      <c r="I261" s="1020">
        <f>E261*F261+74.5</f>
        <v>170961.01</v>
      </c>
      <c r="J261" s="1020"/>
      <c r="K261" s="1048"/>
    </row>
    <row r="262" spans="1:15" ht="15" customHeight="1" x14ac:dyDescent="0.25">
      <c r="A262" s="676"/>
      <c r="B262" s="1014" t="s">
        <v>13</v>
      </c>
      <c r="C262" s="1014"/>
      <c r="D262" s="1014"/>
      <c r="E262" s="679" t="s">
        <v>14</v>
      </c>
      <c r="F262" s="1053" t="s">
        <v>14</v>
      </c>
      <c r="G262" s="1053"/>
      <c r="H262" s="679" t="s">
        <v>14</v>
      </c>
      <c r="I262" s="1054">
        <f>I254+I258</f>
        <v>4219000</v>
      </c>
      <c r="J262" s="1054"/>
      <c r="K262" s="393"/>
      <c r="M262" s="282"/>
      <c r="O262" s="164" t="e">
        <f>O255+#REF!+#REF!+#REF!+#REF!+O259+#REF!</f>
        <v>#REF!</v>
      </c>
    </row>
    <row r="263" spans="1:15" ht="16.5" customHeight="1" x14ac:dyDescent="0.25">
      <c r="A263" s="676"/>
      <c r="B263" s="1031" t="s">
        <v>673</v>
      </c>
      <c r="C263" s="1032"/>
      <c r="D263" s="1033"/>
      <c r="E263" s="679"/>
      <c r="F263" s="1031"/>
      <c r="G263" s="1033"/>
      <c r="H263" s="679"/>
      <c r="I263" s="1036">
        <f>I262+I250</f>
        <v>4819000</v>
      </c>
      <c r="J263" s="1037"/>
      <c r="M263" s="282"/>
    </row>
    <row r="264" spans="1:15" s="276" customFormat="1" ht="19.5" hidden="1" customHeight="1" x14ac:dyDescent="0.25">
      <c r="A264" s="1074" t="s">
        <v>279</v>
      </c>
      <c r="B264" s="1074"/>
      <c r="C264" s="1074"/>
      <c r="D264" s="1074"/>
      <c r="E264" s="1074"/>
      <c r="F264" s="1074"/>
      <c r="G264" s="1074"/>
      <c r="H264" s="1074"/>
      <c r="I264" s="1074"/>
      <c r="J264" s="1074"/>
      <c r="K264" s="292"/>
    </row>
    <row r="265" spans="1:15" s="276" customFormat="1" ht="15" hidden="1" customHeight="1" x14ac:dyDescent="0.25">
      <c r="A265" s="681" t="s">
        <v>1</v>
      </c>
      <c r="B265" s="1015" t="s">
        <v>44</v>
      </c>
      <c r="C265" s="1015"/>
      <c r="D265" s="1015"/>
      <c r="E265" s="1015" t="s">
        <v>58</v>
      </c>
      <c r="F265" s="1015"/>
      <c r="G265" s="1015" t="s">
        <v>59</v>
      </c>
      <c r="H265" s="1015"/>
      <c r="I265" s="1015" t="s">
        <v>60</v>
      </c>
      <c r="J265" s="1015"/>
      <c r="K265" s="292"/>
    </row>
    <row r="266" spans="1:15" ht="15" hidden="1" customHeight="1" x14ac:dyDescent="0.25">
      <c r="A266" s="681">
        <v>1</v>
      </c>
      <c r="B266" s="1015">
        <v>2</v>
      </c>
      <c r="C266" s="1015"/>
      <c r="D266" s="1015"/>
      <c r="E266" s="1015">
        <v>3</v>
      </c>
      <c r="F266" s="1015"/>
      <c r="G266" s="1015">
        <v>4</v>
      </c>
      <c r="H266" s="1015"/>
      <c r="I266" s="1015">
        <v>5</v>
      </c>
      <c r="J266" s="1015"/>
    </row>
    <row r="267" spans="1:15" ht="15" hidden="1" customHeight="1" x14ac:dyDescent="0.25">
      <c r="A267" s="676"/>
      <c r="B267" s="1026"/>
      <c r="C267" s="1052"/>
      <c r="D267" s="1027"/>
      <c r="E267" s="1013"/>
      <c r="F267" s="1013"/>
      <c r="G267" s="1013"/>
      <c r="H267" s="1013"/>
      <c r="I267" s="1013"/>
      <c r="J267" s="1013"/>
    </row>
    <row r="268" spans="1:15" ht="15" hidden="1" customHeight="1" x14ac:dyDescent="0.25">
      <c r="A268" s="679"/>
      <c r="B268" s="1014" t="s">
        <v>13</v>
      </c>
      <c r="C268" s="1014"/>
      <c r="D268" s="1014"/>
      <c r="E268" s="1053" t="s">
        <v>14</v>
      </c>
      <c r="F268" s="1053"/>
      <c r="G268" s="1053" t="s">
        <v>14</v>
      </c>
      <c r="H268" s="1053"/>
      <c r="I268" s="1053"/>
      <c r="J268" s="1053"/>
    </row>
    <row r="269" spans="1:15" ht="15" hidden="1" customHeight="1" x14ac:dyDescent="0.25">
      <c r="A269" s="376"/>
      <c r="B269" s="375"/>
      <c r="C269" s="375"/>
      <c r="D269" s="375"/>
      <c r="E269" s="376"/>
      <c r="F269" s="376"/>
      <c r="G269" s="376"/>
      <c r="H269" s="376"/>
      <c r="I269" s="376"/>
      <c r="J269" s="444"/>
    </row>
    <row r="270" spans="1:15" ht="16.5" customHeight="1" x14ac:dyDescent="0.25">
      <c r="A270" s="1055" t="s">
        <v>275</v>
      </c>
      <c r="B270" s="1055"/>
      <c r="C270" s="1055"/>
      <c r="D270" s="1055"/>
      <c r="E270" s="1055"/>
      <c r="F270" s="1055"/>
      <c r="G270" s="1055"/>
      <c r="H270" s="1055"/>
      <c r="I270" s="1055"/>
      <c r="J270" s="1055"/>
    </row>
    <row r="271" spans="1:15" ht="15" customHeight="1" x14ac:dyDescent="0.25">
      <c r="A271" s="1075" t="s">
        <v>1</v>
      </c>
      <c r="B271" s="1134" t="s">
        <v>15</v>
      </c>
      <c r="C271" s="1135"/>
      <c r="D271" s="1136"/>
      <c r="E271" s="1075" t="s">
        <v>678</v>
      </c>
      <c r="F271" s="1075" t="s">
        <v>62</v>
      </c>
      <c r="G271" s="1015" t="s">
        <v>63</v>
      </c>
      <c r="H271" s="1015"/>
      <c r="I271" s="1015"/>
      <c r="J271" s="1015"/>
      <c r="K271" s="1021" t="s">
        <v>651</v>
      </c>
    </row>
    <row r="272" spans="1:15" ht="24" customHeight="1" x14ac:dyDescent="0.25">
      <c r="A272" s="1076"/>
      <c r="B272" s="1137"/>
      <c r="C272" s="1138"/>
      <c r="D272" s="1139"/>
      <c r="E272" s="1076"/>
      <c r="F272" s="1076"/>
      <c r="G272" s="681" t="s">
        <v>298</v>
      </c>
      <c r="H272" s="681" t="s">
        <v>295</v>
      </c>
      <c r="I272" s="680" t="s">
        <v>296</v>
      </c>
      <c r="J272" s="445" t="s">
        <v>297</v>
      </c>
      <c r="K272" s="1021"/>
    </row>
    <row r="273" spans="1:16" ht="11.25" customHeight="1" x14ac:dyDescent="0.25">
      <c r="A273" s="681">
        <v>1</v>
      </c>
      <c r="B273" s="1015">
        <v>2</v>
      </c>
      <c r="C273" s="1015"/>
      <c r="D273" s="1015"/>
      <c r="E273" s="681">
        <v>3</v>
      </c>
      <c r="F273" s="681">
        <v>4</v>
      </c>
      <c r="G273" s="1024">
        <v>5</v>
      </c>
      <c r="H273" s="1077"/>
      <c r="I273" s="1077"/>
      <c r="J273" s="1025"/>
      <c r="K273" s="1021"/>
    </row>
    <row r="274" spans="1:16" ht="49.5" customHeight="1" x14ac:dyDescent="0.3">
      <c r="A274" s="676">
        <v>1</v>
      </c>
      <c r="B274" s="1040" t="s">
        <v>332</v>
      </c>
      <c r="C274" s="1040"/>
      <c r="D274" s="1040"/>
      <c r="E274" s="676" t="s">
        <v>160</v>
      </c>
      <c r="F274" s="676">
        <v>12</v>
      </c>
      <c r="G274" s="676" t="s">
        <v>299</v>
      </c>
      <c r="H274" s="676">
        <v>12</v>
      </c>
      <c r="I274" s="163">
        <v>4000</v>
      </c>
      <c r="J274" s="446">
        <f>H274*I274</f>
        <v>48000</v>
      </c>
      <c r="K274" s="704" t="s">
        <v>1119</v>
      </c>
      <c r="L274" s="353">
        <v>36000</v>
      </c>
    </row>
    <row r="275" spans="1:16" ht="28.5" hidden="1" customHeight="1" x14ac:dyDescent="0.25">
      <c r="A275" s="676"/>
      <c r="B275" s="1040" t="s">
        <v>333</v>
      </c>
      <c r="C275" s="1040"/>
      <c r="D275" s="1040"/>
      <c r="E275" s="676" t="s">
        <v>160</v>
      </c>
      <c r="F275" s="676"/>
      <c r="G275" s="676"/>
      <c r="H275" s="676"/>
      <c r="I275" s="163"/>
      <c r="J275" s="446"/>
      <c r="K275" s="304"/>
    </row>
    <row r="276" spans="1:16" ht="19.5" customHeight="1" x14ac:dyDescent="0.25">
      <c r="A276" s="1093">
        <v>2</v>
      </c>
      <c r="B276" s="1249" t="s">
        <v>329</v>
      </c>
      <c r="C276" s="1250"/>
      <c r="D276" s="1251"/>
      <c r="E276" s="1083" t="s">
        <v>160</v>
      </c>
      <c r="F276" s="1083">
        <v>12</v>
      </c>
      <c r="G276" s="1083" t="s">
        <v>299</v>
      </c>
      <c r="H276" s="1083">
        <v>12</v>
      </c>
      <c r="I276" s="1107">
        <v>8440.91</v>
      </c>
      <c r="J276" s="1255">
        <f>H276*I276</f>
        <v>101290.92</v>
      </c>
      <c r="K276" s="1028" t="s">
        <v>1120</v>
      </c>
    </row>
    <row r="277" spans="1:16" ht="17.25" customHeight="1" x14ac:dyDescent="0.35">
      <c r="A277" s="1094"/>
      <c r="B277" s="1252"/>
      <c r="C277" s="1253"/>
      <c r="D277" s="1254"/>
      <c r="E277" s="1088"/>
      <c r="F277" s="1088"/>
      <c r="G277" s="1088"/>
      <c r="H277" s="1088"/>
      <c r="I277" s="1108"/>
      <c r="J277" s="1256"/>
      <c r="K277" s="1030"/>
      <c r="L277" s="309" t="s">
        <v>664</v>
      </c>
    </row>
    <row r="278" spans="1:16" ht="113.25" customHeight="1" x14ac:dyDescent="0.25">
      <c r="A278" s="676">
        <v>3</v>
      </c>
      <c r="B278" s="1040" t="s">
        <v>330</v>
      </c>
      <c r="C278" s="1040"/>
      <c r="D278" s="1040"/>
      <c r="E278" s="676" t="s">
        <v>1161</v>
      </c>
      <c r="F278" s="676">
        <v>12</v>
      </c>
      <c r="G278" s="676" t="s">
        <v>299</v>
      </c>
      <c r="H278" s="676">
        <v>12</v>
      </c>
      <c r="I278" s="163">
        <f>5*7271.1</f>
        <v>36355.5</v>
      </c>
      <c r="J278" s="446">
        <f>I278*12</f>
        <v>436266</v>
      </c>
      <c r="K278" s="304" t="s">
        <v>1172</v>
      </c>
      <c r="N278" s="164">
        <v>-18900</v>
      </c>
    </row>
    <row r="279" spans="1:16" ht="81.75" customHeight="1" x14ac:dyDescent="0.25">
      <c r="A279" s="676">
        <v>4</v>
      </c>
      <c r="B279" s="1040" t="s">
        <v>105</v>
      </c>
      <c r="C279" s="1040"/>
      <c r="D279" s="1040"/>
      <c r="E279" s="676" t="s">
        <v>688</v>
      </c>
      <c r="F279" s="676">
        <v>12</v>
      </c>
      <c r="G279" s="676" t="s">
        <v>299</v>
      </c>
      <c r="H279" s="676">
        <v>12</v>
      </c>
      <c r="I279" s="163">
        <v>15000</v>
      </c>
      <c r="J279" s="446">
        <f>I279*12</f>
        <v>180000</v>
      </c>
      <c r="K279" s="304" t="s">
        <v>1121</v>
      </c>
      <c r="L279" s="289"/>
      <c r="N279" s="164" t="s">
        <v>752</v>
      </c>
      <c r="P279" s="164">
        <f>248217.6-208859.5</f>
        <v>39358.100000000006</v>
      </c>
    </row>
    <row r="280" spans="1:16" ht="64.5" customHeight="1" x14ac:dyDescent="0.25">
      <c r="A280" s="676">
        <v>5</v>
      </c>
      <c r="B280" s="1040" t="s">
        <v>252</v>
      </c>
      <c r="C280" s="1040"/>
      <c r="D280" s="1040"/>
      <c r="E280" s="676" t="s">
        <v>160</v>
      </c>
      <c r="F280" s="676">
        <v>12</v>
      </c>
      <c r="G280" s="676" t="s">
        <v>299</v>
      </c>
      <c r="H280" s="676">
        <v>12</v>
      </c>
      <c r="I280" s="163">
        <v>4977.5</v>
      </c>
      <c r="J280" s="446">
        <f>H280*I280</f>
        <v>59730</v>
      </c>
      <c r="K280" s="708" t="s">
        <v>1122</v>
      </c>
      <c r="L280" s="438">
        <v>59730</v>
      </c>
      <c r="N280" s="164">
        <v>12</v>
      </c>
      <c r="O280" s="164">
        <f>L280/N280</f>
        <v>4977.5</v>
      </c>
    </row>
    <row r="281" spans="1:16" ht="17.25" customHeight="1" x14ac:dyDescent="0.25">
      <c r="A281" s="1083">
        <v>6</v>
      </c>
      <c r="B281" s="1057" t="s">
        <v>1168</v>
      </c>
      <c r="C281" s="1058"/>
      <c r="D281" s="1059"/>
      <c r="E281" s="1083" t="s">
        <v>1169</v>
      </c>
      <c r="F281" s="1083">
        <v>9</v>
      </c>
      <c r="G281" s="1083" t="s">
        <v>299</v>
      </c>
      <c r="H281" s="1083">
        <v>9</v>
      </c>
      <c r="I281" s="1107">
        <v>11000</v>
      </c>
      <c r="J281" s="1279">
        <f>H281*I281</f>
        <v>99000</v>
      </c>
      <c r="K281" s="1085"/>
    </row>
    <row r="282" spans="1:16" ht="15.75" customHeight="1" x14ac:dyDescent="0.25">
      <c r="A282" s="1084"/>
      <c r="B282" s="1060"/>
      <c r="C282" s="1061"/>
      <c r="D282" s="1062"/>
      <c r="E282" s="1088"/>
      <c r="F282" s="1088"/>
      <c r="G282" s="1088"/>
      <c r="H282" s="1088"/>
      <c r="I282" s="1108"/>
      <c r="J282" s="1280"/>
      <c r="K282" s="1086"/>
    </row>
    <row r="283" spans="1:16" ht="24" customHeight="1" x14ac:dyDescent="0.25">
      <c r="A283" s="676">
        <v>7</v>
      </c>
      <c r="B283" s="1040" t="s">
        <v>462</v>
      </c>
      <c r="C283" s="1040"/>
      <c r="D283" s="1040"/>
      <c r="E283" s="676" t="s">
        <v>160</v>
      </c>
      <c r="F283" s="676">
        <v>12</v>
      </c>
      <c r="G283" s="676" t="s">
        <v>299</v>
      </c>
      <c r="H283" s="676">
        <v>12</v>
      </c>
      <c r="I283" s="163">
        <v>1236</v>
      </c>
      <c r="J283" s="756">
        <f>H283*I283</f>
        <v>14832</v>
      </c>
      <c r="K283" s="704" t="s">
        <v>1123</v>
      </c>
      <c r="L283" s="164" t="s">
        <v>663</v>
      </c>
    </row>
    <row r="284" spans="1:16" ht="19.5" customHeight="1" x14ac:dyDescent="0.25">
      <c r="A284" s="676">
        <v>8</v>
      </c>
      <c r="B284" s="1017" t="s">
        <v>709</v>
      </c>
      <c r="C284" s="1018"/>
      <c r="D284" s="1019"/>
      <c r="E284" s="676" t="s">
        <v>677</v>
      </c>
      <c r="F284" s="676">
        <v>1</v>
      </c>
      <c r="G284" s="676" t="s">
        <v>640</v>
      </c>
      <c r="H284" s="676">
        <v>1</v>
      </c>
      <c r="I284" s="163">
        <v>70000</v>
      </c>
      <c r="J284" s="446">
        <f>H284*I284</f>
        <v>70000</v>
      </c>
      <c r="K284" s="305"/>
      <c r="L284" s="279">
        <v>70380</v>
      </c>
    </row>
    <row r="285" spans="1:16" ht="23.25" customHeight="1" x14ac:dyDescent="0.25">
      <c r="A285" s="676">
        <v>9</v>
      </c>
      <c r="B285" s="1040" t="s">
        <v>660</v>
      </c>
      <c r="C285" s="1040"/>
      <c r="D285" s="1040"/>
      <c r="E285" s="676" t="s">
        <v>677</v>
      </c>
      <c r="F285" s="676">
        <v>1</v>
      </c>
      <c r="G285" s="676" t="s">
        <v>661</v>
      </c>
      <c r="H285" s="676">
        <v>1</v>
      </c>
      <c r="I285" s="163">
        <v>40000</v>
      </c>
      <c r="J285" s="446">
        <f>I285</f>
        <v>40000</v>
      </c>
      <c r="K285" s="305"/>
      <c r="L285" s="279"/>
    </row>
    <row r="286" spans="1:16" ht="44.25" customHeight="1" x14ac:dyDescent="0.25">
      <c r="A286" s="676">
        <v>10</v>
      </c>
      <c r="B286" s="1040" t="s">
        <v>128</v>
      </c>
      <c r="C286" s="1040"/>
      <c r="D286" s="1040"/>
      <c r="E286" s="676" t="s">
        <v>677</v>
      </c>
      <c r="F286" s="676">
        <v>1</v>
      </c>
      <c r="G286" s="676" t="s">
        <v>299</v>
      </c>
      <c r="H286" s="676">
        <v>1</v>
      </c>
      <c r="I286" s="163">
        <v>0</v>
      </c>
      <c r="J286" s="446">
        <f>H286*I286</f>
        <v>0</v>
      </c>
      <c r="K286" s="304" t="s">
        <v>699</v>
      </c>
      <c r="L286" s="279"/>
    </row>
    <row r="287" spans="1:16" ht="21.75" hidden="1" customHeight="1" x14ac:dyDescent="0.25">
      <c r="A287" s="676">
        <v>11</v>
      </c>
      <c r="B287" s="1040" t="s">
        <v>337</v>
      </c>
      <c r="C287" s="1040"/>
      <c r="D287" s="1040"/>
      <c r="E287" s="676"/>
      <c r="F287" s="676">
        <v>0</v>
      </c>
      <c r="G287" s="676" t="s">
        <v>299</v>
      </c>
      <c r="H287" s="676">
        <v>0</v>
      </c>
      <c r="I287" s="163">
        <v>0</v>
      </c>
      <c r="J287" s="446">
        <v>0</v>
      </c>
      <c r="K287" s="304"/>
    </row>
    <row r="288" spans="1:16" x14ac:dyDescent="0.25">
      <c r="A288" s="676">
        <v>11</v>
      </c>
      <c r="B288" s="1017" t="s">
        <v>129</v>
      </c>
      <c r="C288" s="1080"/>
      <c r="D288" s="1081"/>
      <c r="E288" s="676" t="s">
        <v>677</v>
      </c>
      <c r="F288" s="676">
        <v>1</v>
      </c>
      <c r="G288" s="676" t="s">
        <v>299</v>
      </c>
      <c r="H288" s="676">
        <v>1</v>
      </c>
      <c r="I288" s="163">
        <v>10000</v>
      </c>
      <c r="J288" s="446">
        <f t="shared" ref="J288:J292" si="19">H288*I288</f>
        <v>10000</v>
      </c>
      <c r="K288" s="304" t="s">
        <v>699</v>
      </c>
    </row>
    <row r="289" spans="1:14" ht="36.75" customHeight="1" x14ac:dyDescent="0.25">
      <c r="A289" s="676">
        <v>12</v>
      </c>
      <c r="B289" s="1040" t="s">
        <v>601</v>
      </c>
      <c r="C289" s="1040"/>
      <c r="D289" s="1040"/>
      <c r="E289" s="676" t="s">
        <v>677</v>
      </c>
      <c r="F289" s="676">
        <v>1</v>
      </c>
      <c r="G289" s="676" t="s">
        <v>299</v>
      </c>
      <c r="H289" s="676">
        <v>1</v>
      </c>
      <c r="I289" s="163">
        <v>18000</v>
      </c>
      <c r="J289" s="446">
        <f t="shared" si="19"/>
        <v>18000</v>
      </c>
      <c r="K289" s="304" t="s">
        <v>699</v>
      </c>
    </row>
    <row r="290" spans="1:14" ht="55.5" hidden="1" customHeight="1" x14ac:dyDescent="0.25">
      <c r="A290" s="676">
        <v>12</v>
      </c>
      <c r="B290" s="1017" t="s">
        <v>736</v>
      </c>
      <c r="C290" s="1018"/>
      <c r="D290" s="1019"/>
      <c r="E290" s="676" t="s">
        <v>732</v>
      </c>
      <c r="F290" s="676">
        <v>1</v>
      </c>
      <c r="G290" s="676" t="s">
        <v>299</v>
      </c>
      <c r="H290" s="676">
        <v>1</v>
      </c>
      <c r="I290" s="163">
        <v>0</v>
      </c>
      <c r="J290" s="446">
        <f>I290*12</f>
        <v>0</v>
      </c>
      <c r="K290" s="304"/>
    </row>
    <row r="291" spans="1:14" ht="38.25" hidden="1" customHeight="1" x14ac:dyDescent="0.25">
      <c r="A291" s="676">
        <v>13</v>
      </c>
      <c r="B291" s="1017" t="s">
        <v>463</v>
      </c>
      <c r="C291" s="1018"/>
      <c r="D291" s="1019"/>
      <c r="E291" s="676" t="s">
        <v>677</v>
      </c>
      <c r="F291" s="676">
        <v>1</v>
      </c>
      <c r="G291" s="676" t="s">
        <v>299</v>
      </c>
      <c r="H291" s="676">
        <v>1</v>
      </c>
      <c r="I291" s="163">
        <v>0</v>
      </c>
      <c r="J291" s="446">
        <f t="shared" si="19"/>
        <v>0</v>
      </c>
      <c r="K291" s="708"/>
    </row>
    <row r="292" spans="1:14" ht="38.25" hidden="1" customHeight="1" x14ac:dyDescent="0.25">
      <c r="A292" s="676">
        <v>14</v>
      </c>
      <c r="B292" s="1017" t="s">
        <v>113</v>
      </c>
      <c r="C292" s="1018"/>
      <c r="D292" s="1019"/>
      <c r="E292" s="676" t="s">
        <v>677</v>
      </c>
      <c r="F292" s="676">
        <v>1</v>
      </c>
      <c r="G292" s="676" t="s">
        <v>299</v>
      </c>
      <c r="H292" s="676">
        <v>1</v>
      </c>
      <c r="I292" s="163">
        <v>0</v>
      </c>
      <c r="J292" s="446">
        <f t="shared" si="19"/>
        <v>0</v>
      </c>
      <c r="K292" s="708" t="s">
        <v>698</v>
      </c>
    </row>
    <row r="293" spans="1:14" ht="36" hidden="1" customHeight="1" x14ac:dyDescent="0.25">
      <c r="A293" s="676">
        <v>14</v>
      </c>
      <c r="B293" s="1017" t="s">
        <v>607</v>
      </c>
      <c r="C293" s="1018"/>
      <c r="D293" s="1019"/>
      <c r="E293" s="676" t="s">
        <v>606</v>
      </c>
      <c r="F293" s="676">
        <v>4</v>
      </c>
      <c r="G293" s="676" t="s">
        <v>299</v>
      </c>
      <c r="H293" s="676">
        <v>4</v>
      </c>
      <c r="I293" s="163">
        <v>0</v>
      </c>
      <c r="J293" s="446">
        <v>0</v>
      </c>
      <c r="K293" s="708" t="s">
        <v>1124</v>
      </c>
      <c r="L293" s="164">
        <v>40000</v>
      </c>
      <c r="N293" s="164">
        <v>40000</v>
      </c>
    </row>
    <row r="294" spans="1:14" ht="47.25" hidden="1" customHeight="1" x14ac:dyDescent="0.25">
      <c r="A294" s="676">
        <v>18</v>
      </c>
      <c r="B294" s="1017" t="s">
        <v>636</v>
      </c>
      <c r="C294" s="1018"/>
      <c r="D294" s="1019"/>
      <c r="E294" s="676" t="s">
        <v>160</v>
      </c>
      <c r="F294" s="676">
        <v>12</v>
      </c>
      <c r="G294" s="676" t="s">
        <v>299</v>
      </c>
      <c r="H294" s="676">
        <v>12</v>
      </c>
      <c r="I294" s="163">
        <v>0</v>
      </c>
      <c r="J294" s="446">
        <f t="shared" ref="J294:J299" si="20">H294*I294</f>
        <v>0</v>
      </c>
      <c r="K294" s="293"/>
      <c r="N294" s="164" t="s">
        <v>605</v>
      </c>
    </row>
    <row r="295" spans="1:14" ht="33.75" customHeight="1" x14ac:dyDescent="0.25">
      <c r="A295" s="676">
        <v>13</v>
      </c>
      <c r="B295" s="1017" t="s">
        <v>637</v>
      </c>
      <c r="C295" s="1018"/>
      <c r="D295" s="1019"/>
      <c r="E295" s="676" t="s">
        <v>676</v>
      </c>
      <c r="F295" s="676">
        <v>2</v>
      </c>
      <c r="G295" s="676" t="s">
        <v>299</v>
      </c>
      <c r="H295" s="676">
        <v>3</v>
      </c>
      <c r="I295" s="163">
        <v>2405</v>
      </c>
      <c r="J295" s="446">
        <f>I295*F295</f>
        <v>4810</v>
      </c>
      <c r="K295" s="708" t="s">
        <v>1125</v>
      </c>
      <c r="L295" s="308"/>
      <c r="N295" s="164">
        <v>5760</v>
      </c>
    </row>
    <row r="296" spans="1:14" ht="53.25" hidden="1" customHeight="1" x14ac:dyDescent="0.25">
      <c r="A296" s="676">
        <v>20</v>
      </c>
      <c r="B296" s="1017" t="s">
        <v>697</v>
      </c>
      <c r="C296" s="1018"/>
      <c r="D296" s="1019"/>
      <c r="E296" s="676" t="s">
        <v>700</v>
      </c>
      <c r="F296" s="676">
        <v>7</v>
      </c>
      <c r="G296" s="676" t="s">
        <v>299</v>
      </c>
      <c r="H296" s="676">
        <v>7</v>
      </c>
      <c r="I296" s="163">
        <v>0</v>
      </c>
      <c r="J296" s="446">
        <f t="shared" si="20"/>
        <v>0</v>
      </c>
      <c r="K296" s="708" t="s">
        <v>635</v>
      </c>
    </row>
    <row r="297" spans="1:14" ht="52.5" hidden="1" customHeight="1" x14ac:dyDescent="0.25">
      <c r="A297" s="676">
        <v>21</v>
      </c>
      <c r="B297" s="1017" t="s">
        <v>638</v>
      </c>
      <c r="C297" s="1018"/>
      <c r="D297" s="1019"/>
      <c r="E297" s="676" t="s">
        <v>160</v>
      </c>
      <c r="F297" s="676">
        <v>12</v>
      </c>
      <c r="G297" s="676" t="s">
        <v>299</v>
      </c>
      <c r="H297" s="676">
        <v>12</v>
      </c>
      <c r="I297" s="163">
        <v>0</v>
      </c>
      <c r="J297" s="446">
        <f t="shared" si="20"/>
        <v>0</v>
      </c>
      <c r="K297" s="708"/>
    </row>
    <row r="298" spans="1:14" ht="48" hidden="1" customHeight="1" x14ac:dyDescent="0.25">
      <c r="A298" s="676">
        <v>22</v>
      </c>
      <c r="B298" s="1017" t="s">
        <v>639</v>
      </c>
      <c r="C298" s="1018"/>
      <c r="D298" s="1019"/>
      <c r="E298" s="676" t="s">
        <v>160</v>
      </c>
      <c r="F298" s="676">
        <v>12</v>
      </c>
      <c r="G298" s="676" t="s">
        <v>299</v>
      </c>
      <c r="H298" s="676">
        <v>12</v>
      </c>
      <c r="I298" s="163">
        <v>0</v>
      </c>
      <c r="J298" s="446">
        <f t="shared" si="20"/>
        <v>0</v>
      </c>
      <c r="K298" s="708"/>
    </row>
    <row r="299" spans="1:14" ht="38.25" hidden="1" customHeight="1" x14ac:dyDescent="0.25">
      <c r="A299" s="676">
        <v>23</v>
      </c>
      <c r="B299" s="1017" t="s">
        <v>701</v>
      </c>
      <c r="C299" s="1018"/>
      <c r="D299" s="1019"/>
      <c r="E299" s="676" t="s">
        <v>713</v>
      </c>
      <c r="F299" s="676">
        <v>1</v>
      </c>
      <c r="G299" s="676" t="s">
        <v>299</v>
      </c>
      <c r="H299" s="676">
        <v>1</v>
      </c>
      <c r="I299" s="163">
        <v>0</v>
      </c>
      <c r="J299" s="446">
        <f t="shared" si="20"/>
        <v>0</v>
      </c>
      <c r="K299" s="708" t="s">
        <v>714</v>
      </c>
    </row>
    <row r="300" spans="1:14" ht="0.75" hidden="1" customHeight="1" x14ac:dyDescent="0.25">
      <c r="A300" s="676">
        <v>14</v>
      </c>
      <c r="B300" s="1017"/>
      <c r="C300" s="1018"/>
      <c r="D300" s="1019"/>
      <c r="E300" s="676"/>
      <c r="F300" s="676">
        <v>1</v>
      </c>
      <c r="G300" s="676" t="s">
        <v>299</v>
      </c>
      <c r="H300" s="676">
        <v>1</v>
      </c>
      <c r="I300" s="163"/>
      <c r="J300" s="446"/>
      <c r="K300" s="708"/>
    </row>
    <row r="301" spans="1:14" ht="38.25" customHeight="1" x14ac:dyDescent="0.25">
      <c r="A301" s="676">
        <v>14</v>
      </c>
      <c r="B301" s="1017" t="s">
        <v>766</v>
      </c>
      <c r="C301" s="1018"/>
      <c r="D301" s="1019"/>
      <c r="E301" s="676" t="s">
        <v>677</v>
      </c>
      <c r="F301" s="676">
        <v>1</v>
      </c>
      <c r="G301" s="676" t="s">
        <v>299</v>
      </c>
      <c r="H301" s="676">
        <v>1</v>
      </c>
      <c r="I301" s="163">
        <f>2500+571.08</f>
        <v>3071.08</v>
      </c>
      <c r="J301" s="446">
        <f>I301</f>
        <v>3071.08</v>
      </c>
      <c r="K301" s="708" t="s">
        <v>1126</v>
      </c>
    </row>
    <row r="302" spans="1:14" ht="38.25" customHeight="1" x14ac:dyDescent="0.25">
      <c r="A302" s="676">
        <v>15</v>
      </c>
      <c r="B302" s="1017" t="s">
        <v>697</v>
      </c>
      <c r="C302" s="1018"/>
      <c r="D302" s="1019"/>
      <c r="E302" s="676" t="s">
        <v>700</v>
      </c>
      <c r="F302" s="676">
        <v>7</v>
      </c>
      <c r="G302" s="676" t="s">
        <v>1134</v>
      </c>
      <c r="H302" s="676">
        <v>7</v>
      </c>
      <c r="I302" s="163">
        <v>0</v>
      </c>
      <c r="J302" s="446">
        <f>H302*I302</f>
        <v>0</v>
      </c>
      <c r="K302" s="708" t="s">
        <v>635</v>
      </c>
    </row>
    <row r="303" spans="1:14" ht="63.75" customHeight="1" x14ac:dyDescent="0.25">
      <c r="A303" s="676">
        <v>16</v>
      </c>
      <c r="B303" s="1017" t="s">
        <v>1136</v>
      </c>
      <c r="C303" s="1018"/>
      <c r="D303" s="1019"/>
      <c r="E303" s="676" t="s">
        <v>160</v>
      </c>
      <c r="F303" s="676">
        <v>12</v>
      </c>
      <c r="G303" s="676" t="s">
        <v>299</v>
      </c>
      <c r="H303" s="676">
        <v>12</v>
      </c>
      <c r="I303" s="163">
        <v>0</v>
      </c>
      <c r="J303" s="446">
        <v>0</v>
      </c>
      <c r="K303" s="708" t="s">
        <v>1135</v>
      </c>
    </row>
    <row r="304" spans="1:14" x14ac:dyDescent="0.25">
      <c r="A304" s="679"/>
      <c r="B304" s="1014" t="s">
        <v>13</v>
      </c>
      <c r="C304" s="1014"/>
      <c r="D304" s="1014"/>
      <c r="E304" s="679" t="s">
        <v>14</v>
      </c>
      <c r="F304" s="679" t="s">
        <v>14</v>
      </c>
      <c r="G304" s="1140">
        <f>SUM(J274:J303)</f>
        <v>1085000</v>
      </c>
      <c r="H304" s="1141"/>
      <c r="I304" s="1141"/>
      <c r="J304" s="1141"/>
    </row>
    <row r="305" spans="1:14" ht="17.25" customHeight="1" x14ac:dyDescent="0.25">
      <c r="A305" s="1056" t="s">
        <v>280</v>
      </c>
      <c r="B305" s="1056"/>
      <c r="C305" s="1056"/>
      <c r="D305" s="1056"/>
      <c r="E305" s="1056"/>
      <c r="F305" s="1056"/>
      <c r="G305" s="1056"/>
      <c r="H305" s="1056"/>
      <c r="I305" s="1056"/>
      <c r="J305" s="1056"/>
    </row>
    <row r="306" spans="1:14" ht="17.25" customHeight="1" x14ac:dyDescent="0.25">
      <c r="A306" s="1075" t="s">
        <v>1</v>
      </c>
      <c r="B306" s="1134" t="s">
        <v>15</v>
      </c>
      <c r="C306" s="1135"/>
      <c r="D306" s="1136"/>
      <c r="E306" s="1134" t="s">
        <v>64</v>
      </c>
      <c r="F306" s="1136"/>
      <c r="G306" s="1015" t="s">
        <v>65</v>
      </c>
      <c r="H306" s="1015"/>
      <c r="I306" s="1015"/>
      <c r="J306" s="1015"/>
      <c r="K306" s="1021" t="s">
        <v>652</v>
      </c>
    </row>
    <row r="307" spans="1:14" ht="27.75" customHeight="1" x14ac:dyDescent="0.25">
      <c r="A307" s="1076"/>
      <c r="B307" s="1137"/>
      <c r="C307" s="1138"/>
      <c r="D307" s="1139"/>
      <c r="E307" s="1137"/>
      <c r="F307" s="1139"/>
      <c r="G307" s="681" t="s">
        <v>298</v>
      </c>
      <c r="H307" s="681" t="s">
        <v>295</v>
      </c>
      <c r="I307" s="681" t="s">
        <v>296</v>
      </c>
      <c r="J307" s="445" t="s">
        <v>297</v>
      </c>
      <c r="K307" s="1021"/>
    </row>
    <row r="308" spans="1:14" ht="14.25" customHeight="1" x14ac:dyDescent="0.25">
      <c r="A308" s="681">
        <v>1</v>
      </c>
      <c r="B308" s="1015">
        <v>2</v>
      </c>
      <c r="C308" s="1015"/>
      <c r="D308" s="1015"/>
      <c r="E308" s="1024">
        <v>3</v>
      </c>
      <c r="F308" s="1025"/>
      <c r="G308" s="1015">
        <v>4</v>
      </c>
      <c r="H308" s="1015"/>
      <c r="I308" s="1015"/>
      <c r="J308" s="1015"/>
      <c r="K308" s="1021"/>
    </row>
    <row r="309" spans="1:14" ht="30" customHeight="1" x14ac:dyDescent="0.25">
      <c r="A309" s="679" t="s">
        <v>70</v>
      </c>
      <c r="B309" s="1041" t="s">
        <v>347</v>
      </c>
      <c r="C309" s="1042"/>
      <c r="D309" s="1043"/>
      <c r="E309" s="1038" t="s">
        <v>74</v>
      </c>
      <c r="F309" s="1039"/>
      <c r="G309" s="336" t="s">
        <v>74</v>
      </c>
      <c r="H309" s="336" t="s">
        <v>74</v>
      </c>
      <c r="I309" s="385" t="s">
        <v>74</v>
      </c>
      <c r="J309" s="447">
        <f>SUM(J310:J332)</f>
        <v>2953000</v>
      </c>
      <c r="K309" s="1021"/>
    </row>
    <row r="310" spans="1:14" ht="36" customHeight="1" x14ac:dyDescent="0.25">
      <c r="A310" s="676" t="s">
        <v>27</v>
      </c>
      <c r="B310" s="1040" t="s">
        <v>464</v>
      </c>
      <c r="C310" s="1040"/>
      <c r="D310" s="1040"/>
      <c r="E310" s="1026">
        <v>1</v>
      </c>
      <c r="F310" s="1027"/>
      <c r="G310" s="676" t="s">
        <v>299</v>
      </c>
      <c r="H310" s="676" t="s">
        <v>1093</v>
      </c>
      <c r="I310" s="161">
        <v>247.5215</v>
      </c>
      <c r="J310" s="446">
        <f>366*24*247.5</f>
        <v>2174040</v>
      </c>
      <c r="K310" s="304" t="s">
        <v>1099</v>
      </c>
      <c r="L310" s="164">
        <v>482370</v>
      </c>
    </row>
    <row r="311" spans="1:14" s="276" customFormat="1" ht="38.25" customHeight="1" x14ac:dyDescent="0.35">
      <c r="A311" s="683" t="s">
        <v>29</v>
      </c>
      <c r="B311" s="1017" t="s">
        <v>323</v>
      </c>
      <c r="C311" s="1080"/>
      <c r="D311" s="1081"/>
      <c r="E311" s="1317">
        <v>1</v>
      </c>
      <c r="F311" s="1318"/>
      <c r="G311" s="676" t="s">
        <v>299</v>
      </c>
      <c r="H311" s="676" t="s">
        <v>1093</v>
      </c>
      <c r="I311" s="161">
        <v>19.399999999999999</v>
      </c>
      <c r="J311" s="756">
        <f>366*24*19.4</f>
        <v>170409.59999999998</v>
      </c>
      <c r="K311" s="704" t="s">
        <v>1100</v>
      </c>
      <c r="L311" s="354">
        <v>77784.2</v>
      </c>
    </row>
    <row r="312" spans="1:14" ht="61.5" customHeight="1" x14ac:dyDescent="0.35">
      <c r="A312" s="676" t="s">
        <v>31</v>
      </c>
      <c r="B312" s="1040" t="s">
        <v>738</v>
      </c>
      <c r="C312" s="1040"/>
      <c r="D312" s="1040"/>
      <c r="E312" s="1026">
        <v>1</v>
      </c>
      <c r="F312" s="1027"/>
      <c r="G312" s="676" t="s">
        <v>299</v>
      </c>
      <c r="H312" s="676">
        <v>12</v>
      </c>
      <c r="I312" s="161">
        <v>6200</v>
      </c>
      <c r="J312" s="756">
        <f>H312*I312</f>
        <v>74400</v>
      </c>
      <c r="K312" s="304" t="s">
        <v>1127</v>
      </c>
      <c r="L312" s="354">
        <v>68200</v>
      </c>
    </row>
    <row r="313" spans="1:14" ht="33" customHeight="1" x14ac:dyDescent="0.35">
      <c r="A313" s="676" t="s">
        <v>264</v>
      </c>
      <c r="B313" s="1040" t="s">
        <v>739</v>
      </c>
      <c r="C313" s="1040"/>
      <c r="D313" s="1040"/>
      <c r="E313" s="1026" t="s">
        <v>741</v>
      </c>
      <c r="F313" s="1027"/>
      <c r="G313" s="676" t="s">
        <v>299</v>
      </c>
      <c r="H313" s="676">
        <v>12</v>
      </c>
      <c r="I313" s="161">
        <v>2750</v>
      </c>
      <c r="J313" s="756">
        <f>H313*I313</f>
        <v>33000</v>
      </c>
      <c r="K313" s="304" t="s">
        <v>1160</v>
      </c>
      <c r="L313" s="354" t="s">
        <v>740</v>
      </c>
    </row>
    <row r="314" spans="1:14" ht="19.5" customHeight="1" x14ac:dyDescent="0.25">
      <c r="A314" s="676" t="s">
        <v>265</v>
      </c>
      <c r="B314" s="1040" t="s">
        <v>137</v>
      </c>
      <c r="C314" s="1040"/>
      <c r="D314" s="1040"/>
      <c r="E314" s="1026">
        <v>1</v>
      </c>
      <c r="F314" s="1027"/>
      <c r="G314" s="676" t="s">
        <v>149</v>
      </c>
      <c r="H314" s="676">
        <v>85</v>
      </c>
      <c r="I314" s="161">
        <f>J314/H314</f>
        <v>4783.0591764705887</v>
      </c>
      <c r="J314" s="446">
        <f>692040.03-285480</f>
        <v>406560.03</v>
      </c>
      <c r="K314" s="304" t="s">
        <v>1137</v>
      </c>
      <c r="L314" s="282"/>
      <c r="N314" s="164">
        <v>373</v>
      </c>
    </row>
    <row r="315" spans="1:14" ht="41.25" hidden="1" customHeight="1" x14ac:dyDescent="0.25">
      <c r="A315" s="676" t="s">
        <v>276</v>
      </c>
      <c r="B315" s="1040" t="s">
        <v>465</v>
      </c>
      <c r="C315" s="1040"/>
      <c r="D315" s="1040"/>
      <c r="E315" s="1026">
        <v>1</v>
      </c>
      <c r="F315" s="1027"/>
      <c r="G315" s="676" t="s">
        <v>299</v>
      </c>
      <c r="H315" s="676">
        <v>0</v>
      </c>
      <c r="I315" s="161">
        <v>0</v>
      </c>
      <c r="J315" s="446">
        <v>0</v>
      </c>
      <c r="K315" s="304"/>
    </row>
    <row r="316" spans="1:14" ht="51.75" customHeight="1" x14ac:dyDescent="0.25">
      <c r="A316" s="676" t="s">
        <v>276</v>
      </c>
      <c r="B316" s="1040" t="s">
        <v>326</v>
      </c>
      <c r="C316" s="1040"/>
      <c r="D316" s="1040"/>
      <c r="E316" s="1026">
        <v>1</v>
      </c>
      <c r="F316" s="1027"/>
      <c r="G316" s="676" t="s">
        <v>149</v>
      </c>
      <c r="H316" s="676">
        <v>7</v>
      </c>
      <c r="I316" s="161">
        <v>300</v>
      </c>
      <c r="J316" s="446">
        <f t="shared" ref="J316:J327" si="21">H316*I316</f>
        <v>2100</v>
      </c>
      <c r="K316" s="304" t="s">
        <v>1142</v>
      </c>
    </row>
    <row r="317" spans="1:14" ht="41.25" customHeight="1" x14ac:dyDescent="0.25">
      <c r="A317" s="676" t="s">
        <v>277</v>
      </c>
      <c r="B317" s="1040" t="s">
        <v>338</v>
      </c>
      <c r="C317" s="1040"/>
      <c r="D317" s="1040"/>
      <c r="E317" s="1026">
        <v>1</v>
      </c>
      <c r="F317" s="1027"/>
      <c r="G317" s="676" t="s">
        <v>149</v>
      </c>
      <c r="H317" s="676">
        <v>2</v>
      </c>
      <c r="I317" s="161">
        <v>1500</v>
      </c>
      <c r="J317" s="446">
        <f>H317*I317</f>
        <v>3000</v>
      </c>
      <c r="K317" s="304" t="s">
        <v>1143</v>
      </c>
    </row>
    <row r="318" spans="1:14" ht="32.25" customHeight="1" x14ac:dyDescent="0.25">
      <c r="A318" s="676" t="s">
        <v>334</v>
      </c>
      <c r="B318" s="1017" t="s">
        <v>1095</v>
      </c>
      <c r="C318" s="1018"/>
      <c r="D318" s="1019"/>
      <c r="E318" s="1026">
        <v>1</v>
      </c>
      <c r="F318" s="1027"/>
      <c r="G318" s="676" t="s">
        <v>149</v>
      </c>
      <c r="H318" s="676">
        <v>2</v>
      </c>
      <c r="I318" s="161">
        <v>1500</v>
      </c>
      <c r="J318" s="446">
        <f t="shared" si="21"/>
        <v>3000</v>
      </c>
      <c r="K318" s="304" t="s">
        <v>1144</v>
      </c>
    </row>
    <row r="319" spans="1:14" ht="51.75" hidden="1" customHeight="1" x14ac:dyDescent="0.25">
      <c r="A319" s="676" t="s">
        <v>367</v>
      </c>
      <c r="B319" s="1017" t="s">
        <v>630</v>
      </c>
      <c r="C319" s="1018"/>
      <c r="D319" s="1019"/>
      <c r="E319" s="1026">
        <v>1</v>
      </c>
      <c r="F319" s="1027"/>
      <c r="G319" s="676" t="s">
        <v>631</v>
      </c>
      <c r="H319" s="676">
        <v>11</v>
      </c>
      <c r="I319" s="161">
        <v>0</v>
      </c>
      <c r="J319" s="446">
        <f t="shared" si="21"/>
        <v>0</v>
      </c>
      <c r="K319" s="304" t="s">
        <v>1171</v>
      </c>
    </row>
    <row r="320" spans="1:14" ht="51.75" customHeight="1" x14ac:dyDescent="0.25">
      <c r="A320" s="676" t="s">
        <v>348</v>
      </c>
      <c r="B320" s="1017" t="s">
        <v>690</v>
      </c>
      <c r="C320" s="1018"/>
      <c r="D320" s="1019"/>
      <c r="E320" s="1026">
        <v>1</v>
      </c>
      <c r="F320" s="1027"/>
      <c r="G320" s="676" t="s">
        <v>631</v>
      </c>
      <c r="H320" s="676">
        <v>10</v>
      </c>
      <c r="I320" s="161">
        <v>2000</v>
      </c>
      <c r="J320" s="446">
        <f t="shared" si="21"/>
        <v>20000</v>
      </c>
      <c r="K320" s="304" t="s">
        <v>1148</v>
      </c>
    </row>
    <row r="321" spans="1:12" ht="51.75" hidden="1" customHeight="1" x14ac:dyDescent="0.25">
      <c r="A321" s="676" t="s">
        <v>369</v>
      </c>
      <c r="B321" s="1017" t="s">
        <v>691</v>
      </c>
      <c r="C321" s="1018"/>
      <c r="D321" s="1019"/>
      <c r="E321" s="1026">
        <v>1</v>
      </c>
      <c r="F321" s="1027"/>
      <c r="G321" s="676" t="s">
        <v>631</v>
      </c>
      <c r="H321" s="676">
        <v>0</v>
      </c>
      <c r="I321" s="161">
        <v>0</v>
      </c>
      <c r="J321" s="446">
        <f t="shared" si="21"/>
        <v>0</v>
      </c>
      <c r="K321" s="304" t="s">
        <v>695</v>
      </c>
    </row>
    <row r="322" spans="1:12" ht="51.75" hidden="1" customHeight="1" x14ac:dyDescent="0.25">
      <c r="A322" s="676" t="s">
        <v>632</v>
      </c>
      <c r="B322" s="1017" t="s">
        <v>692</v>
      </c>
      <c r="C322" s="1018"/>
      <c r="D322" s="1019"/>
      <c r="E322" s="1026">
        <v>1</v>
      </c>
      <c r="F322" s="1027"/>
      <c r="G322" s="676" t="s">
        <v>631</v>
      </c>
      <c r="H322" s="676">
        <v>0</v>
      </c>
      <c r="I322" s="161">
        <v>0</v>
      </c>
      <c r="J322" s="446">
        <f t="shared" si="21"/>
        <v>0</v>
      </c>
      <c r="K322" s="304" t="s">
        <v>694</v>
      </c>
    </row>
    <row r="323" spans="1:12" ht="51.75" customHeight="1" x14ac:dyDescent="0.25">
      <c r="A323" s="676" t="s">
        <v>367</v>
      </c>
      <c r="B323" s="1017" t="s">
        <v>693</v>
      </c>
      <c r="C323" s="1018"/>
      <c r="D323" s="1019"/>
      <c r="E323" s="1026">
        <v>1</v>
      </c>
      <c r="F323" s="1027"/>
      <c r="G323" s="676" t="s">
        <v>149</v>
      </c>
      <c r="H323" s="676">
        <v>2</v>
      </c>
      <c r="I323" s="161">
        <v>1500</v>
      </c>
      <c r="J323" s="446">
        <f t="shared" si="21"/>
        <v>3000</v>
      </c>
      <c r="K323" s="304" t="s">
        <v>1147</v>
      </c>
    </row>
    <row r="324" spans="1:12" ht="51.75" customHeight="1" x14ac:dyDescent="0.25">
      <c r="A324" s="676" t="s">
        <v>368</v>
      </c>
      <c r="B324" s="1017" t="s">
        <v>1096</v>
      </c>
      <c r="C324" s="1018"/>
      <c r="D324" s="1019"/>
      <c r="E324" s="1026">
        <v>1</v>
      </c>
      <c r="F324" s="1027"/>
      <c r="G324" s="676" t="s">
        <v>149</v>
      </c>
      <c r="H324" s="676">
        <v>50</v>
      </c>
      <c r="I324" s="161">
        <v>500</v>
      </c>
      <c r="J324" s="446">
        <f t="shared" si="21"/>
        <v>25000</v>
      </c>
      <c r="K324" s="304" t="s">
        <v>1145</v>
      </c>
    </row>
    <row r="325" spans="1:12" ht="51.75" hidden="1" customHeight="1" x14ac:dyDescent="0.25">
      <c r="A325" s="676" t="s">
        <v>633</v>
      </c>
      <c r="B325" s="1017" t="s">
        <v>692</v>
      </c>
      <c r="C325" s="1018"/>
      <c r="D325" s="1019"/>
      <c r="E325" s="1026">
        <v>1</v>
      </c>
      <c r="F325" s="1027"/>
      <c r="G325" s="676" t="s">
        <v>149</v>
      </c>
      <c r="H325" s="676">
        <v>0</v>
      </c>
      <c r="I325" s="161">
        <v>0</v>
      </c>
      <c r="J325" s="446">
        <f t="shared" si="21"/>
        <v>0</v>
      </c>
      <c r="K325" s="304" t="s">
        <v>1146</v>
      </c>
    </row>
    <row r="326" spans="1:12" ht="43.5" customHeight="1" x14ac:dyDescent="0.25">
      <c r="A326" s="676" t="s">
        <v>369</v>
      </c>
      <c r="B326" s="1040" t="s">
        <v>466</v>
      </c>
      <c r="C326" s="1040"/>
      <c r="D326" s="1040"/>
      <c r="E326" s="1026">
        <v>1</v>
      </c>
      <c r="F326" s="1027"/>
      <c r="G326" s="676" t="s">
        <v>299</v>
      </c>
      <c r="H326" s="676">
        <v>1</v>
      </c>
      <c r="I326" s="161">
        <v>15000</v>
      </c>
      <c r="J326" s="446">
        <f t="shared" si="21"/>
        <v>15000</v>
      </c>
      <c r="K326" s="304" t="s">
        <v>677</v>
      </c>
    </row>
    <row r="327" spans="1:12" ht="28.5" customHeight="1" x14ac:dyDescent="0.25">
      <c r="A327" s="676" t="s">
        <v>632</v>
      </c>
      <c r="B327" s="1040" t="s">
        <v>468</v>
      </c>
      <c r="C327" s="1040"/>
      <c r="D327" s="1040"/>
      <c r="E327" s="1026">
        <v>1</v>
      </c>
      <c r="F327" s="1027"/>
      <c r="G327" s="676" t="s">
        <v>299</v>
      </c>
      <c r="H327" s="705">
        <v>1</v>
      </c>
      <c r="I327" s="161">
        <v>7000</v>
      </c>
      <c r="J327" s="446">
        <f t="shared" si="21"/>
        <v>7000</v>
      </c>
      <c r="K327" s="304" t="s">
        <v>677</v>
      </c>
    </row>
    <row r="328" spans="1:12" ht="29.25" hidden="1" customHeight="1" x14ac:dyDescent="0.25">
      <c r="A328" s="676" t="s">
        <v>1097</v>
      </c>
      <c r="B328" s="1017" t="s">
        <v>585</v>
      </c>
      <c r="C328" s="1018"/>
      <c r="D328" s="1019"/>
      <c r="E328" s="1026"/>
      <c r="F328" s="1027"/>
      <c r="G328" s="676"/>
      <c r="H328" s="676"/>
      <c r="I328" s="161">
        <v>0</v>
      </c>
      <c r="J328" s="446">
        <f>I328</f>
        <v>0</v>
      </c>
      <c r="K328" s="304" t="s">
        <v>1165</v>
      </c>
    </row>
    <row r="329" spans="1:12" ht="47.25" customHeight="1" x14ac:dyDescent="0.25">
      <c r="A329" s="676" t="s">
        <v>633</v>
      </c>
      <c r="B329" s="1040" t="s">
        <v>467</v>
      </c>
      <c r="C329" s="1040"/>
      <c r="D329" s="1040"/>
      <c r="E329" s="1026">
        <v>1</v>
      </c>
      <c r="F329" s="1027"/>
      <c r="G329" s="676" t="s">
        <v>299</v>
      </c>
      <c r="H329" s="676">
        <v>1</v>
      </c>
      <c r="I329" s="161">
        <f>5000+790.37-500</f>
        <v>5290.37</v>
      </c>
      <c r="J329" s="446">
        <f>I329</f>
        <v>5290.37</v>
      </c>
      <c r="K329" s="304" t="s">
        <v>677</v>
      </c>
    </row>
    <row r="330" spans="1:12" ht="47.25" customHeight="1" x14ac:dyDescent="0.25">
      <c r="A330" s="676" t="s">
        <v>634</v>
      </c>
      <c r="B330" s="1017" t="s">
        <v>728</v>
      </c>
      <c r="C330" s="1018"/>
      <c r="D330" s="1019"/>
      <c r="E330" s="1026">
        <v>1</v>
      </c>
      <c r="F330" s="1027"/>
      <c r="G330" s="676" t="s">
        <v>299</v>
      </c>
      <c r="H330" s="676">
        <v>7</v>
      </c>
      <c r="I330" s="161">
        <v>1600</v>
      </c>
      <c r="J330" s="446">
        <f>H330*I330</f>
        <v>11200</v>
      </c>
      <c r="K330" s="304" t="s">
        <v>1129</v>
      </c>
    </row>
    <row r="331" spans="1:12" ht="51" hidden="1" customHeight="1" x14ac:dyDescent="0.25">
      <c r="A331" s="676" t="s">
        <v>689</v>
      </c>
      <c r="B331" s="1017" t="s">
        <v>656</v>
      </c>
      <c r="C331" s="1018"/>
      <c r="D331" s="1019"/>
      <c r="E331" s="1026">
        <v>1</v>
      </c>
      <c r="F331" s="1027"/>
      <c r="G331" s="676" t="s">
        <v>299</v>
      </c>
      <c r="H331" s="676">
        <v>1</v>
      </c>
      <c r="I331" s="161">
        <v>0</v>
      </c>
      <c r="J331" s="446">
        <f>H331*I331</f>
        <v>0</v>
      </c>
      <c r="K331" s="304" t="s">
        <v>659</v>
      </c>
    </row>
    <row r="332" spans="1:12" ht="35.25" hidden="1" customHeight="1" x14ac:dyDescent="0.25">
      <c r="A332" s="676" t="s">
        <v>696</v>
      </c>
      <c r="B332" s="1017" t="s">
        <v>642</v>
      </c>
      <c r="C332" s="1018"/>
      <c r="D332" s="1019"/>
      <c r="E332" s="1026">
        <v>1</v>
      </c>
      <c r="F332" s="1027"/>
      <c r="G332" s="676" t="s">
        <v>299</v>
      </c>
      <c r="H332" s="676">
        <v>1</v>
      </c>
      <c r="I332" s="161">
        <v>0</v>
      </c>
      <c r="J332" s="446">
        <f>H332*I332</f>
        <v>0</v>
      </c>
      <c r="K332" s="304" t="s">
        <v>658</v>
      </c>
    </row>
    <row r="333" spans="1:12" ht="30" customHeight="1" x14ac:dyDescent="0.25">
      <c r="A333" s="679" t="s">
        <v>75</v>
      </c>
      <c r="B333" s="1041" t="s">
        <v>347</v>
      </c>
      <c r="C333" s="1042"/>
      <c r="D333" s="1043"/>
      <c r="E333" s="1038" t="s">
        <v>74</v>
      </c>
      <c r="F333" s="1039"/>
      <c r="G333" s="336" t="s">
        <v>74</v>
      </c>
      <c r="H333" s="336" t="s">
        <v>74</v>
      </c>
      <c r="I333" s="385" t="s">
        <v>74</v>
      </c>
      <c r="J333" s="448">
        <f>J334+J335+J336</f>
        <v>5176300</v>
      </c>
      <c r="L333" s="282">
        <f>J333+J337+950000</f>
        <v>30594700</v>
      </c>
    </row>
    <row r="334" spans="1:12" ht="84.75" customHeight="1" x14ac:dyDescent="0.25">
      <c r="A334" s="676" t="s">
        <v>34</v>
      </c>
      <c r="B334" s="1040" t="s">
        <v>470</v>
      </c>
      <c r="C334" s="1040"/>
      <c r="D334" s="1040"/>
      <c r="E334" s="1026">
        <v>2</v>
      </c>
      <c r="F334" s="1027"/>
      <c r="G334" s="676" t="s">
        <v>149</v>
      </c>
      <c r="H334" s="689" t="s">
        <v>1157</v>
      </c>
      <c r="I334" s="386" t="s">
        <v>1204</v>
      </c>
      <c r="J334" s="446">
        <f>5176300-728500</f>
        <v>4447800</v>
      </c>
    </row>
    <row r="335" spans="1:12" ht="165.75" customHeight="1" x14ac:dyDescent="0.25">
      <c r="A335" s="676" t="s">
        <v>36</v>
      </c>
      <c r="B335" s="1040" t="s">
        <v>541</v>
      </c>
      <c r="C335" s="1040"/>
      <c r="D335" s="1040"/>
      <c r="E335" s="1026">
        <v>2</v>
      </c>
      <c r="F335" s="1027"/>
      <c r="G335" s="676" t="s">
        <v>149</v>
      </c>
      <c r="H335" s="689" t="s">
        <v>1199</v>
      </c>
      <c r="I335" s="386" t="s">
        <v>1200</v>
      </c>
      <c r="J335" s="446">
        <v>728500</v>
      </c>
      <c r="K335" s="296">
        <f>J335+J339+J340</f>
        <v>6613000</v>
      </c>
    </row>
    <row r="336" spans="1:12" ht="0.75" hidden="1" customHeight="1" x14ac:dyDescent="0.25">
      <c r="A336" s="676"/>
      <c r="B336" s="1040"/>
      <c r="C336" s="1040"/>
      <c r="D336" s="1040"/>
      <c r="E336" s="1026"/>
      <c r="F336" s="1027"/>
      <c r="G336" s="676"/>
      <c r="H336" s="676"/>
      <c r="I336" s="161"/>
      <c r="J336" s="446"/>
    </row>
    <row r="337" spans="1:14" ht="30" customHeight="1" x14ac:dyDescent="0.25">
      <c r="A337" s="679" t="s">
        <v>77</v>
      </c>
      <c r="B337" s="1041" t="s">
        <v>620</v>
      </c>
      <c r="C337" s="1042"/>
      <c r="D337" s="1043"/>
      <c r="E337" s="1038" t="s">
        <v>74</v>
      </c>
      <c r="F337" s="1039"/>
      <c r="G337" s="336" t="s">
        <v>74</v>
      </c>
      <c r="H337" s="336" t="s">
        <v>74</v>
      </c>
      <c r="I337" s="385" t="s">
        <v>74</v>
      </c>
      <c r="J337" s="448">
        <f>J338+J339+J340</f>
        <v>24468400</v>
      </c>
    </row>
    <row r="338" spans="1:14" ht="55.5" customHeight="1" x14ac:dyDescent="0.25">
      <c r="A338" s="676" t="s">
        <v>374</v>
      </c>
      <c r="B338" s="1040" t="s">
        <v>471</v>
      </c>
      <c r="C338" s="1040"/>
      <c r="D338" s="1040"/>
      <c r="E338" s="1026">
        <v>2</v>
      </c>
      <c r="F338" s="1027"/>
      <c r="G338" s="676" t="s">
        <v>149</v>
      </c>
      <c r="H338" s="689" t="s">
        <v>1158</v>
      </c>
      <c r="I338" s="386" t="s">
        <v>1201</v>
      </c>
      <c r="J338" s="446">
        <f>19246300-I174</f>
        <v>18583900</v>
      </c>
      <c r="K338" s="296">
        <f>J338+J339+I174</f>
        <v>23424300</v>
      </c>
    </row>
    <row r="339" spans="1:14" ht="136.5" customHeight="1" x14ac:dyDescent="0.25">
      <c r="A339" s="676" t="s">
        <v>503</v>
      </c>
      <c r="B339" s="1040" t="s">
        <v>621</v>
      </c>
      <c r="C339" s="1040"/>
      <c r="D339" s="1040"/>
      <c r="E339" s="1026">
        <v>2</v>
      </c>
      <c r="F339" s="1027"/>
      <c r="G339" s="676" t="s">
        <v>149</v>
      </c>
      <c r="H339" s="689" t="s">
        <v>1198</v>
      </c>
      <c r="I339" s="386" t="s">
        <v>1202</v>
      </c>
      <c r="J339" s="446">
        <v>4178000</v>
      </c>
    </row>
    <row r="340" spans="1:14" ht="150.75" customHeight="1" x14ac:dyDescent="0.25">
      <c r="A340" s="676" t="s">
        <v>619</v>
      </c>
      <c r="B340" s="1040" t="s">
        <v>622</v>
      </c>
      <c r="C340" s="1040"/>
      <c r="D340" s="1040"/>
      <c r="E340" s="1026">
        <v>2</v>
      </c>
      <c r="F340" s="1027"/>
      <c r="G340" s="676" t="s">
        <v>149</v>
      </c>
      <c r="H340" s="689" t="s">
        <v>1197</v>
      </c>
      <c r="I340" s="386" t="s">
        <v>1203</v>
      </c>
      <c r="J340" s="446">
        <v>1706500</v>
      </c>
      <c r="K340" s="296">
        <f>J340+J339+J335</f>
        <v>6613000</v>
      </c>
      <c r="L340" s="323"/>
      <c r="N340" s="282"/>
    </row>
    <row r="341" spans="1:14" ht="30" customHeight="1" x14ac:dyDescent="0.25">
      <c r="A341" s="679" t="s">
        <v>86</v>
      </c>
      <c r="B341" s="1041" t="s">
        <v>349</v>
      </c>
      <c r="C341" s="1042"/>
      <c r="D341" s="1043"/>
      <c r="E341" s="1038" t="s">
        <v>74</v>
      </c>
      <c r="F341" s="1039"/>
      <c r="G341" s="336" t="s">
        <v>74</v>
      </c>
      <c r="H341" s="336" t="s">
        <v>74</v>
      </c>
      <c r="I341" s="416" t="s">
        <v>74</v>
      </c>
      <c r="J341" s="448">
        <f>J342+J343+J345+J344</f>
        <v>0</v>
      </c>
    </row>
    <row r="342" spans="1:14" ht="30" customHeight="1" x14ac:dyDescent="0.25">
      <c r="A342" s="676" t="s">
        <v>473</v>
      </c>
      <c r="B342" s="1017" t="s">
        <v>472</v>
      </c>
      <c r="C342" s="1018"/>
      <c r="D342" s="1019"/>
      <c r="E342" s="1034">
        <v>1</v>
      </c>
      <c r="F342" s="1035"/>
      <c r="G342" s="696" t="s">
        <v>149</v>
      </c>
      <c r="H342" s="696">
        <v>0</v>
      </c>
      <c r="I342" s="436">
        <v>0</v>
      </c>
      <c r="J342" s="449">
        <v>0</v>
      </c>
    </row>
    <row r="343" spans="1:14" ht="30" hidden="1" customHeight="1" x14ac:dyDescent="0.25">
      <c r="A343" s="676" t="s">
        <v>474</v>
      </c>
      <c r="B343" s="1017" t="s">
        <v>477</v>
      </c>
      <c r="C343" s="1018"/>
      <c r="D343" s="1019"/>
      <c r="E343" s="1034">
        <v>1</v>
      </c>
      <c r="F343" s="1035"/>
      <c r="G343" s="696" t="s">
        <v>299</v>
      </c>
      <c r="H343" s="696">
        <v>0</v>
      </c>
      <c r="I343" s="436">
        <v>0</v>
      </c>
      <c r="J343" s="446">
        <v>0</v>
      </c>
    </row>
    <row r="344" spans="1:14" ht="36.75" hidden="1" customHeight="1" x14ac:dyDescent="0.25">
      <c r="A344" s="676" t="s">
        <v>602</v>
      </c>
      <c r="B344" s="1017" t="s">
        <v>603</v>
      </c>
      <c r="C344" s="1018"/>
      <c r="D344" s="1019"/>
      <c r="E344" s="1034">
        <v>1</v>
      </c>
      <c r="F344" s="1035"/>
      <c r="G344" s="696" t="s">
        <v>299</v>
      </c>
      <c r="H344" s="696">
        <v>0</v>
      </c>
      <c r="I344" s="436">
        <v>0</v>
      </c>
      <c r="J344" s="446">
        <v>0</v>
      </c>
    </row>
    <row r="345" spans="1:14" ht="36.75" hidden="1" customHeight="1" x14ac:dyDescent="0.25">
      <c r="A345" s="676" t="s">
        <v>580</v>
      </c>
      <c r="B345" s="1017" t="s">
        <v>581</v>
      </c>
      <c r="C345" s="1018"/>
      <c r="D345" s="1019"/>
      <c r="E345" s="1034">
        <v>1</v>
      </c>
      <c r="F345" s="1035"/>
      <c r="G345" s="696" t="s">
        <v>299</v>
      </c>
      <c r="H345" s="696">
        <v>0</v>
      </c>
      <c r="I345" s="436">
        <v>0</v>
      </c>
      <c r="J345" s="446">
        <v>0</v>
      </c>
    </row>
    <row r="346" spans="1:14" ht="59.25" customHeight="1" x14ac:dyDescent="0.25">
      <c r="A346" s="679" t="s">
        <v>87</v>
      </c>
      <c r="B346" s="1041" t="s">
        <v>475</v>
      </c>
      <c r="C346" s="1042"/>
      <c r="D346" s="1043"/>
      <c r="E346" s="1038" t="s">
        <v>74</v>
      </c>
      <c r="F346" s="1039"/>
      <c r="G346" s="336" t="s">
        <v>74</v>
      </c>
      <c r="H346" s="336" t="s">
        <v>74</v>
      </c>
      <c r="I346" s="416" t="s">
        <v>74</v>
      </c>
      <c r="J346" s="450">
        <f>J347</f>
        <v>96860</v>
      </c>
    </row>
    <row r="347" spans="1:14" ht="30" customHeight="1" x14ac:dyDescent="0.25">
      <c r="A347" s="676" t="s">
        <v>476</v>
      </c>
      <c r="B347" s="1017" t="s">
        <v>613</v>
      </c>
      <c r="C347" s="1018"/>
      <c r="D347" s="1019"/>
      <c r="E347" s="1034">
        <v>1</v>
      </c>
      <c r="F347" s="1035"/>
      <c r="G347" s="696" t="s">
        <v>299</v>
      </c>
      <c r="H347" s="696">
        <v>1</v>
      </c>
      <c r="I347" s="436">
        <v>0</v>
      </c>
      <c r="J347" s="449">
        <v>96860</v>
      </c>
    </row>
    <row r="348" spans="1:14" ht="54.75" hidden="1" customHeight="1" x14ac:dyDescent="0.25">
      <c r="A348" s="679" t="s">
        <v>97</v>
      </c>
      <c r="B348" s="1041" t="s">
        <v>479</v>
      </c>
      <c r="C348" s="1042"/>
      <c r="D348" s="1043"/>
      <c r="E348" s="1034" t="s">
        <v>74</v>
      </c>
      <c r="F348" s="1035"/>
      <c r="G348" s="696" t="s">
        <v>74</v>
      </c>
      <c r="H348" s="696" t="s">
        <v>74</v>
      </c>
      <c r="I348" s="436" t="s">
        <v>74</v>
      </c>
      <c r="J348" s="449">
        <f>J349+J350+J351+J352</f>
        <v>0</v>
      </c>
    </row>
    <row r="349" spans="1:14" ht="30" hidden="1" customHeight="1" x14ac:dyDescent="0.25">
      <c r="A349" s="676" t="s">
        <v>480</v>
      </c>
      <c r="B349" s="1099" t="s">
        <v>484</v>
      </c>
      <c r="C349" s="1100"/>
      <c r="D349" s="1101"/>
      <c r="E349" s="1034">
        <v>2</v>
      </c>
      <c r="F349" s="1035"/>
      <c r="G349" s="696" t="s">
        <v>299</v>
      </c>
      <c r="H349" s="696">
        <v>2</v>
      </c>
      <c r="I349" s="436"/>
      <c r="J349" s="446"/>
    </row>
    <row r="350" spans="1:14" ht="30" hidden="1" customHeight="1" x14ac:dyDescent="0.25">
      <c r="A350" s="676" t="s">
        <v>481</v>
      </c>
      <c r="B350" s="1099" t="s">
        <v>485</v>
      </c>
      <c r="C350" s="1100"/>
      <c r="D350" s="1101"/>
      <c r="E350" s="1034">
        <v>2</v>
      </c>
      <c r="F350" s="1035"/>
      <c r="G350" s="696" t="s">
        <v>299</v>
      </c>
      <c r="H350" s="696">
        <v>2</v>
      </c>
      <c r="I350" s="436"/>
      <c r="J350" s="446"/>
    </row>
    <row r="351" spans="1:14" ht="30" hidden="1" customHeight="1" x14ac:dyDescent="0.25">
      <c r="A351" s="676" t="s">
        <v>482</v>
      </c>
      <c r="B351" s="1099" t="s">
        <v>486</v>
      </c>
      <c r="C351" s="1100"/>
      <c r="D351" s="1101"/>
      <c r="E351" s="1034">
        <v>2</v>
      </c>
      <c r="F351" s="1035"/>
      <c r="G351" s="696" t="s">
        <v>299</v>
      </c>
      <c r="H351" s="696">
        <v>4</v>
      </c>
      <c r="I351" s="436"/>
      <c r="J351" s="446"/>
    </row>
    <row r="352" spans="1:14" ht="36" hidden="1" customHeight="1" x14ac:dyDescent="0.25">
      <c r="A352" s="676"/>
      <c r="B352" s="1257"/>
      <c r="C352" s="1257"/>
      <c r="D352" s="1257"/>
      <c r="E352" s="1026"/>
      <c r="F352" s="1027"/>
      <c r="G352" s="676"/>
      <c r="H352" s="676"/>
      <c r="I352" s="437"/>
      <c r="J352" s="446"/>
    </row>
    <row r="353" spans="1:11" ht="27.75" customHeight="1" x14ac:dyDescent="0.25">
      <c r="A353" s="293"/>
      <c r="B353" s="1283" t="s">
        <v>325</v>
      </c>
      <c r="C353" s="1283"/>
      <c r="D353" s="1283"/>
      <c r="E353" s="1268" t="s">
        <v>14</v>
      </c>
      <c r="F353" s="1269"/>
      <c r="G353" s="1140">
        <f>J309+J333+J337+J341+J346+J348</f>
        <v>32694560</v>
      </c>
      <c r="H353" s="1141"/>
      <c r="I353" s="1141"/>
      <c r="J353" s="1141"/>
    </row>
    <row r="354" spans="1:11" ht="30" hidden="1" customHeight="1" x14ac:dyDescent="0.25">
      <c r="A354" s="1074" t="s">
        <v>375</v>
      </c>
      <c r="B354" s="1074"/>
      <c r="C354" s="1074"/>
      <c r="D354" s="1074"/>
      <c r="E354" s="1074"/>
      <c r="F354" s="1074"/>
      <c r="G354" s="1074"/>
      <c r="H354" s="1074"/>
      <c r="I354" s="1074"/>
      <c r="J354" s="1074"/>
    </row>
    <row r="355" spans="1:11" ht="30" hidden="1" customHeight="1" x14ac:dyDescent="0.25">
      <c r="A355" s="681" t="s">
        <v>1</v>
      </c>
      <c r="B355" s="1015" t="s">
        <v>44</v>
      </c>
      <c r="C355" s="1015"/>
      <c r="D355" s="1015"/>
      <c r="E355" s="1015" t="s">
        <v>58</v>
      </c>
      <c r="F355" s="1015"/>
      <c r="G355" s="1024" t="s">
        <v>66</v>
      </c>
      <c r="H355" s="1025"/>
      <c r="I355" s="1015" t="s">
        <v>60</v>
      </c>
      <c r="J355" s="1015"/>
    </row>
    <row r="356" spans="1:11" ht="13.5" hidden="1" customHeight="1" x14ac:dyDescent="0.25">
      <c r="A356" s="681">
        <v>1</v>
      </c>
      <c r="B356" s="1015">
        <v>2</v>
      </c>
      <c r="C356" s="1015"/>
      <c r="D356" s="1015"/>
      <c r="E356" s="1015">
        <v>3</v>
      </c>
      <c r="F356" s="1015"/>
      <c r="G356" s="1015">
        <v>4</v>
      </c>
      <c r="H356" s="1015"/>
      <c r="I356" s="1015">
        <v>5</v>
      </c>
      <c r="J356" s="1015"/>
    </row>
    <row r="357" spans="1:11" ht="30" hidden="1" customHeight="1" x14ac:dyDescent="0.25">
      <c r="A357" s="676" t="s">
        <v>27</v>
      </c>
      <c r="B357" s="1017" t="s">
        <v>702</v>
      </c>
      <c r="C357" s="1018"/>
      <c r="D357" s="1019"/>
      <c r="E357" s="1013">
        <v>1</v>
      </c>
      <c r="F357" s="1013"/>
      <c r="G357" s="1089">
        <v>0</v>
      </c>
      <c r="H357" s="1089"/>
      <c r="I357" s="1089">
        <f>G357</f>
        <v>0</v>
      </c>
      <c r="J357" s="1089"/>
    </row>
    <row r="358" spans="1:11" ht="25.5" hidden="1" customHeight="1" x14ac:dyDescent="0.25">
      <c r="A358" s="679"/>
      <c r="B358" s="1014" t="s">
        <v>13</v>
      </c>
      <c r="C358" s="1014"/>
      <c r="D358" s="1014"/>
      <c r="E358" s="1053" t="s">
        <v>14</v>
      </c>
      <c r="F358" s="1053"/>
      <c r="G358" s="1053" t="s">
        <v>14</v>
      </c>
      <c r="H358" s="1053"/>
      <c r="I358" s="1267">
        <f>I357</f>
        <v>0</v>
      </c>
      <c r="J358" s="1267"/>
    </row>
    <row r="359" spans="1:11" ht="15.75" customHeight="1" x14ac:dyDescent="0.25">
      <c r="A359" s="1055" t="s">
        <v>376</v>
      </c>
      <c r="B359" s="1055"/>
      <c r="C359" s="1055"/>
      <c r="D359" s="1055"/>
      <c r="E359" s="1055"/>
      <c r="F359" s="1055"/>
      <c r="G359" s="1055"/>
      <c r="H359" s="1055"/>
      <c r="I359" s="1055"/>
      <c r="J359" s="1055"/>
    </row>
    <row r="360" spans="1:11" ht="17.25" customHeight="1" x14ac:dyDescent="0.25">
      <c r="A360" s="681" t="s">
        <v>1</v>
      </c>
      <c r="B360" s="1024" t="s">
        <v>15</v>
      </c>
      <c r="C360" s="1077"/>
      <c r="D360" s="1025"/>
      <c r="E360" s="1024" t="s">
        <v>58</v>
      </c>
      <c r="F360" s="1025"/>
      <c r="G360" s="1024" t="s">
        <v>66</v>
      </c>
      <c r="H360" s="1025"/>
      <c r="I360" s="1024" t="s">
        <v>260</v>
      </c>
      <c r="J360" s="1025"/>
    </row>
    <row r="361" spans="1:11" ht="16.5" customHeight="1" x14ac:dyDescent="0.25">
      <c r="A361" s="681">
        <v>1</v>
      </c>
      <c r="B361" s="1024">
        <v>2</v>
      </c>
      <c r="C361" s="1077"/>
      <c r="D361" s="1025"/>
      <c r="E361" s="1024">
        <v>3</v>
      </c>
      <c r="F361" s="1025"/>
      <c r="G361" s="1024">
        <v>4</v>
      </c>
      <c r="H361" s="1025"/>
      <c r="I361" s="1024">
        <v>5</v>
      </c>
      <c r="J361" s="1025"/>
    </row>
    <row r="362" spans="1:11" ht="30" customHeight="1" x14ac:dyDescent="0.25">
      <c r="A362" s="676" t="s">
        <v>70</v>
      </c>
      <c r="B362" s="1017" t="s">
        <v>170</v>
      </c>
      <c r="C362" s="1018"/>
      <c r="D362" s="1019"/>
      <c r="E362" s="1022"/>
      <c r="F362" s="1023"/>
      <c r="G362" s="1026"/>
      <c r="H362" s="1027"/>
      <c r="I362" s="1132">
        <f>I363</f>
        <v>0</v>
      </c>
      <c r="J362" s="1133"/>
    </row>
    <row r="363" spans="1:11" ht="17.25" customHeight="1" x14ac:dyDescent="0.25">
      <c r="A363" s="676" t="s">
        <v>27</v>
      </c>
      <c r="B363" s="1263" t="s">
        <v>327</v>
      </c>
      <c r="C363" s="1264"/>
      <c r="D363" s="1265"/>
      <c r="E363" s="713" t="s">
        <v>300</v>
      </c>
      <c r="F363" s="713">
        <v>4</v>
      </c>
      <c r="G363" s="1044" t="s">
        <v>256</v>
      </c>
      <c r="H363" s="1045"/>
      <c r="I363" s="1132"/>
      <c r="J363" s="1133"/>
    </row>
    <row r="364" spans="1:11" ht="30" customHeight="1" x14ac:dyDescent="0.25">
      <c r="A364" s="679" t="s">
        <v>70</v>
      </c>
      <c r="B364" s="1041" t="s">
        <v>182</v>
      </c>
      <c r="C364" s="1042"/>
      <c r="D364" s="1043"/>
      <c r="E364" s="387" t="s">
        <v>74</v>
      </c>
      <c r="F364" s="387" t="s">
        <v>74</v>
      </c>
      <c r="G364" s="1038" t="s">
        <v>74</v>
      </c>
      <c r="H364" s="1039"/>
      <c r="I364" s="1230">
        <f>I365+I368+I366+I370+I367+I369</f>
        <v>1200000</v>
      </c>
      <c r="J364" s="1301"/>
    </row>
    <row r="365" spans="1:11" s="276" customFormat="1" ht="58.5" customHeight="1" x14ac:dyDescent="0.25">
      <c r="A365" s="676" t="s">
        <v>27</v>
      </c>
      <c r="B365" s="1099" t="s">
        <v>556</v>
      </c>
      <c r="C365" s="1100"/>
      <c r="D365" s="1101"/>
      <c r="E365" s="713" t="s">
        <v>301</v>
      </c>
      <c r="F365" s="705"/>
      <c r="G365" s="1044" t="s">
        <v>74</v>
      </c>
      <c r="H365" s="1045"/>
      <c r="I365" s="1132">
        <v>0</v>
      </c>
      <c r="J365" s="1133"/>
      <c r="K365" s="292"/>
    </row>
    <row r="366" spans="1:11" s="276" customFormat="1" ht="30" customHeight="1" x14ac:dyDescent="0.25">
      <c r="A366" s="676" t="s">
        <v>29</v>
      </c>
      <c r="B366" s="1099" t="s">
        <v>557</v>
      </c>
      <c r="C366" s="1100"/>
      <c r="D366" s="1101"/>
      <c r="E366" s="713" t="s">
        <v>301</v>
      </c>
      <c r="F366" s="705"/>
      <c r="G366" s="1044" t="s">
        <v>74</v>
      </c>
      <c r="H366" s="1045"/>
      <c r="I366" s="1281">
        <v>0</v>
      </c>
      <c r="J366" s="1282"/>
      <c r="K366" s="292"/>
    </row>
    <row r="367" spans="1:11" s="276" customFormat="1" ht="30" customHeight="1" x14ac:dyDescent="0.25">
      <c r="A367" s="676" t="s">
        <v>31</v>
      </c>
      <c r="B367" s="1099" t="s">
        <v>554</v>
      </c>
      <c r="C367" s="1100"/>
      <c r="D367" s="1101"/>
      <c r="E367" s="713" t="s">
        <v>301</v>
      </c>
      <c r="F367" s="705"/>
      <c r="G367" s="1044" t="s">
        <v>74</v>
      </c>
      <c r="H367" s="1045"/>
      <c r="I367" s="1247">
        <v>0</v>
      </c>
      <c r="J367" s="1248"/>
      <c r="K367" s="292"/>
    </row>
    <row r="368" spans="1:11" s="276" customFormat="1" ht="30" customHeight="1" x14ac:dyDescent="0.25">
      <c r="A368" s="676" t="s">
        <v>264</v>
      </c>
      <c r="B368" s="1099" t="s">
        <v>558</v>
      </c>
      <c r="C368" s="1100"/>
      <c r="D368" s="1101"/>
      <c r="E368" s="713" t="s">
        <v>301</v>
      </c>
      <c r="F368" s="705"/>
      <c r="G368" s="1044" t="s">
        <v>74</v>
      </c>
      <c r="H368" s="1045"/>
      <c r="I368" s="1247">
        <v>1200000</v>
      </c>
      <c r="J368" s="1248"/>
      <c r="K368" s="292"/>
    </row>
    <row r="369" spans="1:11" s="276" customFormat="1" ht="30" customHeight="1" x14ac:dyDescent="0.25">
      <c r="A369" s="676" t="s">
        <v>265</v>
      </c>
      <c r="B369" s="1099" t="s">
        <v>555</v>
      </c>
      <c r="C369" s="1100"/>
      <c r="D369" s="1101"/>
      <c r="E369" s="713" t="s">
        <v>488</v>
      </c>
      <c r="F369" s="355"/>
      <c r="G369" s="1044" t="s">
        <v>74</v>
      </c>
      <c r="H369" s="1045"/>
      <c r="I369" s="1247">
        <v>0</v>
      </c>
      <c r="J369" s="1248"/>
      <c r="K369" s="292"/>
    </row>
    <row r="370" spans="1:11" ht="48.75" customHeight="1" x14ac:dyDescent="0.25">
      <c r="A370" s="676" t="s">
        <v>276</v>
      </c>
      <c r="B370" s="1099" t="s">
        <v>559</v>
      </c>
      <c r="C370" s="1100"/>
      <c r="D370" s="1101"/>
      <c r="E370" s="713" t="s">
        <v>488</v>
      </c>
      <c r="F370" s="355"/>
      <c r="G370" s="1044" t="s">
        <v>74</v>
      </c>
      <c r="H370" s="1045"/>
      <c r="I370" s="1281">
        <v>0</v>
      </c>
      <c r="J370" s="1282"/>
    </row>
    <row r="371" spans="1:11" s="378" customFormat="1" ht="30" hidden="1" customHeight="1" x14ac:dyDescent="0.25">
      <c r="A371" s="679" t="s">
        <v>70</v>
      </c>
      <c r="B371" s="1041" t="s">
        <v>170</v>
      </c>
      <c r="C371" s="1042"/>
      <c r="D371" s="1043"/>
      <c r="E371" s="1038"/>
      <c r="F371" s="1039"/>
      <c r="G371" s="1038"/>
      <c r="H371" s="1039"/>
      <c r="I371" s="1302">
        <f>SUM(I372:J391)</f>
        <v>0</v>
      </c>
      <c r="J371" s="1303"/>
      <c r="K371" s="394"/>
    </row>
    <row r="372" spans="1:11" ht="30" hidden="1" customHeight="1" x14ac:dyDescent="0.25">
      <c r="A372" s="676" t="s">
        <v>27</v>
      </c>
      <c r="B372" s="1040" t="s">
        <v>626</v>
      </c>
      <c r="C372" s="1040"/>
      <c r="D372" s="1040"/>
      <c r="E372" s="713">
        <v>1</v>
      </c>
      <c r="F372" s="705" t="s">
        <v>300</v>
      </c>
      <c r="G372" s="1196">
        <v>0</v>
      </c>
      <c r="H372" s="1196"/>
      <c r="I372" s="1240">
        <f>E372*G372</f>
        <v>0</v>
      </c>
      <c r="J372" s="1133"/>
    </row>
    <row r="373" spans="1:11" ht="30" hidden="1" customHeight="1" x14ac:dyDescent="0.25">
      <c r="A373" s="676" t="s">
        <v>29</v>
      </c>
      <c r="B373" s="1040" t="s">
        <v>627</v>
      </c>
      <c r="C373" s="1040"/>
      <c r="D373" s="1040"/>
      <c r="E373" s="713">
        <v>1</v>
      </c>
      <c r="F373" s="705" t="s">
        <v>300</v>
      </c>
      <c r="G373" s="1196">
        <v>0</v>
      </c>
      <c r="H373" s="1196"/>
      <c r="I373" s="1240">
        <f t="shared" ref="I373:I381" si="22">E373*G373</f>
        <v>0</v>
      </c>
      <c r="J373" s="1133"/>
    </row>
    <row r="374" spans="1:11" ht="30" hidden="1" customHeight="1" x14ac:dyDescent="0.25">
      <c r="A374" s="676" t="s">
        <v>31</v>
      </c>
      <c r="B374" s="1017" t="s">
        <v>628</v>
      </c>
      <c r="C374" s="1018"/>
      <c r="D374" s="1019"/>
      <c r="E374" s="713">
        <v>2</v>
      </c>
      <c r="F374" s="705" t="s">
        <v>300</v>
      </c>
      <c r="G374" s="1044">
        <v>0</v>
      </c>
      <c r="H374" s="1045"/>
      <c r="I374" s="1240">
        <f t="shared" si="22"/>
        <v>0</v>
      </c>
      <c r="J374" s="1133"/>
    </row>
    <row r="375" spans="1:11" ht="30" hidden="1" customHeight="1" x14ac:dyDescent="0.25">
      <c r="A375" s="676" t="s">
        <v>264</v>
      </c>
      <c r="B375" s="1017" t="s">
        <v>629</v>
      </c>
      <c r="C375" s="1018"/>
      <c r="D375" s="1019"/>
      <c r="E375" s="713">
        <v>1</v>
      </c>
      <c r="F375" s="705" t="s">
        <v>300</v>
      </c>
      <c r="G375" s="1044">
        <v>0</v>
      </c>
      <c r="H375" s="1045"/>
      <c r="I375" s="1240">
        <f t="shared" si="22"/>
        <v>0</v>
      </c>
      <c r="J375" s="1133"/>
    </row>
    <row r="376" spans="1:11" ht="115.5" hidden="1" customHeight="1" x14ac:dyDescent="0.25">
      <c r="A376" s="676" t="s">
        <v>265</v>
      </c>
      <c r="B376" s="1017" t="s">
        <v>704</v>
      </c>
      <c r="C376" s="1018"/>
      <c r="D376" s="1019"/>
      <c r="E376" s="713">
        <v>1</v>
      </c>
      <c r="F376" s="705" t="s">
        <v>300</v>
      </c>
      <c r="G376" s="1044">
        <v>0</v>
      </c>
      <c r="H376" s="1045"/>
      <c r="I376" s="1240">
        <f t="shared" si="22"/>
        <v>0</v>
      </c>
      <c r="J376" s="1133"/>
    </row>
    <row r="377" spans="1:11" ht="114.75" hidden="1" customHeight="1" x14ac:dyDescent="0.25">
      <c r="A377" s="676" t="s">
        <v>276</v>
      </c>
      <c r="B377" s="1017" t="s">
        <v>705</v>
      </c>
      <c r="C377" s="1018"/>
      <c r="D377" s="1019"/>
      <c r="E377" s="713">
        <v>1</v>
      </c>
      <c r="F377" s="705" t="s">
        <v>300</v>
      </c>
      <c r="G377" s="1044">
        <v>0</v>
      </c>
      <c r="H377" s="1045"/>
      <c r="I377" s="1240">
        <f t="shared" si="22"/>
        <v>0</v>
      </c>
      <c r="J377" s="1133"/>
    </row>
    <row r="378" spans="1:11" ht="30" hidden="1" customHeight="1" x14ac:dyDescent="0.25">
      <c r="A378" s="676" t="s">
        <v>277</v>
      </c>
      <c r="B378" s="1017" t="s">
        <v>706</v>
      </c>
      <c r="C378" s="1018"/>
      <c r="D378" s="1019"/>
      <c r="E378" s="713">
        <v>8</v>
      </c>
      <c r="F378" s="705" t="s">
        <v>300</v>
      </c>
      <c r="G378" s="1044">
        <v>0</v>
      </c>
      <c r="H378" s="1045"/>
      <c r="I378" s="1240">
        <f t="shared" si="22"/>
        <v>0</v>
      </c>
      <c r="J378" s="1133"/>
    </row>
    <row r="379" spans="1:11" ht="30" hidden="1" customHeight="1" x14ac:dyDescent="0.25">
      <c r="A379" s="676" t="s">
        <v>334</v>
      </c>
      <c r="B379" s="1017" t="s">
        <v>707</v>
      </c>
      <c r="C379" s="1018"/>
      <c r="D379" s="1019"/>
      <c r="E379" s="713">
        <v>2</v>
      </c>
      <c r="F379" s="705" t="s">
        <v>300</v>
      </c>
      <c r="G379" s="1044">
        <v>0</v>
      </c>
      <c r="H379" s="1045"/>
      <c r="I379" s="1240">
        <f t="shared" si="22"/>
        <v>0</v>
      </c>
      <c r="J379" s="1133"/>
    </row>
    <row r="380" spans="1:11" ht="30" hidden="1" customHeight="1" x14ac:dyDescent="0.25">
      <c r="A380" s="676" t="s">
        <v>348</v>
      </c>
      <c r="B380" s="1017" t="s">
        <v>708</v>
      </c>
      <c r="C380" s="1018"/>
      <c r="D380" s="1019"/>
      <c r="E380" s="713">
        <v>1</v>
      </c>
      <c r="F380" s="705" t="s">
        <v>300</v>
      </c>
      <c r="G380" s="1044">
        <v>0</v>
      </c>
      <c r="H380" s="1045"/>
      <c r="I380" s="1240">
        <f t="shared" si="22"/>
        <v>0</v>
      </c>
      <c r="J380" s="1133"/>
    </row>
    <row r="381" spans="1:11" ht="30" hidden="1" customHeight="1" x14ac:dyDescent="0.25">
      <c r="A381" s="676" t="s">
        <v>367</v>
      </c>
      <c r="B381" s="1017" t="s">
        <v>685</v>
      </c>
      <c r="C381" s="1018"/>
      <c r="D381" s="1019"/>
      <c r="E381" s="713">
        <v>6</v>
      </c>
      <c r="F381" s="705" t="s">
        <v>300</v>
      </c>
      <c r="G381" s="1044">
        <v>0</v>
      </c>
      <c r="H381" s="1045"/>
      <c r="I381" s="1240">
        <f t="shared" si="22"/>
        <v>0</v>
      </c>
      <c r="J381" s="1133"/>
    </row>
    <row r="382" spans="1:11" ht="30" hidden="1" customHeight="1" x14ac:dyDescent="0.25">
      <c r="A382" s="356" t="s">
        <v>368</v>
      </c>
      <c r="B382" s="1040" t="s">
        <v>686</v>
      </c>
      <c r="C382" s="1040"/>
      <c r="D382" s="1040"/>
      <c r="E382" s="713">
        <v>1</v>
      </c>
      <c r="F382" s="705" t="s">
        <v>300</v>
      </c>
      <c r="G382" s="1196">
        <v>0</v>
      </c>
      <c r="H382" s="1196"/>
      <c r="I382" s="1240">
        <f>G382</f>
        <v>0</v>
      </c>
      <c r="J382" s="1133"/>
    </row>
    <row r="383" spans="1:11" ht="30" hidden="1" customHeight="1" x14ac:dyDescent="0.25">
      <c r="A383" s="356"/>
      <c r="B383" s="1026"/>
      <c r="C383" s="1052"/>
      <c r="D383" s="1027"/>
      <c r="E383" s="1311"/>
      <c r="F383" s="1311"/>
      <c r="G383" s="1044"/>
      <c r="H383" s="1045"/>
      <c r="I383" s="1261"/>
      <c r="J383" s="1262"/>
    </row>
    <row r="384" spans="1:11" ht="30" hidden="1" customHeight="1" x14ac:dyDescent="0.25">
      <c r="A384" s="356" t="s">
        <v>369</v>
      </c>
      <c r="B384" s="1017" t="s">
        <v>1130</v>
      </c>
      <c r="C384" s="1018"/>
      <c r="D384" s="1019"/>
      <c r="E384" s="713">
        <v>95</v>
      </c>
      <c r="F384" s="713" t="s">
        <v>300</v>
      </c>
      <c r="G384" s="1044">
        <v>0</v>
      </c>
      <c r="H384" s="1045"/>
      <c r="I384" s="1261">
        <f>E384*G384</f>
        <v>0</v>
      </c>
      <c r="J384" s="1262"/>
    </row>
    <row r="385" spans="1:11" ht="30" hidden="1" customHeight="1" x14ac:dyDescent="0.25">
      <c r="A385" s="356" t="s">
        <v>632</v>
      </c>
      <c r="B385" s="1017" t="s">
        <v>1131</v>
      </c>
      <c r="C385" s="1018"/>
      <c r="D385" s="1019"/>
      <c r="E385" s="713">
        <v>1</v>
      </c>
      <c r="F385" s="713" t="s">
        <v>300</v>
      </c>
      <c r="G385" s="1044">
        <v>0</v>
      </c>
      <c r="H385" s="1045"/>
      <c r="I385" s="1261">
        <f>G385</f>
        <v>0</v>
      </c>
      <c r="J385" s="1262"/>
    </row>
    <row r="386" spans="1:11" ht="30" hidden="1" customHeight="1" x14ac:dyDescent="0.25">
      <c r="A386" s="356" t="s">
        <v>633</v>
      </c>
      <c r="B386" s="1017" t="s">
        <v>643</v>
      </c>
      <c r="C386" s="1018"/>
      <c r="D386" s="1019"/>
      <c r="E386" s="713">
        <v>7</v>
      </c>
      <c r="F386" s="713" t="s">
        <v>300</v>
      </c>
      <c r="G386" s="1044">
        <v>0</v>
      </c>
      <c r="H386" s="1045"/>
      <c r="I386" s="1261">
        <f>E386*G386</f>
        <v>0</v>
      </c>
      <c r="J386" s="1262"/>
    </row>
    <row r="387" spans="1:11" ht="30" hidden="1" customHeight="1" x14ac:dyDescent="0.25">
      <c r="A387" s="356" t="s">
        <v>634</v>
      </c>
      <c r="B387" s="1040" t="s">
        <v>644</v>
      </c>
      <c r="C387" s="1040"/>
      <c r="D387" s="1040"/>
      <c r="E387" s="713">
        <v>1</v>
      </c>
      <c r="F387" s="713" t="s">
        <v>300</v>
      </c>
      <c r="G387" s="1196">
        <v>0</v>
      </c>
      <c r="H387" s="1196"/>
      <c r="I387" s="1291">
        <f t="shared" ref="I387:I391" si="23">E387*G387</f>
        <v>0</v>
      </c>
      <c r="J387" s="1291"/>
    </row>
    <row r="388" spans="1:11" ht="30" hidden="1" customHeight="1" x14ac:dyDescent="0.25">
      <c r="A388" s="356" t="s">
        <v>641</v>
      </c>
      <c r="B388" s="1017" t="s">
        <v>645</v>
      </c>
      <c r="C388" s="1018"/>
      <c r="D388" s="1019"/>
      <c r="E388" s="713">
        <v>10</v>
      </c>
      <c r="F388" s="713" t="s">
        <v>300</v>
      </c>
      <c r="G388" s="1044">
        <v>0</v>
      </c>
      <c r="H388" s="1045"/>
      <c r="I388" s="1261">
        <f t="shared" si="23"/>
        <v>0</v>
      </c>
      <c r="J388" s="1262"/>
    </row>
    <row r="389" spans="1:11" ht="30" hidden="1" customHeight="1" x14ac:dyDescent="0.25">
      <c r="A389" s="356" t="s">
        <v>1097</v>
      </c>
      <c r="B389" s="1017" t="s">
        <v>703</v>
      </c>
      <c r="C389" s="1018"/>
      <c r="D389" s="1019"/>
      <c r="E389" s="713">
        <v>1</v>
      </c>
      <c r="F389" s="713" t="s">
        <v>300</v>
      </c>
      <c r="G389" s="1044">
        <v>0</v>
      </c>
      <c r="H389" s="1045"/>
      <c r="I389" s="1261">
        <f t="shared" si="23"/>
        <v>0</v>
      </c>
      <c r="J389" s="1262"/>
    </row>
    <row r="390" spans="1:11" ht="30" hidden="1" customHeight="1" x14ac:dyDescent="0.25">
      <c r="A390" s="356" t="s">
        <v>1132</v>
      </c>
      <c r="B390" s="1017" t="s">
        <v>647</v>
      </c>
      <c r="C390" s="1018"/>
      <c r="D390" s="1019"/>
      <c r="E390" s="713">
        <v>2</v>
      </c>
      <c r="F390" s="713" t="s">
        <v>300</v>
      </c>
      <c r="G390" s="1044">
        <v>0</v>
      </c>
      <c r="H390" s="1045"/>
      <c r="I390" s="1261">
        <f t="shared" si="23"/>
        <v>0</v>
      </c>
      <c r="J390" s="1262"/>
    </row>
    <row r="391" spans="1:11" ht="30" hidden="1" customHeight="1" x14ac:dyDescent="0.25">
      <c r="A391" s="356" t="s">
        <v>1133</v>
      </c>
      <c r="B391" s="1017" t="s">
        <v>648</v>
      </c>
      <c r="C391" s="1018"/>
      <c r="D391" s="1019"/>
      <c r="E391" s="713">
        <v>1</v>
      </c>
      <c r="F391" s="713" t="s">
        <v>300</v>
      </c>
      <c r="G391" s="1044">
        <v>0</v>
      </c>
      <c r="H391" s="1045"/>
      <c r="I391" s="1261">
        <f t="shared" si="23"/>
        <v>0</v>
      </c>
      <c r="J391" s="1262"/>
    </row>
    <row r="392" spans="1:11" ht="17.25" customHeight="1" x14ac:dyDescent="0.25">
      <c r="A392" s="676"/>
      <c r="B392" s="1014" t="s">
        <v>13</v>
      </c>
      <c r="C392" s="1014"/>
      <c r="D392" s="1014"/>
      <c r="E392" s="1304" t="s">
        <v>74</v>
      </c>
      <c r="F392" s="1305"/>
      <c r="G392" s="1053" t="s">
        <v>14</v>
      </c>
      <c r="H392" s="1053"/>
      <c r="I392" s="1266">
        <f>I364</f>
        <v>1200000</v>
      </c>
      <c r="J392" s="1266"/>
    </row>
    <row r="393" spans="1:11" ht="21.75" customHeight="1" x14ac:dyDescent="0.25">
      <c r="A393" s="1313" t="s">
        <v>377</v>
      </c>
      <c r="B393" s="1313"/>
      <c r="C393" s="1313"/>
      <c r="D393" s="1313"/>
      <c r="E393" s="1313"/>
      <c r="F393" s="1313"/>
      <c r="G393" s="1313"/>
      <c r="H393" s="1313"/>
      <c r="I393" s="1313"/>
      <c r="J393" s="1313"/>
    </row>
    <row r="394" spans="1:11" ht="21.75" customHeight="1" x14ac:dyDescent="0.25">
      <c r="A394" s="1055" t="s">
        <v>489</v>
      </c>
      <c r="B394" s="1055"/>
      <c r="C394" s="1055"/>
      <c r="D394" s="1055"/>
      <c r="E394" s="1055"/>
      <c r="F394" s="1055"/>
      <c r="G394" s="1055"/>
      <c r="H394" s="1055"/>
      <c r="I394" s="1055"/>
      <c r="J394" s="1055"/>
    </row>
    <row r="395" spans="1:11" ht="21.75" customHeight="1" x14ac:dyDescent="0.25">
      <c r="A395" s="681" t="s">
        <v>1</v>
      </c>
      <c r="B395" s="1015" t="s">
        <v>15</v>
      </c>
      <c r="C395" s="1015"/>
      <c r="D395" s="1015"/>
      <c r="E395" s="1015" t="s">
        <v>58</v>
      </c>
      <c r="F395" s="1015"/>
      <c r="G395" s="1015" t="s">
        <v>66</v>
      </c>
      <c r="H395" s="1015"/>
      <c r="I395" s="1015" t="s">
        <v>260</v>
      </c>
      <c r="J395" s="1015"/>
      <c r="K395" s="1021" t="s">
        <v>623</v>
      </c>
    </row>
    <row r="396" spans="1:11" ht="21.75" customHeight="1" x14ac:dyDescent="0.25">
      <c r="A396" s="681">
        <v>1</v>
      </c>
      <c r="B396" s="1015">
        <v>2</v>
      </c>
      <c r="C396" s="1015"/>
      <c r="D396" s="1015"/>
      <c r="E396" s="1015">
        <v>3</v>
      </c>
      <c r="F396" s="1015"/>
      <c r="G396" s="1015">
        <v>4</v>
      </c>
      <c r="H396" s="1015"/>
      <c r="I396" s="1015">
        <v>5</v>
      </c>
      <c r="J396" s="1015"/>
      <c r="K396" s="1021"/>
    </row>
    <row r="397" spans="1:11" ht="39.75" customHeight="1" x14ac:dyDescent="0.25">
      <c r="A397" s="679" t="s">
        <v>70</v>
      </c>
      <c r="B397" s="1041" t="s">
        <v>172</v>
      </c>
      <c r="C397" s="1042"/>
      <c r="D397" s="1043"/>
      <c r="E397" s="389"/>
      <c r="F397" s="389"/>
      <c r="G397" s="1031"/>
      <c r="H397" s="1033"/>
      <c r="I397" s="1292">
        <f>SUM(I398:J399)</f>
        <v>15000</v>
      </c>
      <c r="J397" s="1301"/>
      <c r="K397" s="1028" t="s">
        <v>1128</v>
      </c>
    </row>
    <row r="398" spans="1:11" ht="35.25" customHeight="1" x14ac:dyDescent="0.25">
      <c r="A398" s="676" t="s">
        <v>27</v>
      </c>
      <c r="B398" s="1245" t="s">
        <v>173</v>
      </c>
      <c r="C398" s="1245"/>
      <c r="D398" s="1245"/>
      <c r="E398" s="713" t="s">
        <v>301</v>
      </c>
      <c r="F398" s="705">
        <v>812</v>
      </c>
      <c r="G398" s="1196" t="s">
        <v>256</v>
      </c>
      <c r="H398" s="1196"/>
      <c r="I398" s="1240">
        <v>15000</v>
      </c>
      <c r="J398" s="1133"/>
      <c r="K398" s="1029"/>
    </row>
    <row r="399" spans="1:11" ht="21.75" hidden="1" customHeight="1" x14ac:dyDescent="0.25">
      <c r="A399" s="356" t="s">
        <v>27</v>
      </c>
      <c r="B399" s="1263"/>
      <c r="C399" s="1264"/>
      <c r="D399" s="1265"/>
      <c r="E399" s="713"/>
      <c r="F399" s="357"/>
      <c r="G399" s="1196"/>
      <c r="H399" s="1196"/>
      <c r="I399" s="1240"/>
      <c r="J399" s="1133"/>
      <c r="K399" s="1029"/>
    </row>
    <row r="400" spans="1:11" ht="21.75" customHeight="1" x14ac:dyDescent="0.25">
      <c r="A400" s="676"/>
      <c r="B400" s="1014" t="s">
        <v>13</v>
      </c>
      <c r="C400" s="1014"/>
      <c r="D400" s="1014"/>
      <c r="E400" s="1243" t="s">
        <v>74</v>
      </c>
      <c r="F400" s="1244"/>
      <c r="G400" s="1053" t="s">
        <v>14</v>
      </c>
      <c r="H400" s="1053"/>
      <c r="I400" s="1054">
        <f>I397</f>
        <v>15000</v>
      </c>
      <c r="J400" s="1071"/>
      <c r="K400" s="1030"/>
    </row>
    <row r="401" spans="1:12" x14ac:dyDescent="0.25">
      <c r="A401" s="1300" t="s">
        <v>490</v>
      </c>
      <c r="B401" s="1300"/>
      <c r="C401" s="1300"/>
      <c r="D401" s="1300"/>
      <c r="E401" s="1300"/>
      <c r="F401" s="1300"/>
      <c r="G401" s="1300"/>
      <c r="H401" s="1300"/>
      <c r="I401" s="1300"/>
      <c r="J401" s="1300"/>
    </row>
    <row r="402" spans="1:12" ht="15" customHeight="1" x14ac:dyDescent="0.25">
      <c r="A402" s="681" t="s">
        <v>1</v>
      </c>
      <c r="B402" s="1015" t="s">
        <v>15</v>
      </c>
      <c r="C402" s="1015"/>
      <c r="D402" s="1015"/>
      <c r="E402" s="1015" t="s">
        <v>58</v>
      </c>
      <c r="F402" s="1015"/>
      <c r="G402" s="1015" t="s">
        <v>66</v>
      </c>
      <c r="H402" s="1015"/>
      <c r="I402" s="1015" t="s">
        <v>260</v>
      </c>
      <c r="J402" s="1015"/>
    </row>
    <row r="403" spans="1:12" x14ac:dyDescent="0.25">
      <c r="A403" s="681">
        <v>1</v>
      </c>
      <c r="B403" s="1015">
        <v>2</v>
      </c>
      <c r="C403" s="1015"/>
      <c r="D403" s="1015"/>
      <c r="E403" s="1015">
        <v>3</v>
      </c>
      <c r="F403" s="1015"/>
      <c r="G403" s="1015">
        <v>4</v>
      </c>
      <c r="H403" s="1015"/>
      <c r="I403" s="1015">
        <v>5</v>
      </c>
      <c r="J403" s="1015"/>
    </row>
    <row r="404" spans="1:12" ht="30.75" hidden="1" customHeight="1" x14ac:dyDescent="0.25">
      <c r="A404" s="676" t="s">
        <v>70</v>
      </c>
      <c r="B404" s="1017" t="s">
        <v>172</v>
      </c>
      <c r="C404" s="1018"/>
      <c r="D404" s="1019"/>
      <c r="E404" s="713"/>
      <c r="F404" s="713"/>
      <c r="G404" s="1026"/>
      <c r="H404" s="1027"/>
      <c r="I404" s="1240">
        <f>SUM(I405:J406)</f>
        <v>0</v>
      </c>
      <c r="J404" s="1133"/>
      <c r="K404" s="306"/>
      <c r="L404" s="290"/>
    </row>
    <row r="405" spans="1:12" hidden="1" x14ac:dyDescent="0.25">
      <c r="A405" s="676" t="s">
        <v>27</v>
      </c>
      <c r="B405" s="1245" t="s">
        <v>173</v>
      </c>
      <c r="C405" s="1245"/>
      <c r="D405" s="1245"/>
      <c r="E405" s="713" t="s">
        <v>301</v>
      </c>
      <c r="F405" s="705"/>
      <c r="G405" s="1196" t="s">
        <v>256</v>
      </c>
      <c r="H405" s="1196"/>
      <c r="I405" s="1240"/>
      <c r="J405" s="1133"/>
      <c r="K405" s="306"/>
      <c r="L405" s="290"/>
    </row>
    <row r="406" spans="1:12" hidden="1" x14ac:dyDescent="0.25">
      <c r="A406" s="356" t="s">
        <v>27</v>
      </c>
      <c r="B406" s="1263"/>
      <c r="C406" s="1264"/>
      <c r="D406" s="1265"/>
      <c r="E406" s="713"/>
      <c r="F406" s="357"/>
      <c r="G406" s="1196"/>
      <c r="H406" s="1196"/>
      <c r="I406" s="1240"/>
      <c r="J406" s="1133"/>
    </row>
    <row r="407" spans="1:12" s="363" customFormat="1" ht="15" customHeight="1" x14ac:dyDescent="0.25">
      <c r="A407" s="676"/>
      <c r="B407" s="1014" t="s">
        <v>13</v>
      </c>
      <c r="C407" s="1014"/>
      <c r="D407" s="1014"/>
      <c r="E407" s="1243" t="s">
        <v>74</v>
      </c>
      <c r="F407" s="1244"/>
      <c r="G407" s="1053" t="s">
        <v>14</v>
      </c>
      <c r="H407" s="1053"/>
      <c r="I407" s="1016">
        <f>I404</f>
        <v>0</v>
      </c>
      <c r="J407" s="1053"/>
      <c r="K407" s="362"/>
    </row>
    <row r="408" spans="1:12" s="363" customFormat="1" ht="15" customHeight="1" x14ac:dyDescent="0.25">
      <c r="A408" s="1055" t="s">
        <v>491</v>
      </c>
      <c r="B408" s="1055"/>
      <c r="C408" s="1055"/>
      <c r="D408" s="1055"/>
      <c r="E408" s="1055"/>
      <c r="F408" s="1055"/>
      <c r="G408" s="1055"/>
      <c r="H408" s="1055"/>
      <c r="I408" s="1055"/>
      <c r="J408" s="1055"/>
      <c r="K408" s="362"/>
    </row>
    <row r="409" spans="1:12" s="363" customFormat="1" ht="15" customHeight="1" x14ac:dyDescent="0.2">
      <c r="A409" s="681" t="s">
        <v>1</v>
      </c>
      <c r="B409" s="1015" t="s">
        <v>15</v>
      </c>
      <c r="C409" s="1015"/>
      <c r="D409" s="1015"/>
      <c r="E409" s="1015" t="s">
        <v>58</v>
      </c>
      <c r="F409" s="1015"/>
      <c r="G409" s="1015" t="s">
        <v>66</v>
      </c>
      <c r="H409" s="1015"/>
      <c r="I409" s="1015" t="s">
        <v>260</v>
      </c>
      <c r="J409" s="1015"/>
      <c r="K409" s="1298" t="s">
        <v>654</v>
      </c>
    </row>
    <row r="410" spans="1:12" s="363" customFormat="1" ht="15" customHeight="1" x14ac:dyDescent="0.2">
      <c r="A410" s="681">
        <v>1</v>
      </c>
      <c r="B410" s="1015">
        <v>2</v>
      </c>
      <c r="C410" s="1015"/>
      <c r="D410" s="1015"/>
      <c r="E410" s="1015">
        <v>3</v>
      </c>
      <c r="F410" s="1015"/>
      <c r="G410" s="1015">
        <v>4</v>
      </c>
      <c r="H410" s="1015"/>
      <c r="I410" s="1015">
        <v>5</v>
      </c>
      <c r="J410" s="1015"/>
      <c r="K410" s="1298"/>
    </row>
    <row r="411" spans="1:12" s="363" customFormat="1" ht="39.75" customHeight="1" x14ac:dyDescent="0.25">
      <c r="A411" s="676" t="s">
        <v>70</v>
      </c>
      <c r="B411" s="1017" t="s">
        <v>172</v>
      </c>
      <c r="C411" s="1018"/>
      <c r="D411" s="1019"/>
      <c r="E411" s="713"/>
      <c r="F411" s="713"/>
      <c r="G411" s="1026"/>
      <c r="H411" s="1027"/>
      <c r="I411" s="1240">
        <f>SUM(I412:J413)</f>
        <v>10000</v>
      </c>
      <c r="J411" s="1133"/>
      <c r="K411" s="1314" t="s">
        <v>1089</v>
      </c>
    </row>
    <row r="412" spans="1:12" s="363" customFormat="1" ht="51" customHeight="1" x14ac:dyDescent="0.25">
      <c r="A412" s="676" t="s">
        <v>27</v>
      </c>
      <c r="B412" s="1245" t="s">
        <v>493</v>
      </c>
      <c r="C412" s="1245"/>
      <c r="D412" s="1245"/>
      <c r="E412" s="675" t="s">
        <v>1164</v>
      </c>
      <c r="F412" s="705">
        <v>3</v>
      </c>
      <c r="G412" s="1196" t="s">
        <v>256</v>
      </c>
      <c r="H412" s="1196"/>
      <c r="I412" s="1240">
        <v>10000</v>
      </c>
      <c r="J412" s="1133"/>
      <c r="K412" s="1315"/>
    </row>
    <row r="413" spans="1:12" s="364" customFormat="1" ht="15" hidden="1" customHeight="1" x14ac:dyDescent="0.25">
      <c r="A413" s="356" t="s">
        <v>27</v>
      </c>
      <c r="B413" s="1263"/>
      <c r="C413" s="1264"/>
      <c r="D413" s="1265"/>
      <c r="E413" s="713"/>
      <c r="F413" s="357"/>
      <c r="G413" s="1196"/>
      <c r="H413" s="1196"/>
      <c r="I413" s="1240"/>
      <c r="J413" s="1133"/>
      <c r="K413" s="1315"/>
    </row>
    <row r="414" spans="1:12" s="363" customFormat="1" ht="18" customHeight="1" x14ac:dyDescent="0.25">
      <c r="A414" s="676"/>
      <c r="B414" s="1014" t="s">
        <v>13</v>
      </c>
      <c r="C414" s="1014"/>
      <c r="D414" s="1014"/>
      <c r="E414" s="1243" t="s">
        <v>74</v>
      </c>
      <c r="F414" s="1244"/>
      <c r="G414" s="1053" t="s">
        <v>14</v>
      </c>
      <c r="H414" s="1053"/>
      <c r="I414" s="1054">
        <f>I411</f>
        <v>10000</v>
      </c>
      <c r="J414" s="1071"/>
      <c r="K414" s="1316"/>
    </row>
    <row r="415" spans="1:12" s="364" customFormat="1" ht="15" customHeight="1" x14ac:dyDescent="0.25">
      <c r="A415" s="1300" t="s">
        <v>492</v>
      </c>
      <c r="B415" s="1300"/>
      <c r="C415" s="1300"/>
      <c r="D415" s="1300"/>
      <c r="E415" s="1300"/>
      <c r="F415" s="1300"/>
      <c r="G415" s="1300"/>
      <c r="H415" s="1300"/>
      <c r="I415" s="1300"/>
      <c r="J415" s="1300"/>
      <c r="K415" s="362"/>
    </row>
    <row r="416" spans="1:12" s="364" customFormat="1" ht="15" customHeight="1" x14ac:dyDescent="0.25">
      <c r="A416" s="681" t="s">
        <v>1</v>
      </c>
      <c r="B416" s="1015" t="s">
        <v>15</v>
      </c>
      <c r="C416" s="1015"/>
      <c r="D416" s="1015"/>
      <c r="E416" s="1015" t="s">
        <v>58</v>
      </c>
      <c r="F416" s="1015"/>
      <c r="G416" s="1015" t="s">
        <v>66</v>
      </c>
      <c r="H416" s="1015"/>
      <c r="I416" s="1015" t="s">
        <v>260</v>
      </c>
      <c r="J416" s="1015"/>
      <c r="K416" s="1310" t="s">
        <v>653</v>
      </c>
    </row>
    <row r="417" spans="1:11" s="364" customFormat="1" ht="15" customHeight="1" x14ac:dyDescent="0.25">
      <c r="A417" s="681">
        <v>1</v>
      </c>
      <c r="B417" s="1015">
        <v>2</v>
      </c>
      <c r="C417" s="1015"/>
      <c r="D417" s="1015"/>
      <c r="E417" s="1015">
        <v>3</v>
      </c>
      <c r="F417" s="1015"/>
      <c r="G417" s="1015">
        <v>4</v>
      </c>
      <c r="H417" s="1015"/>
      <c r="I417" s="1015">
        <v>5</v>
      </c>
      <c r="J417" s="1015"/>
      <c r="K417" s="1310"/>
    </row>
    <row r="418" spans="1:11" s="364" customFormat="1" ht="38.25" hidden="1" customHeight="1" x14ac:dyDescent="0.25">
      <c r="A418" s="676" t="s">
        <v>70</v>
      </c>
      <c r="B418" s="1017" t="s">
        <v>172</v>
      </c>
      <c r="C418" s="1018"/>
      <c r="D418" s="1019"/>
      <c r="E418" s="713"/>
      <c r="F418" s="713"/>
      <c r="G418" s="1026"/>
      <c r="H418" s="1027"/>
      <c r="I418" s="1240">
        <f>SUM(I419:J420)</f>
        <v>0</v>
      </c>
      <c r="J418" s="1133"/>
      <c r="K418" s="1299" t="s">
        <v>624</v>
      </c>
    </row>
    <row r="419" spans="1:11" s="364" customFormat="1" ht="38.25" hidden="1" customHeight="1" x14ac:dyDescent="0.25">
      <c r="A419" s="676" t="s">
        <v>27</v>
      </c>
      <c r="B419" s="1245" t="s">
        <v>625</v>
      </c>
      <c r="C419" s="1245"/>
      <c r="D419" s="1245"/>
      <c r="E419" s="713" t="s">
        <v>301</v>
      </c>
      <c r="F419" s="705">
        <v>812</v>
      </c>
      <c r="G419" s="1196" t="s">
        <v>256</v>
      </c>
      <c r="H419" s="1196"/>
      <c r="I419" s="1240">
        <v>0</v>
      </c>
      <c r="J419" s="1133"/>
      <c r="K419" s="1299"/>
    </row>
    <row r="420" spans="1:11" s="364" customFormat="1" ht="15" hidden="1" customHeight="1" x14ac:dyDescent="0.25">
      <c r="A420" s="356" t="s">
        <v>27</v>
      </c>
      <c r="B420" s="1263"/>
      <c r="C420" s="1264"/>
      <c r="D420" s="1265"/>
      <c r="E420" s="713"/>
      <c r="F420" s="357"/>
      <c r="G420" s="1196"/>
      <c r="H420" s="1196"/>
      <c r="I420" s="1240"/>
      <c r="J420" s="1133"/>
      <c r="K420" s="1299"/>
    </row>
    <row r="421" spans="1:11" s="364" customFormat="1" ht="15" customHeight="1" x14ac:dyDescent="0.25">
      <c r="A421" s="676"/>
      <c r="B421" s="1014" t="s">
        <v>13</v>
      </c>
      <c r="C421" s="1014"/>
      <c r="D421" s="1014"/>
      <c r="E421" s="1243" t="s">
        <v>74</v>
      </c>
      <c r="F421" s="1244"/>
      <c r="G421" s="1053" t="s">
        <v>14</v>
      </c>
      <c r="H421" s="1053"/>
      <c r="I421" s="1016">
        <f>I418</f>
        <v>0</v>
      </c>
      <c r="J421" s="1053"/>
      <c r="K421" s="362"/>
    </row>
    <row r="422" spans="1:11" s="364" customFormat="1" ht="15" customHeight="1" x14ac:dyDescent="0.25">
      <c r="A422" s="1055" t="s">
        <v>495</v>
      </c>
      <c r="B422" s="1055"/>
      <c r="C422" s="1055"/>
      <c r="D422" s="1055"/>
      <c r="E422" s="1055"/>
      <c r="F422" s="1055"/>
      <c r="G422" s="1055"/>
      <c r="H422" s="1055"/>
      <c r="I422" s="1055"/>
      <c r="J422" s="1055"/>
      <c r="K422" s="362"/>
    </row>
    <row r="423" spans="1:11" s="364" customFormat="1" ht="15" customHeight="1" x14ac:dyDescent="0.25">
      <c r="A423" s="681" t="s">
        <v>1</v>
      </c>
      <c r="B423" s="1015" t="s">
        <v>15</v>
      </c>
      <c r="C423" s="1015"/>
      <c r="D423" s="1015"/>
      <c r="E423" s="1015" t="s">
        <v>58</v>
      </c>
      <c r="F423" s="1015"/>
      <c r="G423" s="1015" t="s">
        <v>66</v>
      </c>
      <c r="H423" s="1015"/>
      <c r="I423" s="1015" t="s">
        <v>260</v>
      </c>
      <c r="J423" s="1015"/>
      <c r="K423" s="1298" t="s">
        <v>654</v>
      </c>
    </row>
    <row r="424" spans="1:11" s="364" customFormat="1" ht="15" customHeight="1" x14ac:dyDescent="0.25">
      <c r="A424" s="681">
        <v>1</v>
      </c>
      <c r="B424" s="1015">
        <v>2</v>
      </c>
      <c r="C424" s="1015"/>
      <c r="D424" s="1015"/>
      <c r="E424" s="1015">
        <v>3</v>
      </c>
      <c r="F424" s="1015"/>
      <c r="G424" s="1015">
        <v>4</v>
      </c>
      <c r="H424" s="1015"/>
      <c r="I424" s="1015">
        <v>5</v>
      </c>
      <c r="J424" s="1015"/>
      <c r="K424" s="1298"/>
    </row>
    <row r="425" spans="1:11" s="364" customFormat="1" ht="36" customHeight="1" x14ac:dyDescent="0.25">
      <c r="A425" s="676" t="s">
        <v>70</v>
      </c>
      <c r="B425" s="1017" t="s">
        <v>172</v>
      </c>
      <c r="C425" s="1018"/>
      <c r="D425" s="1019"/>
      <c r="E425" s="713"/>
      <c r="F425" s="713"/>
      <c r="G425" s="1026"/>
      <c r="H425" s="1027"/>
      <c r="I425" s="1240">
        <v>53000</v>
      </c>
      <c r="J425" s="1133"/>
      <c r="K425" s="1299" t="s">
        <v>1094</v>
      </c>
    </row>
    <row r="426" spans="1:11" s="364" customFormat="1" ht="18.75" customHeight="1" x14ac:dyDescent="0.25">
      <c r="A426" s="676" t="s">
        <v>27</v>
      </c>
      <c r="B426" s="1245" t="s">
        <v>494</v>
      </c>
      <c r="C426" s="1245"/>
      <c r="D426" s="1245"/>
      <c r="E426" s="713" t="s">
        <v>301</v>
      </c>
      <c r="F426" s="705"/>
      <c r="G426" s="1196" t="s">
        <v>256</v>
      </c>
      <c r="H426" s="1196"/>
      <c r="I426" s="1289">
        <f>I425</f>
        <v>53000</v>
      </c>
      <c r="J426" s="1312"/>
      <c r="K426" s="1299"/>
    </row>
    <row r="427" spans="1:11" s="364" customFormat="1" ht="15" hidden="1" x14ac:dyDescent="0.25">
      <c r="A427" s="356" t="s">
        <v>27</v>
      </c>
      <c r="B427" s="1263" t="s">
        <v>649</v>
      </c>
      <c r="C427" s="1264"/>
      <c r="D427" s="1265"/>
      <c r="E427" s="713"/>
      <c r="F427" s="357"/>
      <c r="G427" s="1196"/>
      <c r="H427" s="1196"/>
      <c r="I427" s="1240">
        <v>0</v>
      </c>
      <c r="J427" s="1133"/>
      <c r="K427" s="1299"/>
    </row>
    <row r="428" spans="1:11" s="363" customFormat="1" x14ac:dyDescent="0.25">
      <c r="A428" s="1056" t="s">
        <v>496</v>
      </c>
      <c r="B428" s="1056"/>
      <c r="C428" s="1056"/>
      <c r="D428" s="1056"/>
      <c r="E428" s="1056"/>
      <c r="F428" s="1056"/>
      <c r="G428" s="1056"/>
      <c r="H428" s="1056"/>
      <c r="I428" s="1056"/>
      <c r="J428" s="1056"/>
      <c r="K428" s="362"/>
    </row>
    <row r="429" spans="1:11" s="363" customFormat="1" ht="12.75" x14ac:dyDescent="0.2">
      <c r="A429" s="681" t="s">
        <v>1</v>
      </c>
      <c r="B429" s="1015" t="s">
        <v>15</v>
      </c>
      <c r="C429" s="1015"/>
      <c r="D429" s="1015"/>
      <c r="E429" s="1015" t="s">
        <v>58</v>
      </c>
      <c r="F429" s="1015"/>
      <c r="G429" s="1015" t="s">
        <v>66</v>
      </c>
      <c r="H429" s="1015"/>
      <c r="I429" s="1015" t="s">
        <v>260</v>
      </c>
      <c r="J429" s="1015"/>
      <c r="K429" s="1298" t="s">
        <v>655</v>
      </c>
    </row>
    <row r="430" spans="1:11" s="363" customFormat="1" ht="12.75" x14ac:dyDescent="0.2">
      <c r="A430" s="681">
        <v>1</v>
      </c>
      <c r="B430" s="1015">
        <v>2</v>
      </c>
      <c r="C430" s="1015"/>
      <c r="D430" s="1015"/>
      <c r="E430" s="1015">
        <v>3</v>
      </c>
      <c r="F430" s="1015"/>
      <c r="G430" s="1015">
        <v>4</v>
      </c>
      <c r="H430" s="1015"/>
      <c r="I430" s="1015">
        <v>5</v>
      </c>
      <c r="J430" s="1015"/>
      <c r="K430" s="1298"/>
    </row>
    <row r="431" spans="1:11" s="363" customFormat="1" ht="46.5" customHeight="1" x14ac:dyDescent="0.25">
      <c r="A431" s="679">
        <v>1</v>
      </c>
      <c r="B431" s="1041" t="s">
        <v>172</v>
      </c>
      <c r="C431" s="1042"/>
      <c r="D431" s="1043"/>
      <c r="E431" s="389"/>
      <c r="F431" s="389"/>
      <c r="G431" s="1031"/>
      <c r="H431" s="1033"/>
      <c r="I431" s="1229">
        <f>I432+I433+I435+I434+I453</f>
        <v>280000</v>
      </c>
      <c r="J431" s="1230"/>
      <c r="K431" s="583" t="s">
        <v>657</v>
      </c>
    </row>
    <row r="432" spans="1:11" s="363" customFormat="1" ht="20.25" customHeight="1" x14ac:dyDescent="0.25">
      <c r="A432" s="676" t="s">
        <v>27</v>
      </c>
      <c r="B432" s="1245" t="s">
        <v>497</v>
      </c>
      <c r="C432" s="1245"/>
      <c r="D432" s="1245"/>
      <c r="E432" s="713" t="s">
        <v>301</v>
      </c>
      <c r="F432" s="705"/>
      <c r="G432" s="1196"/>
      <c r="H432" s="1196"/>
      <c r="I432" s="1222">
        <v>110000</v>
      </c>
      <c r="J432" s="1132"/>
      <c r="K432" s="583"/>
    </row>
    <row r="433" spans="1:12" s="363" customFormat="1" ht="21.75" customHeight="1" x14ac:dyDescent="0.25">
      <c r="A433" s="676" t="s">
        <v>29</v>
      </c>
      <c r="B433" s="1245" t="s">
        <v>498</v>
      </c>
      <c r="C433" s="1245"/>
      <c r="D433" s="1245"/>
      <c r="E433" s="713" t="s">
        <v>301</v>
      </c>
      <c r="F433" s="705"/>
      <c r="G433" s="1196"/>
      <c r="H433" s="1196"/>
      <c r="I433" s="1222">
        <v>120000</v>
      </c>
      <c r="J433" s="1132"/>
      <c r="K433" s="583"/>
    </row>
    <row r="434" spans="1:12" s="363" customFormat="1" ht="15" customHeight="1" x14ac:dyDescent="0.25">
      <c r="A434" s="676" t="s">
        <v>31</v>
      </c>
      <c r="B434" s="1263" t="s">
        <v>646</v>
      </c>
      <c r="C434" s="1264"/>
      <c r="D434" s="1265"/>
      <c r="E434" s="713"/>
      <c r="F434" s="705"/>
      <c r="G434" s="1044"/>
      <c r="H434" s="1045"/>
      <c r="I434" s="1291">
        <f>10000-10000</f>
        <v>0</v>
      </c>
      <c r="J434" s="1261"/>
      <c r="K434" s="583"/>
    </row>
    <row r="435" spans="1:12" s="363" customFormat="1" ht="15" customHeight="1" x14ac:dyDescent="0.25">
      <c r="A435" s="676" t="s">
        <v>264</v>
      </c>
      <c r="B435" s="1263" t="s">
        <v>1140</v>
      </c>
      <c r="C435" s="1264"/>
      <c r="D435" s="1265"/>
      <c r="E435" s="713"/>
      <c r="F435" s="705"/>
      <c r="G435" s="1044"/>
      <c r="H435" s="1045"/>
      <c r="I435" s="1291">
        <v>50000</v>
      </c>
      <c r="J435" s="1261"/>
      <c r="K435" s="583"/>
    </row>
    <row r="436" spans="1:12" s="363" customFormat="1" ht="28.5" customHeight="1" x14ac:dyDescent="0.25">
      <c r="A436" s="388" t="s">
        <v>75</v>
      </c>
      <c r="B436" s="1041" t="s">
        <v>187</v>
      </c>
      <c r="C436" s="1042"/>
      <c r="D436" s="1043"/>
      <c r="E436" s="389"/>
      <c r="F436" s="377"/>
      <c r="G436" s="1294"/>
      <c r="H436" s="1294"/>
      <c r="I436" s="1229">
        <f>I437+I438</f>
        <v>800000</v>
      </c>
      <c r="J436" s="1230"/>
      <c r="K436" s="583"/>
    </row>
    <row r="437" spans="1:12" s="363" customFormat="1" ht="48.75" customHeight="1" x14ac:dyDescent="0.25">
      <c r="A437" s="356" t="s">
        <v>34</v>
      </c>
      <c r="B437" s="1295" t="s">
        <v>499</v>
      </c>
      <c r="C437" s="1296"/>
      <c r="D437" s="1297"/>
      <c r="E437" s="713" t="s">
        <v>301</v>
      </c>
      <c r="F437" s="705"/>
      <c r="G437" s="1196"/>
      <c r="H437" s="1196"/>
      <c r="I437" s="1222">
        <v>300000</v>
      </c>
      <c r="J437" s="1132"/>
      <c r="K437" s="583"/>
    </row>
    <row r="438" spans="1:12" s="363" customFormat="1" ht="58.5" customHeight="1" x14ac:dyDescent="0.25">
      <c r="A438" s="356" t="s">
        <v>36</v>
      </c>
      <c r="B438" s="1295" t="s">
        <v>500</v>
      </c>
      <c r="C438" s="1296"/>
      <c r="D438" s="1297"/>
      <c r="E438" s="713" t="s">
        <v>301</v>
      </c>
      <c r="F438" s="705"/>
      <c r="G438" s="1196"/>
      <c r="H438" s="1196"/>
      <c r="I438" s="1222">
        <v>500000</v>
      </c>
      <c r="J438" s="1132"/>
      <c r="K438" s="583"/>
    </row>
    <row r="439" spans="1:12" s="363" customFormat="1" ht="25.5" hidden="1" customHeight="1" x14ac:dyDescent="0.25">
      <c r="A439" s="679" t="s">
        <v>77</v>
      </c>
      <c r="B439" s="1041" t="s">
        <v>479</v>
      </c>
      <c r="C439" s="1042"/>
      <c r="D439" s="1042"/>
      <c r="E439" s="1042"/>
      <c r="F439" s="1042"/>
      <c r="G439" s="1042"/>
      <c r="H439" s="1042"/>
      <c r="I439" s="1042"/>
      <c r="J439" s="1043"/>
      <c r="K439" s="583"/>
    </row>
    <row r="440" spans="1:12" s="363" customFormat="1" ht="48" hidden="1" customHeight="1" x14ac:dyDescent="0.25">
      <c r="A440" s="356" t="s">
        <v>374</v>
      </c>
      <c r="B440" s="1099"/>
      <c r="C440" s="1100"/>
      <c r="D440" s="1101"/>
      <c r="E440" s="713"/>
      <c r="F440" s="705"/>
      <c r="G440" s="1044"/>
      <c r="H440" s="1045"/>
      <c r="I440" s="1291"/>
      <c r="J440" s="1261"/>
      <c r="K440" s="583"/>
    </row>
    <row r="441" spans="1:12" ht="32.25" customHeight="1" x14ac:dyDescent="0.25">
      <c r="A441" s="679" t="s">
        <v>77</v>
      </c>
      <c r="B441" s="1031" t="s">
        <v>532</v>
      </c>
      <c r="C441" s="1032"/>
      <c r="D441" s="1032"/>
      <c r="E441" s="1032"/>
      <c r="F441" s="1032"/>
      <c r="G441" s="1032"/>
      <c r="H441" s="1032"/>
      <c r="I441" s="1032"/>
      <c r="J441" s="1033"/>
      <c r="K441" s="583"/>
    </row>
    <row r="442" spans="1:12" s="276" customFormat="1" ht="18.75" customHeight="1" x14ac:dyDescent="0.25">
      <c r="A442" s="356" t="s">
        <v>374</v>
      </c>
      <c r="B442" s="1295" t="s">
        <v>670</v>
      </c>
      <c r="C442" s="1296"/>
      <c r="D442" s="1297"/>
      <c r="E442" s="713" t="s">
        <v>301</v>
      </c>
      <c r="F442" s="705"/>
      <c r="G442" s="1196" t="s">
        <v>256</v>
      </c>
      <c r="H442" s="1196"/>
      <c r="I442" s="1222">
        <v>70000</v>
      </c>
      <c r="J442" s="1132"/>
      <c r="K442" s="583"/>
      <c r="L442" s="363"/>
    </row>
    <row r="443" spans="1:12" s="276" customFormat="1" ht="30" hidden="1" customHeight="1" x14ac:dyDescent="0.25">
      <c r="A443" s="356" t="s">
        <v>503</v>
      </c>
      <c r="B443" s="1263" t="s">
        <v>547</v>
      </c>
      <c r="C443" s="1264"/>
      <c r="D443" s="1265"/>
      <c r="E443" s="682"/>
      <c r="F443" s="693"/>
      <c r="G443" s="1044"/>
      <c r="H443" s="1045"/>
      <c r="I443" s="1291">
        <f>SUM(I444:J444)</f>
        <v>0</v>
      </c>
      <c r="J443" s="1261"/>
      <c r="K443" s="583"/>
      <c r="L443" s="363"/>
    </row>
    <row r="444" spans="1:12" s="276" customFormat="1" ht="30" hidden="1" customHeight="1" x14ac:dyDescent="0.25">
      <c r="A444" s="356" t="s">
        <v>619</v>
      </c>
      <c r="B444" s="1263" t="s">
        <v>549</v>
      </c>
      <c r="C444" s="1264"/>
      <c r="D444" s="1265"/>
      <c r="E444" s="682"/>
      <c r="F444" s="693"/>
      <c r="G444" s="1044"/>
      <c r="H444" s="1045"/>
      <c r="I444" s="1291">
        <v>0</v>
      </c>
      <c r="J444" s="1261"/>
      <c r="K444" s="583"/>
      <c r="L444" s="363"/>
    </row>
    <row r="445" spans="1:12" s="480" customFormat="1" ht="24" customHeight="1" x14ac:dyDescent="0.25">
      <c r="A445" s="388" t="s">
        <v>86</v>
      </c>
      <c r="B445" s="1031" t="s">
        <v>782</v>
      </c>
      <c r="C445" s="1032"/>
      <c r="D445" s="1032"/>
      <c r="E445" s="1032"/>
      <c r="F445" s="1032"/>
      <c r="G445" s="1032"/>
      <c r="H445" s="1032"/>
      <c r="I445" s="1032"/>
      <c r="J445" s="1033"/>
      <c r="K445" s="583"/>
      <c r="L445" s="479"/>
    </row>
    <row r="446" spans="1:12" ht="15.75" customHeight="1" x14ac:dyDescent="0.25">
      <c r="A446" s="356" t="s">
        <v>473</v>
      </c>
      <c r="B446" s="1295" t="s">
        <v>781</v>
      </c>
      <c r="C446" s="1296"/>
      <c r="D446" s="1297"/>
      <c r="E446" s="713" t="s">
        <v>301</v>
      </c>
      <c r="F446" s="705">
        <v>812</v>
      </c>
      <c r="G446" s="1196"/>
      <c r="H446" s="1196"/>
      <c r="I446" s="1291">
        <v>0</v>
      </c>
      <c r="J446" s="1261"/>
      <c r="K446" s="583"/>
    </row>
    <row r="447" spans="1:12" ht="15.75" customHeight="1" x14ac:dyDescent="0.25">
      <c r="A447" s="1293" t="s">
        <v>501</v>
      </c>
      <c r="B447" s="1293"/>
      <c r="C447" s="1293"/>
      <c r="D447" s="1293"/>
      <c r="E447" s="1293"/>
      <c r="F447" s="1293"/>
      <c r="G447" s="1293"/>
      <c r="H447" s="1293"/>
      <c r="I447" s="1293"/>
      <c r="J447" s="1293"/>
      <c r="K447" s="392"/>
    </row>
    <row r="448" spans="1:12" ht="25.5" customHeight="1" x14ac:dyDescent="0.25">
      <c r="A448" s="681" t="s">
        <v>1</v>
      </c>
      <c r="B448" s="1015" t="s">
        <v>15</v>
      </c>
      <c r="C448" s="1015"/>
      <c r="D448" s="1015"/>
      <c r="E448" s="1015" t="s">
        <v>58</v>
      </c>
      <c r="F448" s="1015"/>
      <c r="G448" s="1015" t="s">
        <v>66</v>
      </c>
      <c r="H448" s="1015"/>
      <c r="I448" s="1015" t="s">
        <v>260</v>
      </c>
      <c r="J448" s="1024"/>
      <c r="K448" s="392"/>
    </row>
    <row r="449" spans="1:13" ht="15" customHeight="1" x14ac:dyDescent="0.25">
      <c r="A449" s="681">
        <v>1</v>
      </c>
      <c r="B449" s="1015">
        <v>2</v>
      </c>
      <c r="C449" s="1015"/>
      <c r="D449" s="1015"/>
      <c r="E449" s="1015">
        <v>3</v>
      </c>
      <c r="F449" s="1015"/>
      <c r="G449" s="1015">
        <v>4</v>
      </c>
      <c r="H449" s="1015"/>
      <c r="I449" s="1015">
        <v>5</v>
      </c>
      <c r="J449" s="1024"/>
      <c r="K449" s="392"/>
    </row>
    <row r="450" spans="1:13" ht="36.75" customHeight="1" x14ac:dyDescent="0.25">
      <c r="A450" s="388" t="s">
        <v>70</v>
      </c>
      <c r="B450" s="1041" t="s">
        <v>187</v>
      </c>
      <c r="C450" s="1042"/>
      <c r="D450" s="1043"/>
      <c r="E450" s="1243"/>
      <c r="F450" s="1244"/>
      <c r="G450" s="1294"/>
      <c r="H450" s="1294"/>
      <c r="I450" s="1292">
        <f>I451</f>
        <v>40000</v>
      </c>
      <c r="J450" s="1292"/>
      <c r="K450" s="392"/>
    </row>
    <row r="451" spans="1:13" ht="15" customHeight="1" x14ac:dyDescent="0.25">
      <c r="A451" s="356" t="s">
        <v>27</v>
      </c>
      <c r="B451" s="1245" t="s">
        <v>502</v>
      </c>
      <c r="C451" s="1245"/>
      <c r="D451" s="1245"/>
      <c r="E451" s="1022"/>
      <c r="F451" s="1023"/>
      <c r="G451" s="1196"/>
      <c r="H451" s="1196"/>
      <c r="I451" s="1290">
        <v>40000</v>
      </c>
      <c r="J451" s="1290"/>
      <c r="K451" s="392" t="s">
        <v>1174</v>
      </c>
    </row>
    <row r="452" spans="1:13" ht="15" hidden="1" customHeight="1" x14ac:dyDescent="0.25">
      <c r="A452" s="356"/>
      <c r="B452" s="1026"/>
      <c r="C452" s="1052"/>
      <c r="D452" s="1027"/>
      <c r="E452" s="1022"/>
      <c r="F452" s="1023"/>
      <c r="G452" s="1044"/>
      <c r="H452" s="1045"/>
      <c r="I452" s="707"/>
      <c r="J452" s="451"/>
      <c r="K452" s="392"/>
    </row>
    <row r="453" spans="1:13" ht="44.25" hidden="1" customHeight="1" x14ac:dyDescent="0.25">
      <c r="A453" s="356" t="s">
        <v>31</v>
      </c>
      <c r="B453" s="1017"/>
      <c r="C453" s="1018"/>
      <c r="D453" s="1019"/>
      <c r="E453" s="713" t="s">
        <v>301</v>
      </c>
      <c r="F453" s="705">
        <v>852</v>
      </c>
      <c r="G453" s="677"/>
      <c r="H453" s="678"/>
      <c r="I453" s="1306"/>
      <c r="J453" s="1307"/>
      <c r="K453" s="392" t="s">
        <v>1138</v>
      </c>
    </row>
    <row r="454" spans="1:13" ht="17.25" customHeight="1" x14ac:dyDescent="0.25">
      <c r="A454" s="356"/>
      <c r="B454" s="1014" t="s">
        <v>538</v>
      </c>
      <c r="C454" s="1014"/>
      <c r="D454" s="1014"/>
      <c r="E454" s="1022"/>
      <c r="F454" s="1023"/>
      <c r="G454" s="1196"/>
      <c r="H454" s="1196"/>
      <c r="I454" s="1289">
        <f>I397+I404+I411+I418+I425+I431+I436+I439+I450+I441+I443+I446+I442</f>
        <v>1268000</v>
      </c>
      <c r="J454" s="1289"/>
      <c r="K454" s="393"/>
    </row>
    <row r="455" spans="1:13" hidden="1" x14ac:dyDescent="0.25">
      <c r="A455" s="1288" t="s">
        <v>378</v>
      </c>
      <c r="B455" s="1288"/>
      <c r="C455" s="1288"/>
      <c r="D455" s="1288"/>
      <c r="E455" s="1288"/>
      <c r="F455" s="1288"/>
      <c r="G455" s="1288"/>
      <c r="H455" s="1288"/>
      <c r="I455" s="1288"/>
      <c r="J455" s="1288"/>
    </row>
    <row r="456" spans="1:13" hidden="1" x14ac:dyDescent="0.25">
      <c r="A456" s="1075" t="s">
        <v>1</v>
      </c>
      <c r="B456" s="1134" t="s">
        <v>15</v>
      </c>
      <c r="C456" s="1135"/>
      <c r="D456" s="1136"/>
      <c r="E456" s="1134" t="s">
        <v>64</v>
      </c>
      <c r="F456" s="1136"/>
      <c r="G456" s="1015" t="s">
        <v>65</v>
      </c>
      <c r="H456" s="1015"/>
      <c r="I456" s="1015"/>
      <c r="J456" s="1015"/>
    </row>
    <row r="457" spans="1:13" hidden="1" x14ac:dyDescent="0.25">
      <c r="A457" s="1076"/>
      <c r="B457" s="1137"/>
      <c r="C457" s="1138"/>
      <c r="D457" s="1139"/>
      <c r="E457" s="1137"/>
      <c r="F457" s="1139"/>
      <c r="G457" s="681" t="s">
        <v>298</v>
      </c>
      <c r="H457" s="681" t="s">
        <v>295</v>
      </c>
      <c r="I457" s="681" t="s">
        <v>296</v>
      </c>
      <c r="J457" s="445" t="s">
        <v>297</v>
      </c>
    </row>
    <row r="458" spans="1:13" hidden="1" x14ac:dyDescent="0.25">
      <c r="A458" s="681">
        <v>1</v>
      </c>
      <c r="B458" s="1015">
        <v>2</v>
      </c>
      <c r="C458" s="1015"/>
      <c r="D458" s="1015"/>
      <c r="E458" s="1024">
        <v>3</v>
      </c>
      <c r="F458" s="1025"/>
      <c r="G458" s="1015">
        <v>4</v>
      </c>
      <c r="H458" s="1015"/>
      <c r="I458" s="1015"/>
      <c r="J458" s="1015"/>
    </row>
    <row r="459" spans="1:13" hidden="1" x14ac:dyDescent="0.25">
      <c r="A459" s="676" t="s">
        <v>70</v>
      </c>
      <c r="B459" s="1040" t="s">
        <v>339</v>
      </c>
      <c r="C459" s="1040"/>
      <c r="D459" s="1040"/>
      <c r="E459" s="1026">
        <v>1</v>
      </c>
      <c r="F459" s="1027"/>
      <c r="G459" s="676" t="s">
        <v>299</v>
      </c>
      <c r="H459" s="676">
        <v>1</v>
      </c>
      <c r="I459" s="161"/>
      <c r="J459" s="446">
        <v>0</v>
      </c>
    </row>
    <row r="460" spans="1:13" hidden="1" x14ac:dyDescent="0.25">
      <c r="A460" s="676" t="s">
        <v>75</v>
      </c>
      <c r="B460" s="1040" t="s">
        <v>340</v>
      </c>
      <c r="C460" s="1040"/>
      <c r="D460" s="1040"/>
      <c r="E460" s="1026">
        <v>1</v>
      </c>
      <c r="F460" s="1027"/>
      <c r="G460" s="676" t="s">
        <v>299</v>
      </c>
      <c r="H460" s="676">
        <v>1</v>
      </c>
      <c r="I460" s="161"/>
      <c r="J460" s="446">
        <f t="shared" ref="J460:J461" si="24">H460*I460</f>
        <v>0</v>
      </c>
    </row>
    <row r="461" spans="1:13" hidden="1" x14ac:dyDescent="0.25">
      <c r="A461" s="676" t="s">
        <v>77</v>
      </c>
      <c r="B461" s="1040" t="s">
        <v>335</v>
      </c>
      <c r="C461" s="1040"/>
      <c r="D461" s="1040"/>
      <c r="E461" s="1026">
        <v>1</v>
      </c>
      <c r="F461" s="1027"/>
      <c r="G461" s="676" t="s">
        <v>299</v>
      </c>
      <c r="H461" s="705">
        <v>1</v>
      </c>
      <c r="I461" s="161"/>
      <c r="J461" s="446">
        <f t="shared" si="24"/>
        <v>0</v>
      </c>
    </row>
    <row r="462" spans="1:13" hidden="1" x14ac:dyDescent="0.25">
      <c r="A462" s="293"/>
      <c r="B462" s="1283" t="s">
        <v>13</v>
      </c>
      <c r="C462" s="1283"/>
      <c r="D462" s="1283"/>
      <c r="E462" s="1268" t="s">
        <v>14</v>
      </c>
      <c r="F462" s="1269"/>
      <c r="G462" s="1284">
        <f>SUM(J459:J461)</f>
        <v>0</v>
      </c>
      <c r="H462" s="1285"/>
      <c r="I462" s="1285"/>
      <c r="J462" s="1285"/>
    </row>
    <row r="463" spans="1:13" x14ac:dyDescent="0.25">
      <c r="A463" s="325"/>
      <c r="B463" s="325"/>
      <c r="C463" s="325"/>
      <c r="D463" s="325"/>
      <c r="E463" s="325"/>
      <c r="F463" s="325"/>
      <c r="G463" s="325"/>
      <c r="H463" s="325"/>
      <c r="I463" s="325"/>
      <c r="J463" s="441"/>
    </row>
    <row r="464" spans="1:13" ht="32.25" customHeight="1" x14ac:dyDescent="0.25">
      <c r="A464" s="325"/>
      <c r="B464" s="325"/>
      <c r="C464" s="325"/>
      <c r="D464" s="325"/>
      <c r="E464" s="325"/>
      <c r="F464" s="325"/>
      <c r="G464" s="325"/>
      <c r="H464" s="358" t="s">
        <v>212</v>
      </c>
      <c r="I464" s="1286">
        <f>J94+I101+I117+I122+I158+I177+I188+I205+I219+G304+G353+I454+I392+I263+I358</f>
        <v>177566959.99999982</v>
      </c>
      <c r="J464" s="1286"/>
      <c r="K464" s="303">
        <f>I117+I188+I205+I219+I250+I262+G304+G353+I358+I392+I400+I414+I426+I431</f>
        <v>41602560</v>
      </c>
      <c r="L464" s="282">
        <f>I466+I467+I472</f>
        <v>146959859.99999982</v>
      </c>
      <c r="M464" s="291"/>
    </row>
    <row r="465" spans="1:13" x14ac:dyDescent="0.25">
      <c r="A465" s="325"/>
      <c r="B465" s="325"/>
      <c r="C465" s="325"/>
      <c r="D465" s="325"/>
      <c r="E465" s="325"/>
      <c r="F465" s="325"/>
      <c r="G465" s="325"/>
      <c r="H465" s="359" t="s">
        <v>248</v>
      </c>
      <c r="I465" s="325"/>
      <c r="J465" s="441"/>
    </row>
    <row r="466" spans="1:13" ht="18" x14ac:dyDescent="0.4">
      <c r="A466" s="325"/>
      <c r="B466" s="325"/>
      <c r="C466" s="325"/>
      <c r="D466" s="325"/>
      <c r="E466" s="325"/>
      <c r="F466" s="325"/>
      <c r="G466" s="325"/>
      <c r="H466" s="359" t="s">
        <v>82</v>
      </c>
      <c r="I466" s="1287">
        <f>I108+I109+I111+I183+I184+I187+I203+I212+I250+I262+G304+J309+I397+I414+I426+I431</f>
        <v>10661000</v>
      </c>
      <c r="J466" s="1287"/>
      <c r="L466" s="291"/>
      <c r="M466" s="291"/>
    </row>
    <row r="467" spans="1:13" ht="18" x14ac:dyDescent="0.4">
      <c r="A467" s="325"/>
      <c r="B467" s="325"/>
      <c r="C467" s="325"/>
      <c r="D467" s="325"/>
      <c r="E467" s="325"/>
      <c r="F467" s="325"/>
      <c r="G467" s="325"/>
      <c r="H467" s="359" t="s">
        <v>249</v>
      </c>
      <c r="I467" s="1242">
        <f>J73+I100+I139+I218+I364+I436+I450+J341+I99</f>
        <v>136131999.99999982</v>
      </c>
      <c r="J467" s="1242"/>
      <c r="L467" s="291"/>
    </row>
    <row r="468" spans="1:13" ht="18" x14ac:dyDescent="0.4">
      <c r="A468" s="325"/>
      <c r="B468" s="325"/>
      <c r="C468" s="325"/>
      <c r="D468" s="325"/>
      <c r="E468" s="325"/>
      <c r="F468" s="325"/>
      <c r="G468" s="325"/>
      <c r="H468" s="359" t="s">
        <v>666</v>
      </c>
      <c r="I468" s="1242">
        <f>J338+I177+J339+J340</f>
        <v>25130800</v>
      </c>
      <c r="J468" s="1242"/>
      <c r="L468" s="164">
        <f>2401741+15643600+2935418</f>
        <v>20980759</v>
      </c>
      <c r="M468" s="282">
        <f>L468-I468</f>
        <v>-4150041</v>
      </c>
    </row>
    <row r="469" spans="1:13" ht="18" x14ac:dyDescent="0.4">
      <c r="A469" s="325"/>
      <c r="B469" s="325"/>
      <c r="C469" s="325"/>
      <c r="D469" s="325"/>
      <c r="E469" s="325"/>
      <c r="F469" s="325"/>
      <c r="G469" s="325"/>
      <c r="H469" s="359" t="s">
        <v>783</v>
      </c>
      <c r="I469" s="1242">
        <f>I156+I204+J351+I440+I115+J75+I446</f>
        <v>0</v>
      </c>
      <c r="J469" s="1242"/>
      <c r="K469" s="303"/>
      <c r="L469" s="282"/>
    </row>
    <row r="470" spans="1:13" ht="18" x14ac:dyDescent="0.4">
      <c r="A470" s="325"/>
      <c r="B470" s="325"/>
      <c r="C470" s="325"/>
      <c r="D470" s="325"/>
      <c r="E470" s="325"/>
      <c r="F470" s="325"/>
      <c r="G470" s="325"/>
      <c r="H470" s="359" t="s">
        <v>784</v>
      </c>
      <c r="I470" s="1242">
        <f>J349</f>
        <v>0</v>
      </c>
      <c r="J470" s="1242"/>
      <c r="L470" s="282"/>
    </row>
    <row r="471" spans="1:13" ht="18" x14ac:dyDescent="0.4">
      <c r="A471" s="325"/>
      <c r="B471" s="325"/>
      <c r="C471" s="325"/>
      <c r="D471" s="325"/>
      <c r="E471" s="325"/>
      <c r="F471" s="325"/>
      <c r="G471" s="325"/>
      <c r="H471" s="359" t="s">
        <v>785</v>
      </c>
      <c r="I471" s="1242">
        <f>J350</f>
        <v>0</v>
      </c>
      <c r="J471" s="1242"/>
      <c r="K471" s="303"/>
    </row>
    <row r="472" spans="1:13" ht="18" x14ac:dyDescent="0.4">
      <c r="A472" s="325"/>
      <c r="B472" s="325"/>
      <c r="C472" s="325"/>
      <c r="D472" s="325"/>
      <c r="E472" s="325"/>
      <c r="F472" s="325"/>
      <c r="G472" s="325"/>
      <c r="H472" s="359" t="s">
        <v>505</v>
      </c>
      <c r="I472" s="1242">
        <f>J346+J74+I116+I157+I442</f>
        <v>166860</v>
      </c>
      <c r="J472" s="1242"/>
    </row>
    <row r="473" spans="1:13" ht="18" x14ac:dyDescent="0.4">
      <c r="A473" s="325"/>
      <c r="B473" s="325"/>
      <c r="C473" s="325"/>
      <c r="D473" s="325"/>
      <c r="E473" s="325"/>
      <c r="F473" s="325"/>
      <c r="G473" s="325"/>
      <c r="H473" s="359" t="s">
        <v>1166</v>
      </c>
      <c r="I473" s="1242">
        <f>J93+I155</f>
        <v>300000</v>
      </c>
      <c r="J473" s="1242"/>
    </row>
    <row r="474" spans="1:13" ht="24.75" customHeight="1" x14ac:dyDescent="0.4">
      <c r="A474" s="325"/>
      <c r="B474" s="325"/>
      <c r="C474" s="325"/>
      <c r="D474" s="325"/>
      <c r="E474" s="325"/>
      <c r="F474" s="325"/>
      <c r="G474" s="325"/>
      <c r="H474" s="359" t="s">
        <v>530</v>
      </c>
      <c r="I474" s="1242">
        <f>J333</f>
        <v>5176300</v>
      </c>
      <c r="J474" s="1242"/>
      <c r="K474" s="755">
        <f>I474+I468</f>
        <v>30307100</v>
      </c>
      <c r="L474" s="282">
        <f>I474+I468</f>
        <v>30307100</v>
      </c>
    </row>
    <row r="475" spans="1:13" x14ac:dyDescent="0.25">
      <c r="A475" s="325"/>
      <c r="B475" s="325"/>
      <c r="C475" s="325"/>
      <c r="D475" s="325"/>
      <c r="E475" s="325"/>
      <c r="F475" s="325"/>
      <c r="G475" s="325"/>
      <c r="H475" s="359" t="s">
        <v>548</v>
      </c>
      <c r="I475" s="1259">
        <v>0</v>
      </c>
      <c r="J475" s="1260"/>
    </row>
    <row r="476" spans="1:13" ht="8.25" customHeight="1" x14ac:dyDescent="0.25">
      <c r="A476" s="325"/>
      <c r="B476" s="325"/>
      <c r="C476" s="325"/>
      <c r="D476" s="325"/>
      <c r="E476" s="325"/>
      <c r="F476" s="1227"/>
      <c r="G476" s="1227"/>
      <c r="H476" s="1227"/>
      <c r="I476" s="360"/>
      <c r="J476" s="452"/>
    </row>
    <row r="477" spans="1:13" x14ac:dyDescent="0.25">
      <c r="A477" s="1238" t="s">
        <v>211</v>
      </c>
      <c r="B477" s="1238"/>
      <c r="C477" s="1238"/>
      <c r="D477" s="367"/>
      <c r="E477" s="367"/>
      <c r="F477" s="368" t="s">
        <v>416</v>
      </c>
      <c r="G477" s="368"/>
      <c r="H477" s="368"/>
      <c r="I477" s="368"/>
      <c r="J477" s="455"/>
      <c r="L477" s="282">
        <f>I468+I474</f>
        <v>30307100</v>
      </c>
    </row>
    <row r="478" spans="1:13" x14ac:dyDescent="0.25">
      <c r="A478" s="727"/>
      <c r="B478" s="571"/>
      <c r="C478" s="571"/>
      <c r="D478" s="1236" t="s">
        <v>272</v>
      </c>
      <c r="E478" s="1236"/>
      <c r="F478" s="1237" t="s">
        <v>273</v>
      </c>
      <c r="G478" s="1237"/>
      <c r="H478" s="1237"/>
      <c r="I478" s="1237"/>
      <c r="J478" s="454"/>
    </row>
    <row r="479" spans="1:13" x14ac:dyDescent="0.25">
      <c r="A479" s="1238" t="s">
        <v>415</v>
      </c>
      <c r="B479" s="1238"/>
      <c r="C479" s="1238"/>
      <c r="D479" s="367"/>
      <c r="E479" s="367"/>
      <c r="F479" s="368" t="s">
        <v>417</v>
      </c>
      <c r="G479" s="368"/>
      <c r="H479" s="368"/>
      <c r="I479" s="368"/>
      <c r="J479" s="455"/>
    </row>
    <row r="480" spans="1:13" x14ac:dyDescent="0.25">
      <c r="A480" s="706"/>
      <c r="B480" s="706"/>
      <c r="C480" s="706"/>
      <c r="D480" s="1241" t="s">
        <v>272</v>
      </c>
      <c r="E480" s="1241"/>
      <c r="F480" s="1258" t="s">
        <v>273</v>
      </c>
      <c r="G480" s="1258"/>
      <c r="H480" s="1258"/>
      <c r="I480" s="1258"/>
      <c r="J480" s="454"/>
    </row>
    <row r="481" spans="1:10" x14ac:dyDescent="0.25">
      <c r="A481" s="706"/>
      <c r="B481" s="706"/>
      <c r="C481" s="706"/>
      <c r="D481" s="706"/>
      <c r="E481" s="706"/>
      <c r="F481" s="706"/>
      <c r="G481" s="363"/>
      <c r="H481" s="363"/>
      <c r="I481" s="363"/>
      <c r="J481" s="454"/>
    </row>
    <row r="482" spans="1:10" x14ac:dyDescent="0.25">
      <c r="A482" s="1239" t="s">
        <v>1098</v>
      </c>
      <c r="B482" s="1239"/>
      <c r="C482" s="706"/>
      <c r="D482" s="706"/>
      <c r="E482" s="706"/>
      <c r="F482" s="706"/>
      <c r="G482" s="363"/>
      <c r="H482" s="363"/>
      <c r="I482" s="363"/>
      <c r="J482" s="454"/>
    </row>
    <row r="483" spans="1:10" x14ac:dyDescent="0.25">
      <c r="A483" s="706"/>
      <c r="B483" s="706"/>
      <c r="C483" s="706"/>
      <c r="D483" s="706"/>
      <c r="E483" s="706"/>
      <c r="F483" s="706"/>
      <c r="G483" s="363"/>
      <c r="H483" s="363"/>
      <c r="I483" s="363"/>
      <c r="J483" s="454"/>
    </row>
    <row r="484" spans="1:10" x14ac:dyDescent="0.25">
      <c r="A484" s="1235"/>
      <c r="B484" s="1235"/>
      <c r="C484" s="706"/>
      <c r="D484" s="706"/>
      <c r="E484" s="706"/>
      <c r="F484" s="706"/>
      <c r="G484" s="363"/>
      <c r="H484" s="363"/>
      <c r="I484" s="363"/>
      <c r="J484" s="454"/>
    </row>
    <row r="487" spans="1:10" x14ac:dyDescent="0.25">
      <c r="G487" s="164" t="s">
        <v>1187</v>
      </c>
      <c r="J487" s="456">
        <f>J340</f>
        <v>1706500</v>
      </c>
    </row>
    <row r="488" spans="1:10" x14ac:dyDescent="0.25">
      <c r="G488" s="164" t="s">
        <v>1188</v>
      </c>
      <c r="J488" s="456">
        <f>J339</f>
        <v>4178000</v>
      </c>
    </row>
    <row r="489" spans="1:10" x14ac:dyDescent="0.25">
      <c r="G489" s="164" t="s">
        <v>1189</v>
      </c>
      <c r="J489" s="456">
        <f>J334+J335</f>
        <v>5176300</v>
      </c>
    </row>
    <row r="490" spans="1:10" x14ac:dyDescent="0.25">
      <c r="G490" s="164" t="s">
        <v>1190</v>
      </c>
      <c r="J490" s="456">
        <f>J338+I174</f>
        <v>19246300</v>
      </c>
    </row>
  </sheetData>
  <mergeCells count="1051">
    <mergeCell ref="G265:H265"/>
    <mergeCell ref="I265:J265"/>
    <mergeCell ref="E266:F266"/>
    <mergeCell ref="G266:H266"/>
    <mergeCell ref="B420:D420"/>
    <mergeCell ref="G420:H420"/>
    <mergeCell ref="I420:J420"/>
    <mergeCell ref="B419:D419"/>
    <mergeCell ref="G419:H419"/>
    <mergeCell ref="I419:J419"/>
    <mergeCell ref="I405:J405"/>
    <mergeCell ref="E416:F416"/>
    <mergeCell ref="B412:D412"/>
    <mergeCell ref="K258:K261"/>
    <mergeCell ref="B263:D263"/>
    <mergeCell ref="F263:G263"/>
    <mergeCell ref="I263:J263"/>
    <mergeCell ref="A264:J264"/>
    <mergeCell ref="B265:D265"/>
    <mergeCell ref="B266:D266"/>
    <mergeCell ref="B261:D261"/>
    <mergeCell ref="F261:G261"/>
    <mergeCell ref="B259:D259"/>
    <mergeCell ref="I261:J261"/>
    <mergeCell ref="B260:D260"/>
    <mergeCell ref="F260:G260"/>
    <mergeCell ref="E265:F265"/>
    <mergeCell ref="B310:D310"/>
    <mergeCell ref="B311:D311"/>
    <mergeCell ref="E311:F311"/>
    <mergeCell ref="B308:D308"/>
    <mergeCell ref="B309:D309"/>
    <mergeCell ref="A477:C477"/>
    <mergeCell ref="D478:E478"/>
    <mergeCell ref="F478:I478"/>
    <mergeCell ref="A479:C479"/>
    <mergeCell ref="D480:E480"/>
    <mergeCell ref="F480:I480"/>
    <mergeCell ref="A482:B482"/>
    <mergeCell ref="A484:B484"/>
    <mergeCell ref="I454:J454"/>
    <mergeCell ref="A455:J455"/>
    <mergeCell ref="A456:A457"/>
    <mergeCell ref="B456:D457"/>
    <mergeCell ref="E456:F457"/>
    <mergeCell ref="G456:J456"/>
    <mergeCell ref="B459:D459"/>
    <mergeCell ref="E459:F459"/>
    <mergeCell ref="B460:D460"/>
    <mergeCell ref="E460:F460"/>
    <mergeCell ref="B461:D461"/>
    <mergeCell ref="E461:F461"/>
    <mergeCell ref="B462:D462"/>
    <mergeCell ref="E462:F462"/>
    <mergeCell ref="G462:J462"/>
    <mergeCell ref="I472:J472"/>
    <mergeCell ref="I473:J473"/>
    <mergeCell ref="I464:J464"/>
    <mergeCell ref="B458:D458"/>
    <mergeCell ref="F476:H476"/>
    <mergeCell ref="E458:F458"/>
    <mergeCell ref="G458:J458"/>
    <mergeCell ref="I466:J466"/>
    <mergeCell ref="I467:J467"/>
    <mergeCell ref="B426:D426"/>
    <mergeCell ref="G426:H426"/>
    <mergeCell ref="I426:J426"/>
    <mergeCell ref="B421:D421"/>
    <mergeCell ref="G421:H421"/>
    <mergeCell ref="I421:J421"/>
    <mergeCell ref="B425:D425"/>
    <mergeCell ref="G425:H425"/>
    <mergeCell ref="I425:J425"/>
    <mergeCell ref="B423:D423"/>
    <mergeCell ref="G423:H423"/>
    <mergeCell ref="I423:J423"/>
    <mergeCell ref="G429:H429"/>
    <mergeCell ref="I429:J429"/>
    <mergeCell ref="B431:D431"/>
    <mergeCell ref="G431:H431"/>
    <mergeCell ref="I431:J431"/>
    <mergeCell ref="B429:D429"/>
    <mergeCell ref="B440:D440"/>
    <mergeCell ref="G440:H440"/>
    <mergeCell ref="I474:J474"/>
    <mergeCell ref="I475:J475"/>
    <mergeCell ref="E454:F454"/>
    <mergeCell ref="B449:D449"/>
    <mergeCell ref="E449:F449"/>
    <mergeCell ref="B450:D450"/>
    <mergeCell ref="E450:F450"/>
    <mergeCell ref="I116:J116"/>
    <mergeCell ref="G124:H124"/>
    <mergeCell ref="I124:J124"/>
    <mergeCell ref="I121:J121"/>
    <mergeCell ref="B121:D121"/>
    <mergeCell ref="E121:F121"/>
    <mergeCell ref="B127:F127"/>
    <mergeCell ref="G127:H127"/>
    <mergeCell ref="I127:J127"/>
    <mergeCell ref="B128:F128"/>
    <mergeCell ref="G128:H128"/>
    <mergeCell ref="I128:J128"/>
    <mergeCell ref="B125:F125"/>
    <mergeCell ref="G125:H125"/>
    <mergeCell ref="I125:J125"/>
    <mergeCell ref="B126:F126"/>
    <mergeCell ref="B268:D268"/>
    <mergeCell ref="E268:F268"/>
    <mergeCell ref="G126:H126"/>
    <mergeCell ref="I126:J126"/>
    <mergeCell ref="G268:H268"/>
    <mergeCell ref="I268:J268"/>
    <mergeCell ref="I258:J258"/>
    <mergeCell ref="I114:J114"/>
    <mergeCell ref="B113:D113"/>
    <mergeCell ref="E113:F113"/>
    <mergeCell ref="I113:J113"/>
    <mergeCell ref="I438:J438"/>
    <mergeCell ref="B438:D438"/>
    <mergeCell ref="B437:D437"/>
    <mergeCell ref="G437:H437"/>
    <mergeCell ref="I437:J437"/>
    <mergeCell ref="B436:D436"/>
    <mergeCell ref="G436:H436"/>
    <mergeCell ref="I432:J432"/>
    <mergeCell ref="B439:J439"/>
    <mergeCell ref="B400:D400"/>
    <mergeCell ref="G400:H400"/>
    <mergeCell ref="I400:J400"/>
    <mergeCell ref="I376:J376"/>
    <mergeCell ref="G378:H378"/>
    <mergeCell ref="G382:H382"/>
    <mergeCell ref="B399:D399"/>
    <mergeCell ref="G399:H399"/>
    <mergeCell ref="I399:J399"/>
    <mergeCell ref="E402:F402"/>
    <mergeCell ref="E383:F383"/>
    <mergeCell ref="B391:D391"/>
    <mergeCell ref="G391:H391"/>
    <mergeCell ref="I391:J391"/>
    <mergeCell ref="B392:D392"/>
    <mergeCell ref="G392:H392"/>
    <mergeCell ref="I392:J392"/>
    <mergeCell ref="I378:J378"/>
    <mergeCell ref="B124:F124"/>
    <mergeCell ref="A58:J58"/>
    <mergeCell ref="A68:I68"/>
    <mergeCell ref="A69:B69"/>
    <mergeCell ref="A73:I73"/>
    <mergeCell ref="A76:I76"/>
    <mergeCell ref="A13:J13"/>
    <mergeCell ref="A14:J14"/>
    <mergeCell ref="A37:J37"/>
    <mergeCell ref="A89:I89"/>
    <mergeCell ref="A72:I72"/>
    <mergeCell ref="A75:I75"/>
    <mergeCell ref="B397:D397"/>
    <mergeCell ref="G397:H397"/>
    <mergeCell ref="I397:J397"/>
    <mergeCell ref="I379:J379"/>
    <mergeCell ref="I266:J266"/>
    <mergeCell ref="B287:D287"/>
    <mergeCell ref="B290:D290"/>
    <mergeCell ref="B292:D292"/>
    <mergeCell ref="B284:D284"/>
    <mergeCell ref="B285:D285"/>
    <mergeCell ref="B286:D286"/>
    <mergeCell ref="I380:J380"/>
    <mergeCell ref="B386:D386"/>
    <mergeCell ref="G386:H386"/>
    <mergeCell ref="I386:J386"/>
    <mergeCell ref="B376:D376"/>
    <mergeCell ref="G376:H376"/>
    <mergeCell ref="A71:I71"/>
    <mergeCell ref="G99:H99"/>
    <mergeCell ref="A90:I90"/>
    <mergeCell ref="I115:J115"/>
    <mergeCell ref="A52:J52"/>
    <mergeCell ref="A1:J1"/>
    <mergeCell ref="A2:J2"/>
    <mergeCell ref="A3:J3"/>
    <mergeCell ref="A5:J5"/>
    <mergeCell ref="A8:J8"/>
    <mergeCell ref="A9:A11"/>
    <mergeCell ref="B9:B11"/>
    <mergeCell ref="C9:C11"/>
    <mergeCell ref="D9:G9"/>
    <mergeCell ref="H9:H11"/>
    <mergeCell ref="A22:J22"/>
    <mergeCell ref="A23:J23"/>
    <mergeCell ref="I9:I11"/>
    <mergeCell ref="J9:J11"/>
    <mergeCell ref="D10:D11"/>
    <mergeCell ref="E10:G10"/>
    <mergeCell ref="I132:J132"/>
    <mergeCell ref="B129:F129"/>
    <mergeCell ref="G129:H129"/>
    <mergeCell ref="I129:J129"/>
    <mergeCell ref="B130:F130"/>
    <mergeCell ref="G130:H130"/>
    <mergeCell ref="I130:J130"/>
    <mergeCell ref="G136:H136"/>
    <mergeCell ref="I136:J136"/>
    <mergeCell ref="B133:F133"/>
    <mergeCell ref="G133:H133"/>
    <mergeCell ref="I133:J133"/>
    <mergeCell ref="B134:F134"/>
    <mergeCell ref="G134:H134"/>
    <mergeCell ref="I134:J134"/>
    <mergeCell ref="B131:F131"/>
    <mergeCell ref="G131:H131"/>
    <mergeCell ref="I131:J131"/>
    <mergeCell ref="B132:F132"/>
    <mergeCell ref="G132:H132"/>
    <mergeCell ref="B138:F138"/>
    <mergeCell ref="G138:H138"/>
    <mergeCell ref="I138:J138"/>
    <mergeCell ref="G139:H139"/>
    <mergeCell ref="I139:J139"/>
    <mergeCell ref="E167:F167"/>
    <mergeCell ref="I155:J155"/>
    <mergeCell ref="I156:J156"/>
    <mergeCell ref="G153:H153"/>
    <mergeCell ref="I153:J153"/>
    <mergeCell ref="G154:H154"/>
    <mergeCell ref="I154:J154"/>
    <mergeCell ref="B153:F153"/>
    <mergeCell ref="B154:F154"/>
    <mergeCell ref="B155:F155"/>
    <mergeCell ref="B156:F156"/>
    <mergeCell ref="E163:F163"/>
    <mergeCell ref="G163:H163"/>
    <mergeCell ref="I163:J163"/>
    <mergeCell ref="G152:H152"/>
    <mergeCell ref="I152:J152"/>
    <mergeCell ref="B145:F145"/>
    <mergeCell ref="G167:H167"/>
    <mergeCell ref="I167:J167"/>
    <mergeCell ref="B165:D165"/>
    <mergeCell ref="G145:H145"/>
    <mergeCell ref="I145:J145"/>
    <mergeCell ref="B146:F146"/>
    <mergeCell ref="I146:J146"/>
    <mergeCell ref="B157:F157"/>
    <mergeCell ref="B172:D172"/>
    <mergeCell ref="E172:F172"/>
    <mergeCell ref="G172:H172"/>
    <mergeCell ref="I172:J172"/>
    <mergeCell ref="B173:D173"/>
    <mergeCell ref="E173:F173"/>
    <mergeCell ref="G173:H173"/>
    <mergeCell ref="I173:J173"/>
    <mergeCell ref="A159:J159"/>
    <mergeCell ref="B163:D163"/>
    <mergeCell ref="B164:D164"/>
    <mergeCell ref="B166:D166"/>
    <mergeCell ref="E166:F166"/>
    <mergeCell ref="G166:H166"/>
    <mergeCell ref="G151:H151"/>
    <mergeCell ref="I151:J151"/>
    <mergeCell ref="B152:F152"/>
    <mergeCell ref="G217:H217"/>
    <mergeCell ref="B195:D195"/>
    <mergeCell ref="G195:H195"/>
    <mergeCell ref="I195:J195"/>
    <mergeCell ref="E195:F195"/>
    <mergeCell ref="B212:D212"/>
    <mergeCell ref="I212:J212"/>
    <mergeCell ref="I217:J217"/>
    <mergeCell ref="B214:D214"/>
    <mergeCell ref="B181:D181"/>
    <mergeCell ref="E181:F181"/>
    <mergeCell ref="G181:H181"/>
    <mergeCell ref="I181:J181"/>
    <mergeCell ref="B176:D176"/>
    <mergeCell ref="E176:F176"/>
    <mergeCell ref="G176:H176"/>
    <mergeCell ref="I176:J176"/>
    <mergeCell ref="E182:F182"/>
    <mergeCell ref="G182:H182"/>
    <mergeCell ref="I182:J182"/>
    <mergeCell ref="E183:F183"/>
    <mergeCell ref="B185:D185"/>
    <mergeCell ref="G183:H183"/>
    <mergeCell ref="I183:J183"/>
    <mergeCell ref="A178:J178"/>
    <mergeCell ref="D180:H180"/>
    <mergeCell ref="E185:F185"/>
    <mergeCell ref="G185:H185"/>
    <mergeCell ref="I185:J185"/>
    <mergeCell ref="B186:D186"/>
    <mergeCell ref="E186:F186"/>
    <mergeCell ref="E184:F184"/>
    <mergeCell ref="B252:D252"/>
    <mergeCell ref="F252:G252"/>
    <mergeCell ref="I252:J252"/>
    <mergeCell ref="I253:J253"/>
    <mergeCell ref="B296:D296"/>
    <mergeCell ref="B298:D298"/>
    <mergeCell ref="F246:G246"/>
    <mergeCell ref="I246:J246"/>
    <mergeCell ref="B243:D243"/>
    <mergeCell ref="B244:D244"/>
    <mergeCell ref="B245:D245"/>
    <mergeCell ref="B246:D246"/>
    <mergeCell ref="F244:G244"/>
    <mergeCell ref="I244:J244"/>
    <mergeCell ref="F245:G245"/>
    <mergeCell ref="B295:D295"/>
    <mergeCell ref="I243:J243"/>
    <mergeCell ref="F248:G248"/>
    <mergeCell ref="B262:D262"/>
    <mergeCell ref="F262:G262"/>
    <mergeCell ref="I262:J262"/>
    <mergeCell ref="B267:D267"/>
    <mergeCell ref="E267:F267"/>
    <mergeCell ref="G267:H267"/>
    <mergeCell ref="I267:J267"/>
    <mergeCell ref="F258:G258"/>
    <mergeCell ref="F259:G259"/>
    <mergeCell ref="I245:J245"/>
    <mergeCell ref="F243:G243"/>
    <mergeCell ref="I257:J257"/>
    <mergeCell ref="B255:D255"/>
    <mergeCell ref="B258:D258"/>
    <mergeCell ref="B234:D234"/>
    <mergeCell ref="F228:G228"/>
    <mergeCell ref="I228:J228"/>
    <mergeCell ref="B229:D229"/>
    <mergeCell ref="F229:G229"/>
    <mergeCell ref="I229:J229"/>
    <mergeCell ref="I231:J231"/>
    <mergeCell ref="B230:D230"/>
    <mergeCell ref="F230:G230"/>
    <mergeCell ref="I230:J230"/>
    <mergeCell ref="F231:G231"/>
    <mergeCell ref="F232:G232"/>
    <mergeCell ref="B231:D231"/>
    <mergeCell ref="I234:J234"/>
    <mergeCell ref="F233:G233"/>
    <mergeCell ref="F234:G234"/>
    <mergeCell ref="B228:D228"/>
    <mergeCell ref="I233:J233"/>
    <mergeCell ref="E310:F310"/>
    <mergeCell ref="B291:D291"/>
    <mergeCell ref="B273:D273"/>
    <mergeCell ref="E317:F317"/>
    <mergeCell ref="B318:D318"/>
    <mergeCell ref="E318:F318"/>
    <mergeCell ref="B314:D314"/>
    <mergeCell ref="B315:D315"/>
    <mergeCell ref="B312:D312"/>
    <mergeCell ref="B313:D313"/>
    <mergeCell ref="E312:F312"/>
    <mergeCell ref="E313:F313"/>
    <mergeCell ref="E314:F314"/>
    <mergeCell ref="E315:F315"/>
    <mergeCell ref="B288:D288"/>
    <mergeCell ref="B283:D283"/>
    <mergeCell ref="B301:D301"/>
    <mergeCell ref="B280:D280"/>
    <mergeCell ref="B274:D274"/>
    <mergeCell ref="B279:D279"/>
    <mergeCell ref="B300:D300"/>
    <mergeCell ref="B297:D297"/>
    <mergeCell ref="B293:D293"/>
    <mergeCell ref="B278:D278"/>
    <mergeCell ref="B294:D294"/>
    <mergeCell ref="E342:F342"/>
    <mergeCell ref="B339:D339"/>
    <mergeCell ref="E339:F339"/>
    <mergeCell ref="B342:D342"/>
    <mergeCell ref="B324:D324"/>
    <mergeCell ref="E324:F324"/>
    <mergeCell ref="E323:F323"/>
    <mergeCell ref="B327:D327"/>
    <mergeCell ref="E327:F327"/>
    <mergeCell ref="B325:D325"/>
    <mergeCell ref="E325:F325"/>
    <mergeCell ref="B323:D323"/>
    <mergeCell ref="B319:D319"/>
    <mergeCell ref="E319:F319"/>
    <mergeCell ref="B320:D320"/>
    <mergeCell ref="E320:F320"/>
    <mergeCell ref="B316:D316"/>
    <mergeCell ref="E316:F316"/>
    <mergeCell ref="B317:D317"/>
    <mergeCell ref="B326:D326"/>
    <mergeCell ref="E326:F326"/>
    <mergeCell ref="B321:D321"/>
    <mergeCell ref="B322:D322"/>
    <mergeCell ref="E321:F321"/>
    <mergeCell ref="E322:F322"/>
    <mergeCell ref="E334:F334"/>
    <mergeCell ref="B335:D335"/>
    <mergeCell ref="B336:D336"/>
    <mergeCell ref="E335:F335"/>
    <mergeCell ref="E336:F336"/>
    <mergeCell ref="E337:F337"/>
    <mergeCell ref="E340:F340"/>
    <mergeCell ref="B333:D333"/>
    <mergeCell ref="B332:D332"/>
    <mergeCell ref="E332:F332"/>
    <mergeCell ref="E333:F333"/>
    <mergeCell ref="B331:D331"/>
    <mergeCell ref="E331:F331"/>
    <mergeCell ref="B329:D329"/>
    <mergeCell ref="E341:F341"/>
    <mergeCell ref="B337:D337"/>
    <mergeCell ref="B340:D340"/>
    <mergeCell ref="B341:D341"/>
    <mergeCell ref="G218:H218"/>
    <mergeCell ref="I214:J214"/>
    <mergeCell ref="B215:D215"/>
    <mergeCell ref="I215:J215"/>
    <mergeCell ref="A226:J226"/>
    <mergeCell ref="L128:M128"/>
    <mergeCell ref="G146:H146"/>
    <mergeCell ref="B148:F148"/>
    <mergeCell ref="G148:H148"/>
    <mergeCell ref="I148:J148"/>
    <mergeCell ref="B149:F149"/>
    <mergeCell ref="G149:H149"/>
    <mergeCell ref="I149:J149"/>
    <mergeCell ref="B143:F143"/>
    <mergeCell ref="G143:H143"/>
    <mergeCell ref="I143:J143"/>
    <mergeCell ref="B144:F144"/>
    <mergeCell ref="G144:H144"/>
    <mergeCell ref="I144:J144"/>
    <mergeCell ref="B141:F141"/>
    <mergeCell ref="G141:H141"/>
    <mergeCell ref="I184:J184"/>
    <mergeCell ref="G214:H214"/>
    <mergeCell ref="G215:H215"/>
    <mergeCell ref="G216:H216"/>
    <mergeCell ref="I141:J141"/>
    <mergeCell ref="B142:F142"/>
    <mergeCell ref="G142:H142"/>
    <mergeCell ref="I142:J142"/>
    <mergeCell ref="B139:F139"/>
    <mergeCell ref="B140:F140"/>
    <mergeCell ref="G140:H140"/>
    <mergeCell ref="G135:H135"/>
    <mergeCell ref="I135:J135"/>
    <mergeCell ref="B136:F136"/>
    <mergeCell ref="B135:F135"/>
    <mergeCell ref="I140:J140"/>
    <mergeCell ref="B137:F137"/>
    <mergeCell ref="G137:H137"/>
    <mergeCell ref="I137:J137"/>
    <mergeCell ref="B147:F147"/>
    <mergeCell ref="I201:J201"/>
    <mergeCell ref="B202:D202"/>
    <mergeCell ref="B201:D201"/>
    <mergeCell ref="E201:F201"/>
    <mergeCell ref="G201:H201"/>
    <mergeCell ref="E202:F202"/>
    <mergeCell ref="G202:H202"/>
    <mergeCell ref="I202:J202"/>
    <mergeCell ref="E164:F164"/>
    <mergeCell ref="I157:J157"/>
    <mergeCell ref="G164:H164"/>
    <mergeCell ref="I164:J164"/>
    <mergeCell ref="B384:D384"/>
    <mergeCell ref="G384:H384"/>
    <mergeCell ref="I384:J384"/>
    <mergeCell ref="B372:D372"/>
    <mergeCell ref="B380:D380"/>
    <mergeCell ref="G380:H380"/>
    <mergeCell ref="B377:D377"/>
    <mergeCell ref="G377:H377"/>
    <mergeCell ref="I377:J377"/>
    <mergeCell ref="B381:D381"/>
    <mergeCell ref="G381:H381"/>
    <mergeCell ref="E345:F345"/>
    <mergeCell ref="B350:D350"/>
    <mergeCell ref="E350:F350"/>
    <mergeCell ref="I361:J361"/>
    <mergeCell ref="B362:D362"/>
    <mergeCell ref="B203:D203"/>
    <mergeCell ref="E203:F203"/>
    <mergeCell ref="G203:H203"/>
    <mergeCell ref="I203:J203"/>
    <mergeCell ref="B204:D204"/>
    <mergeCell ref="E204:F204"/>
    <mergeCell ref="G204:H204"/>
    <mergeCell ref="I204:J204"/>
    <mergeCell ref="B248:D248"/>
    <mergeCell ref="B249:D249"/>
    <mergeCell ref="F242:G242"/>
    <mergeCell ref="I242:J242"/>
    <mergeCell ref="G222:H222"/>
    <mergeCell ref="B213:D213"/>
    <mergeCell ref="I213:J213"/>
    <mergeCell ref="B210:D210"/>
    <mergeCell ref="E223:F223"/>
    <mergeCell ref="G223:H223"/>
    <mergeCell ref="E224:F224"/>
    <mergeCell ref="G224:H224"/>
    <mergeCell ref="B216:D216"/>
    <mergeCell ref="I224:J224"/>
    <mergeCell ref="B218:D218"/>
    <mergeCell ref="I218:J218"/>
    <mergeCell ref="I375:J375"/>
    <mergeCell ref="G372:H372"/>
    <mergeCell ref="B374:D374"/>
    <mergeCell ref="G374:H374"/>
    <mergeCell ref="I374:J374"/>
    <mergeCell ref="I369:J369"/>
    <mergeCell ref="B373:D373"/>
    <mergeCell ref="G373:H373"/>
    <mergeCell ref="I373:J373"/>
    <mergeCell ref="B365:D365"/>
    <mergeCell ref="G365:H365"/>
    <mergeCell ref="G362:H362"/>
    <mergeCell ref="I362:J362"/>
    <mergeCell ref="B361:D361"/>
    <mergeCell ref="I358:J358"/>
    <mergeCell ref="E356:F356"/>
    <mergeCell ref="E357:F357"/>
    <mergeCell ref="G361:H361"/>
    <mergeCell ref="E358:F358"/>
    <mergeCell ref="A359:J359"/>
    <mergeCell ref="E360:F360"/>
    <mergeCell ref="E361:F361"/>
    <mergeCell ref="B370:D370"/>
    <mergeCell ref="G370:H370"/>
    <mergeCell ref="I370:J370"/>
    <mergeCell ref="B353:D353"/>
    <mergeCell ref="B358:D358"/>
    <mergeCell ref="G358:H358"/>
    <mergeCell ref="B349:D349"/>
    <mergeCell ref="E349:F349"/>
    <mergeCell ref="G353:J353"/>
    <mergeCell ref="B345:D345"/>
    <mergeCell ref="I357:J357"/>
    <mergeCell ref="G355:H355"/>
    <mergeCell ref="B367:D367"/>
    <mergeCell ref="G367:H367"/>
    <mergeCell ref="I367:J367"/>
    <mergeCell ref="B366:D366"/>
    <mergeCell ref="I365:J365"/>
    <mergeCell ref="B364:D364"/>
    <mergeCell ref="G364:H364"/>
    <mergeCell ref="I364:J364"/>
    <mergeCell ref="B347:D347"/>
    <mergeCell ref="B348:D348"/>
    <mergeCell ref="B351:D351"/>
    <mergeCell ref="E347:F347"/>
    <mergeCell ref="E348:F348"/>
    <mergeCell ref="E351:F351"/>
    <mergeCell ref="E352:F352"/>
    <mergeCell ref="B352:D352"/>
    <mergeCell ref="E353:F353"/>
    <mergeCell ref="B355:D355"/>
    <mergeCell ref="I355:J355"/>
    <mergeCell ref="A354:J354"/>
    <mergeCell ref="B241:D241"/>
    <mergeCell ref="F241:G241"/>
    <mergeCell ref="I241:J241"/>
    <mergeCell ref="B242:D242"/>
    <mergeCell ref="B236:D236"/>
    <mergeCell ref="I232:J232"/>
    <mergeCell ref="F236:G236"/>
    <mergeCell ref="I236:J236"/>
    <mergeCell ref="B233:D233"/>
    <mergeCell ref="B346:D346"/>
    <mergeCell ref="B344:D344"/>
    <mergeCell ref="E344:F344"/>
    <mergeCell ref="E346:F346"/>
    <mergeCell ref="B360:D360"/>
    <mergeCell ref="G360:H360"/>
    <mergeCell ref="I360:J360"/>
    <mergeCell ref="B356:D356"/>
    <mergeCell ref="G356:H356"/>
    <mergeCell ref="E355:F355"/>
    <mergeCell ref="I259:J259"/>
    <mergeCell ref="I260:J260"/>
    <mergeCell ref="B289:D289"/>
    <mergeCell ref="E328:F328"/>
    <mergeCell ref="E329:F329"/>
    <mergeCell ref="B330:D330"/>
    <mergeCell ref="E330:F330"/>
    <mergeCell ref="B328:D328"/>
    <mergeCell ref="B338:D338"/>
    <mergeCell ref="E338:F338"/>
    <mergeCell ref="B343:D343"/>
    <mergeCell ref="E343:F343"/>
    <mergeCell ref="B334:D334"/>
    <mergeCell ref="B387:D387"/>
    <mergeCell ref="G387:H387"/>
    <mergeCell ref="I387:J387"/>
    <mergeCell ref="E395:F395"/>
    <mergeCell ref="G395:H395"/>
    <mergeCell ref="B363:D363"/>
    <mergeCell ref="G363:H363"/>
    <mergeCell ref="I363:J363"/>
    <mergeCell ref="G375:H375"/>
    <mergeCell ref="E362:F362"/>
    <mergeCell ref="B257:D257"/>
    <mergeCell ref="B237:D237"/>
    <mergeCell ref="F237:G237"/>
    <mergeCell ref="B235:D235"/>
    <mergeCell ref="F235:G235"/>
    <mergeCell ref="I235:J235"/>
    <mergeCell ref="B232:D232"/>
    <mergeCell ref="I248:J248"/>
    <mergeCell ref="F249:G249"/>
    <mergeCell ref="I249:J249"/>
    <mergeCell ref="B253:D253"/>
    <mergeCell ref="I254:J254"/>
    <mergeCell ref="I255:J255"/>
    <mergeCell ref="B254:D254"/>
    <mergeCell ref="F253:G253"/>
    <mergeCell ref="F254:G254"/>
    <mergeCell ref="F255:G255"/>
    <mergeCell ref="B247:D247"/>
    <mergeCell ref="F247:G247"/>
    <mergeCell ref="I247:J247"/>
    <mergeCell ref="B238:D238"/>
    <mergeCell ref="B239:D239"/>
    <mergeCell ref="B378:D378"/>
    <mergeCell ref="B379:D379"/>
    <mergeCell ref="G412:H412"/>
    <mergeCell ref="B414:D414"/>
    <mergeCell ref="G414:H414"/>
    <mergeCell ref="I414:J414"/>
    <mergeCell ref="B409:D409"/>
    <mergeCell ref="G409:H409"/>
    <mergeCell ref="G411:H411"/>
    <mergeCell ref="I411:J411"/>
    <mergeCell ref="B413:D413"/>
    <mergeCell ref="E409:F409"/>
    <mergeCell ref="I412:J412"/>
    <mergeCell ref="I356:J356"/>
    <mergeCell ref="B357:D357"/>
    <mergeCell ref="G357:H357"/>
    <mergeCell ref="B389:D389"/>
    <mergeCell ref="G389:H389"/>
    <mergeCell ref="I388:J388"/>
    <mergeCell ref="I389:J389"/>
    <mergeCell ref="I385:J385"/>
    <mergeCell ref="G407:H407"/>
    <mergeCell ref="I407:J407"/>
    <mergeCell ref="B398:D398"/>
    <mergeCell ref="G398:H398"/>
    <mergeCell ref="I398:J398"/>
    <mergeCell ref="B406:D406"/>
    <mergeCell ref="G406:H406"/>
    <mergeCell ref="I406:J406"/>
    <mergeCell ref="B402:D402"/>
    <mergeCell ref="G402:H402"/>
    <mergeCell ref="I402:J402"/>
    <mergeCell ref="G438:H438"/>
    <mergeCell ref="B432:D432"/>
    <mergeCell ref="G432:H432"/>
    <mergeCell ref="B433:D433"/>
    <mergeCell ref="G433:H433"/>
    <mergeCell ref="B434:D434"/>
    <mergeCell ref="G434:H434"/>
    <mergeCell ref="B435:D435"/>
    <mergeCell ref="G435:H435"/>
    <mergeCell ref="I433:J433"/>
    <mergeCell ref="I434:J434"/>
    <mergeCell ref="I435:J435"/>
    <mergeCell ref="I436:J436"/>
    <mergeCell ref="E392:F392"/>
    <mergeCell ref="A393:J393"/>
    <mergeCell ref="A394:J394"/>
    <mergeCell ref="B395:D395"/>
    <mergeCell ref="I395:J395"/>
    <mergeCell ref="B407:D407"/>
    <mergeCell ref="B416:D416"/>
    <mergeCell ref="B418:D418"/>
    <mergeCell ref="G418:H418"/>
    <mergeCell ref="I418:J418"/>
    <mergeCell ref="E423:F423"/>
    <mergeCell ref="G416:H416"/>
    <mergeCell ref="I416:J416"/>
    <mergeCell ref="G427:H427"/>
    <mergeCell ref="B427:D427"/>
    <mergeCell ref="I427:J427"/>
    <mergeCell ref="B404:D404"/>
    <mergeCell ref="I409:J409"/>
    <mergeCell ref="B411:D411"/>
    <mergeCell ref="I468:J468"/>
    <mergeCell ref="I469:J469"/>
    <mergeCell ref="I470:J470"/>
    <mergeCell ref="I471:J471"/>
    <mergeCell ref="G454:H454"/>
    <mergeCell ref="B454:D454"/>
    <mergeCell ref="I442:J442"/>
    <mergeCell ref="B444:D444"/>
    <mergeCell ref="G444:H444"/>
    <mergeCell ref="I444:J444"/>
    <mergeCell ref="I449:J449"/>
    <mergeCell ref="B451:D451"/>
    <mergeCell ref="E451:F451"/>
    <mergeCell ref="G451:H451"/>
    <mergeCell ref="I451:J451"/>
    <mergeCell ref="B452:D452"/>
    <mergeCell ref="E452:F452"/>
    <mergeCell ref="G452:H452"/>
    <mergeCell ref="B453:D453"/>
    <mergeCell ref="I443:J443"/>
    <mergeCell ref="B446:D446"/>
    <mergeCell ref="G446:H446"/>
    <mergeCell ref="G449:H449"/>
    <mergeCell ref="I446:J446"/>
    <mergeCell ref="G450:H450"/>
    <mergeCell ref="I450:J450"/>
    <mergeCell ref="B442:D442"/>
    <mergeCell ref="G443:H443"/>
    <mergeCell ref="A78:A80"/>
    <mergeCell ref="B78:B80"/>
    <mergeCell ref="C78:C80"/>
    <mergeCell ref="D78:G78"/>
    <mergeCell ref="H78:H80"/>
    <mergeCell ref="I78:I80"/>
    <mergeCell ref="J78:J80"/>
    <mergeCell ref="D79:D80"/>
    <mergeCell ref="E79:G79"/>
    <mergeCell ref="A82:J82"/>
    <mergeCell ref="A91:I91"/>
    <mergeCell ref="A92:J92"/>
    <mergeCell ref="A70:I70"/>
    <mergeCell ref="A93:B93"/>
    <mergeCell ref="A94:I94"/>
    <mergeCell ref="A96:J96"/>
    <mergeCell ref="B101:D101"/>
    <mergeCell ref="E101:F101"/>
    <mergeCell ref="G101:H101"/>
    <mergeCell ref="I101:J101"/>
    <mergeCell ref="B97:D97"/>
    <mergeCell ref="E97:F97"/>
    <mergeCell ref="G97:H97"/>
    <mergeCell ref="I97:J97"/>
    <mergeCell ref="G98:H98"/>
    <mergeCell ref="B98:D98"/>
    <mergeCell ref="E98:F98"/>
    <mergeCell ref="I98:J98"/>
    <mergeCell ref="B99:D99"/>
    <mergeCell ref="E99:F99"/>
    <mergeCell ref="I99:J99"/>
    <mergeCell ref="A102:J102"/>
    <mergeCell ref="K103:K107"/>
    <mergeCell ref="B104:D104"/>
    <mergeCell ref="E104:F104"/>
    <mergeCell ref="I104:J104"/>
    <mergeCell ref="A105:J105"/>
    <mergeCell ref="B106:D106"/>
    <mergeCell ref="E106:F106"/>
    <mergeCell ref="I106:J106"/>
    <mergeCell ref="A107:J107"/>
    <mergeCell ref="B103:D103"/>
    <mergeCell ref="E103:F103"/>
    <mergeCell ref="I103:J103"/>
    <mergeCell ref="B100:D100"/>
    <mergeCell ref="E100:F100"/>
    <mergeCell ref="G100:H100"/>
    <mergeCell ref="I100:J100"/>
    <mergeCell ref="K108:K109"/>
    <mergeCell ref="B109:D109"/>
    <mergeCell ref="E109:F109"/>
    <mergeCell ref="I109:J109"/>
    <mergeCell ref="A110:J110"/>
    <mergeCell ref="B111:D111"/>
    <mergeCell ref="E111:F111"/>
    <mergeCell ref="I111:J111"/>
    <mergeCell ref="A112:J112"/>
    <mergeCell ref="B117:D117"/>
    <mergeCell ref="E117:F117"/>
    <mergeCell ref="I117:J117"/>
    <mergeCell ref="A118:J118"/>
    <mergeCell ref="B122:D122"/>
    <mergeCell ref="E122:F122"/>
    <mergeCell ref="I122:J122"/>
    <mergeCell ref="A123:J123"/>
    <mergeCell ref="E108:F108"/>
    <mergeCell ref="I108:J108"/>
    <mergeCell ref="I119:J119"/>
    <mergeCell ref="I120:J120"/>
    <mergeCell ref="B119:D119"/>
    <mergeCell ref="E119:F119"/>
    <mergeCell ref="B120:D120"/>
    <mergeCell ref="E120:F120"/>
    <mergeCell ref="B114:D114"/>
    <mergeCell ref="E114:F114"/>
    <mergeCell ref="B115:D115"/>
    <mergeCell ref="E115:F115"/>
    <mergeCell ref="B116:D116"/>
    <mergeCell ref="E116:F116"/>
    <mergeCell ref="B108:D108"/>
    <mergeCell ref="L129:M129"/>
    <mergeCell ref="G155:H155"/>
    <mergeCell ref="B158:F158"/>
    <mergeCell ref="G158:H158"/>
    <mergeCell ref="I158:J158"/>
    <mergeCell ref="A160:J160"/>
    <mergeCell ref="B168:D168"/>
    <mergeCell ref="E168:F168"/>
    <mergeCell ref="G168:H168"/>
    <mergeCell ref="I168:J168"/>
    <mergeCell ref="A169:J169"/>
    <mergeCell ref="D171:J171"/>
    <mergeCell ref="E174:F174"/>
    <mergeCell ref="G174:H174"/>
    <mergeCell ref="I174:J174"/>
    <mergeCell ref="B177:D177"/>
    <mergeCell ref="E177:F177"/>
    <mergeCell ref="G177:H177"/>
    <mergeCell ref="I177:J177"/>
    <mergeCell ref="E165:F165"/>
    <mergeCell ref="G165:H165"/>
    <mergeCell ref="I165:J165"/>
    <mergeCell ref="B174:D174"/>
    <mergeCell ref="B175:D175"/>
    <mergeCell ref="I166:J166"/>
    <mergeCell ref="B167:D167"/>
    <mergeCell ref="G147:H147"/>
    <mergeCell ref="I147:J147"/>
    <mergeCell ref="B150:F150"/>
    <mergeCell ref="G150:H150"/>
    <mergeCell ref="I150:J150"/>
    <mergeCell ref="B151:F151"/>
    <mergeCell ref="K181:K182"/>
    <mergeCell ref="B182:D182"/>
    <mergeCell ref="A183:A184"/>
    <mergeCell ref="B183:C184"/>
    <mergeCell ref="B188:D188"/>
    <mergeCell ref="E188:F188"/>
    <mergeCell ref="G188:H188"/>
    <mergeCell ref="I188:J188"/>
    <mergeCell ref="A190:J190"/>
    <mergeCell ref="B196:D196"/>
    <mergeCell ref="E196:F196"/>
    <mergeCell ref="G196:H196"/>
    <mergeCell ref="I196:J196"/>
    <mergeCell ref="A197:J197"/>
    <mergeCell ref="A200:J200"/>
    <mergeCell ref="K200:K201"/>
    <mergeCell ref="B193:D193"/>
    <mergeCell ref="G193:H193"/>
    <mergeCell ref="I193:J193"/>
    <mergeCell ref="B194:D194"/>
    <mergeCell ref="G194:H194"/>
    <mergeCell ref="I194:J194"/>
    <mergeCell ref="E193:F193"/>
    <mergeCell ref="E194:F194"/>
    <mergeCell ref="G186:H186"/>
    <mergeCell ref="I186:J186"/>
    <mergeCell ref="B187:D187"/>
    <mergeCell ref="E187:F187"/>
    <mergeCell ref="G187:H187"/>
    <mergeCell ref="I187:J187"/>
    <mergeCell ref="A189:J189"/>
    <mergeCell ref="G184:H184"/>
    <mergeCell ref="K202:K203"/>
    <mergeCell ref="B205:D205"/>
    <mergeCell ref="E205:F205"/>
    <mergeCell ref="G205:H205"/>
    <mergeCell ref="I205:J205"/>
    <mergeCell ref="A206:J206"/>
    <mergeCell ref="A209:J209"/>
    <mergeCell ref="B219:D219"/>
    <mergeCell ref="G219:H219"/>
    <mergeCell ref="I219:J219"/>
    <mergeCell ref="A221:J221"/>
    <mergeCell ref="K221:K222"/>
    <mergeCell ref="K223:K225"/>
    <mergeCell ref="B225:D225"/>
    <mergeCell ref="E225:F225"/>
    <mergeCell ref="G225:H225"/>
    <mergeCell ref="I225:J225"/>
    <mergeCell ref="I210:J210"/>
    <mergeCell ref="B211:D211"/>
    <mergeCell ref="I211:J211"/>
    <mergeCell ref="G212:H212"/>
    <mergeCell ref="G213:H213"/>
    <mergeCell ref="G210:H210"/>
    <mergeCell ref="G211:H211"/>
    <mergeCell ref="B222:D222"/>
    <mergeCell ref="I222:J222"/>
    <mergeCell ref="B223:D223"/>
    <mergeCell ref="I223:J223"/>
    <mergeCell ref="E222:F222"/>
    <mergeCell ref="I216:J216"/>
    <mergeCell ref="B217:D217"/>
    <mergeCell ref="B224:D224"/>
    <mergeCell ref="K227:K228"/>
    <mergeCell ref="K229:K232"/>
    <mergeCell ref="A230:A232"/>
    <mergeCell ref="K233:K236"/>
    <mergeCell ref="A234:A236"/>
    <mergeCell ref="K237:K240"/>
    <mergeCell ref="A238:A240"/>
    <mergeCell ref="K241:K244"/>
    <mergeCell ref="A242:A244"/>
    <mergeCell ref="K246:K249"/>
    <mergeCell ref="B250:D250"/>
    <mergeCell ref="F250:G250"/>
    <mergeCell ref="I250:J250"/>
    <mergeCell ref="A251:J251"/>
    <mergeCell ref="K252:K253"/>
    <mergeCell ref="K254:K257"/>
    <mergeCell ref="A255:A256"/>
    <mergeCell ref="B256:D256"/>
    <mergeCell ref="F256:G256"/>
    <mergeCell ref="I256:J256"/>
    <mergeCell ref="F257:G257"/>
    <mergeCell ref="F227:G227"/>
    <mergeCell ref="I227:J227"/>
    <mergeCell ref="B240:D240"/>
    <mergeCell ref="I237:J237"/>
    <mergeCell ref="F238:G238"/>
    <mergeCell ref="I238:J238"/>
    <mergeCell ref="F239:G239"/>
    <mergeCell ref="I239:J239"/>
    <mergeCell ref="F240:G240"/>
    <mergeCell ref="I240:J240"/>
    <mergeCell ref="B227:D227"/>
    <mergeCell ref="A270:J270"/>
    <mergeCell ref="A271:A272"/>
    <mergeCell ref="B271:D272"/>
    <mergeCell ref="E271:E272"/>
    <mergeCell ref="F271:F272"/>
    <mergeCell ref="G271:J271"/>
    <mergeCell ref="K271:K273"/>
    <mergeCell ref="G273:J273"/>
    <mergeCell ref="B275:D275"/>
    <mergeCell ref="A276:A277"/>
    <mergeCell ref="B276:D277"/>
    <mergeCell ref="E276:E277"/>
    <mergeCell ref="F276:F277"/>
    <mergeCell ref="G276:G277"/>
    <mergeCell ref="H276:H277"/>
    <mergeCell ref="I276:I277"/>
    <mergeCell ref="J276:J277"/>
    <mergeCell ref="K276:K277"/>
    <mergeCell ref="A281:A282"/>
    <mergeCell ref="B281:D282"/>
    <mergeCell ref="E281:E282"/>
    <mergeCell ref="F281:F282"/>
    <mergeCell ref="G281:G282"/>
    <mergeCell ref="H281:H282"/>
    <mergeCell ref="I281:I282"/>
    <mergeCell ref="J281:J282"/>
    <mergeCell ref="K281:K282"/>
    <mergeCell ref="B299:D299"/>
    <mergeCell ref="B302:D302"/>
    <mergeCell ref="B303:D303"/>
    <mergeCell ref="B304:D304"/>
    <mergeCell ref="G304:J304"/>
    <mergeCell ref="A305:J305"/>
    <mergeCell ref="A306:A307"/>
    <mergeCell ref="B306:D307"/>
    <mergeCell ref="E306:F307"/>
    <mergeCell ref="G306:J306"/>
    <mergeCell ref="K306:K309"/>
    <mergeCell ref="G308:J308"/>
    <mergeCell ref="E308:F308"/>
    <mergeCell ref="E309:F309"/>
    <mergeCell ref="K395:K396"/>
    <mergeCell ref="B396:D396"/>
    <mergeCell ref="E396:F396"/>
    <mergeCell ref="G396:H396"/>
    <mergeCell ref="I396:J396"/>
    <mergeCell ref="G366:H366"/>
    <mergeCell ref="I366:J366"/>
    <mergeCell ref="B368:D368"/>
    <mergeCell ref="G368:H368"/>
    <mergeCell ref="I368:J368"/>
    <mergeCell ref="B375:D375"/>
    <mergeCell ref="I381:J381"/>
    <mergeCell ref="B383:D383"/>
    <mergeCell ref="B382:D382"/>
    <mergeCell ref="G383:H383"/>
    <mergeCell ref="I383:J383"/>
    <mergeCell ref="I390:J390"/>
    <mergeCell ref="B388:D388"/>
    <mergeCell ref="B369:D369"/>
    <mergeCell ref="G369:H369"/>
    <mergeCell ref="B371:D371"/>
    <mergeCell ref="G371:H371"/>
    <mergeCell ref="I371:J371"/>
    <mergeCell ref="I372:J372"/>
    <mergeCell ref="G388:H388"/>
    <mergeCell ref="I382:J382"/>
    <mergeCell ref="G379:H379"/>
    <mergeCell ref="E371:F371"/>
    <mergeCell ref="B385:D385"/>
    <mergeCell ref="G385:H385"/>
    <mergeCell ref="B390:D390"/>
    <mergeCell ref="G390:H390"/>
    <mergeCell ref="K397:K400"/>
    <mergeCell ref="E400:F400"/>
    <mergeCell ref="A401:J401"/>
    <mergeCell ref="B403:D403"/>
    <mergeCell ref="E403:F403"/>
    <mergeCell ref="G403:H403"/>
    <mergeCell ref="I403:J403"/>
    <mergeCell ref="E407:F407"/>
    <mergeCell ref="A408:J408"/>
    <mergeCell ref="K409:K410"/>
    <mergeCell ref="B410:D410"/>
    <mergeCell ref="E410:F410"/>
    <mergeCell ref="G410:H410"/>
    <mergeCell ref="I410:J410"/>
    <mergeCell ref="K411:K414"/>
    <mergeCell ref="E414:F414"/>
    <mergeCell ref="A415:J415"/>
    <mergeCell ref="G413:H413"/>
    <mergeCell ref="I413:J413"/>
    <mergeCell ref="G404:H404"/>
    <mergeCell ref="I404:J404"/>
    <mergeCell ref="B405:D405"/>
    <mergeCell ref="G405:H405"/>
    <mergeCell ref="B441:J441"/>
    <mergeCell ref="B445:J445"/>
    <mergeCell ref="A447:J447"/>
    <mergeCell ref="B448:D448"/>
    <mergeCell ref="E448:F448"/>
    <mergeCell ref="G448:H448"/>
    <mergeCell ref="I448:J448"/>
    <mergeCell ref="I453:J453"/>
    <mergeCell ref="K416:K417"/>
    <mergeCell ref="B417:D417"/>
    <mergeCell ref="E417:F417"/>
    <mergeCell ref="G417:H417"/>
    <mergeCell ref="I417:J417"/>
    <mergeCell ref="K418:K420"/>
    <mergeCell ref="E421:F421"/>
    <mergeCell ref="A422:J422"/>
    <mergeCell ref="K423:K424"/>
    <mergeCell ref="B424:D424"/>
    <mergeCell ref="E424:F424"/>
    <mergeCell ref="G424:H424"/>
    <mergeCell ref="I424:J424"/>
    <mergeCell ref="K425:K427"/>
    <mergeCell ref="A428:J428"/>
    <mergeCell ref="E429:F429"/>
    <mergeCell ref="K429:K430"/>
    <mergeCell ref="B430:D430"/>
    <mergeCell ref="E430:F430"/>
    <mergeCell ref="G430:H430"/>
    <mergeCell ref="I430:J430"/>
    <mergeCell ref="G442:H442"/>
    <mergeCell ref="I440:J440"/>
    <mergeCell ref="B443:D443"/>
  </mergeCells>
  <pageMargins left="0.70866141732283472" right="0.70866141732283472" top="0.74803149606299213" bottom="0.74803149606299213" header="0.31496062992125984" footer="0.31496062992125984"/>
  <pageSetup paperSize="9" scale="10"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0"/>
  <sheetViews>
    <sheetView topLeftCell="A419" workbookViewId="0">
      <selection activeCell="A425" sqref="A1:J425"/>
    </sheetView>
  </sheetViews>
  <sheetFormatPr defaultColWidth="9.140625" defaultRowHeight="15" x14ac:dyDescent="0.25"/>
  <cols>
    <col min="1" max="1" width="5.140625" style="1" customWidth="1"/>
    <col min="2" max="2" width="25" style="1" customWidth="1"/>
    <col min="3" max="3" width="9.140625" style="1"/>
    <col min="4" max="4" width="17.140625" style="1" customWidth="1"/>
    <col min="5" max="5" width="16.42578125" style="1" customWidth="1"/>
    <col min="6" max="6" width="10.7109375" style="1" customWidth="1"/>
    <col min="7" max="7" width="12.28515625" style="1" customWidth="1"/>
    <col min="8" max="8" width="10.7109375" style="1" customWidth="1"/>
    <col min="9" max="9" width="11.5703125" style="1" customWidth="1"/>
    <col min="10" max="10" width="24.85546875" style="1" customWidth="1"/>
    <col min="11" max="11" width="16.42578125" style="1" customWidth="1"/>
    <col min="12" max="12" width="18.140625" style="1" customWidth="1"/>
    <col min="13" max="13" width="9.7109375" style="1" customWidth="1"/>
    <col min="14" max="14" width="14" style="1" customWidth="1"/>
    <col min="15" max="16384" width="9.140625" style="1"/>
  </cols>
  <sheetData>
    <row r="1" spans="1:11" ht="26.25" customHeight="1" x14ac:dyDescent="0.25">
      <c r="A1" s="1585" t="s">
        <v>68</v>
      </c>
      <c r="B1" s="1585"/>
      <c r="C1" s="1585"/>
      <c r="D1" s="1585"/>
      <c r="E1" s="1585"/>
      <c r="F1" s="1585"/>
      <c r="G1" s="1585"/>
      <c r="H1" s="1585"/>
      <c r="I1" s="1585"/>
      <c r="J1" s="1585"/>
    </row>
    <row r="2" spans="1:11" ht="17.25" customHeight="1" x14ac:dyDescent="0.25">
      <c r="A2" s="1585" t="s">
        <v>419</v>
      </c>
      <c r="B2" s="1585"/>
      <c r="C2" s="1585"/>
      <c r="D2" s="1585"/>
      <c r="E2" s="1585"/>
      <c r="F2" s="1585"/>
      <c r="G2" s="1585"/>
      <c r="H2" s="1585"/>
      <c r="I2" s="1585"/>
      <c r="J2" s="1585"/>
    </row>
    <row r="3" spans="1:11" ht="62.25" customHeight="1" x14ac:dyDescent="0.25">
      <c r="A3" s="1585" t="s">
        <v>742</v>
      </c>
      <c r="B3" s="1585"/>
      <c r="C3" s="1585"/>
      <c r="D3" s="1585"/>
      <c r="E3" s="1585"/>
      <c r="F3" s="1585"/>
      <c r="G3" s="1585"/>
      <c r="H3" s="1585"/>
      <c r="I3" s="1585"/>
      <c r="J3" s="1585"/>
    </row>
    <row r="4" spans="1:11" ht="15.75" x14ac:dyDescent="0.25">
      <c r="A4" s="80"/>
      <c r="B4" s="81"/>
      <c r="C4" s="81"/>
      <c r="D4" s="82" t="s">
        <v>263</v>
      </c>
      <c r="E4" s="457" t="s">
        <v>1180</v>
      </c>
      <c r="F4" s="83" t="s">
        <v>584</v>
      </c>
      <c r="G4" s="81"/>
      <c r="H4" s="81"/>
      <c r="I4" s="81"/>
      <c r="J4" s="81"/>
    </row>
    <row r="5" spans="1:11" ht="15.75" x14ac:dyDescent="0.25">
      <c r="A5" s="1446" t="s">
        <v>0</v>
      </c>
      <c r="B5" s="1446"/>
      <c r="C5" s="1446"/>
      <c r="D5" s="1446"/>
      <c r="E5" s="1446"/>
      <c r="F5" s="1446"/>
      <c r="G5" s="1446"/>
      <c r="H5" s="1446"/>
      <c r="I5" s="1446"/>
      <c r="J5" s="1446"/>
    </row>
    <row r="6" spans="1:11" ht="19.5" customHeight="1" x14ac:dyDescent="0.25">
      <c r="A6" s="80" t="s">
        <v>80</v>
      </c>
      <c r="B6" s="81"/>
      <c r="C6" s="307">
        <v>111</v>
      </c>
      <c r="D6" s="307">
        <v>112</v>
      </c>
      <c r="E6" s="307">
        <v>119</v>
      </c>
      <c r="F6" s="85"/>
      <c r="G6" s="85"/>
      <c r="H6" s="85"/>
      <c r="I6" s="85"/>
      <c r="J6" s="85"/>
    </row>
    <row r="7" spans="1:11" ht="22.5" customHeight="1" x14ac:dyDescent="0.25">
      <c r="A7" s="80" t="s">
        <v>81</v>
      </c>
      <c r="B7" s="81"/>
      <c r="C7" s="81"/>
      <c r="D7" s="81"/>
      <c r="E7" s="86" t="s">
        <v>82</v>
      </c>
      <c r="F7" s="87"/>
      <c r="G7" s="86"/>
      <c r="H7" s="87"/>
      <c r="I7" s="86" t="s">
        <v>744</v>
      </c>
      <c r="J7" s="87"/>
    </row>
    <row r="8" spans="1:11" ht="21" customHeight="1" x14ac:dyDescent="0.25">
      <c r="A8" s="1384" t="s">
        <v>350</v>
      </c>
      <c r="B8" s="1384"/>
      <c r="C8" s="1384"/>
      <c r="D8" s="1384"/>
      <c r="E8" s="1384"/>
      <c r="F8" s="1384"/>
      <c r="G8" s="1384"/>
      <c r="H8" s="1384"/>
      <c r="I8" s="1384"/>
      <c r="J8" s="1384"/>
    </row>
    <row r="9" spans="1:11" x14ac:dyDescent="0.25">
      <c r="A9" s="1574" t="s">
        <v>1</v>
      </c>
      <c r="B9" s="1579" t="s">
        <v>2</v>
      </c>
      <c r="C9" s="1579" t="s">
        <v>3</v>
      </c>
      <c r="D9" s="1574" t="s">
        <v>4</v>
      </c>
      <c r="E9" s="1574"/>
      <c r="F9" s="1574"/>
      <c r="G9" s="1574"/>
      <c r="H9" s="1574" t="s">
        <v>5</v>
      </c>
      <c r="I9" s="1579" t="s">
        <v>6</v>
      </c>
      <c r="J9" s="1579" t="s">
        <v>305</v>
      </c>
    </row>
    <row r="10" spans="1:11" ht="33" customHeight="1" x14ac:dyDescent="0.25">
      <c r="A10" s="1574"/>
      <c r="B10" s="1579"/>
      <c r="C10" s="1579"/>
      <c r="D10" s="1579" t="s">
        <v>8</v>
      </c>
      <c r="E10" s="1579" t="s">
        <v>9</v>
      </c>
      <c r="F10" s="1579"/>
      <c r="G10" s="1579"/>
      <c r="H10" s="1574"/>
      <c r="I10" s="1579"/>
      <c r="J10" s="1579"/>
    </row>
    <row r="11" spans="1:11" ht="75" x14ac:dyDescent="0.25">
      <c r="A11" s="1574"/>
      <c r="B11" s="1579"/>
      <c r="C11" s="1579"/>
      <c r="D11" s="1579"/>
      <c r="E11" s="628" t="s">
        <v>10</v>
      </c>
      <c r="F11" s="628" t="s">
        <v>11</v>
      </c>
      <c r="G11" s="628" t="s">
        <v>12</v>
      </c>
      <c r="H11" s="1574"/>
      <c r="I11" s="1579"/>
      <c r="J11" s="1579"/>
    </row>
    <row r="12" spans="1:11" ht="14.25" customHeight="1" x14ac:dyDescent="0.25">
      <c r="A12" s="665">
        <v>1</v>
      </c>
      <c r="B12" s="665">
        <v>2</v>
      </c>
      <c r="C12" s="665">
        <v>3</v>
      </c>
      <c r="D12" s="665">
        <v>4</v>
      </c>
      <c r="E12" s="665">
        <v>5</v>
      </c>
      <c r="F12" s="665">
        <v>6</v>
      </c>
      <c r="G12" s="665">
        <v>7</v>
      </c>
      <c r="H12" s="665">
        <v>8</v>
      </c>
      <c r="I12" s="665">
        <v>9</v>
      </c>
      <c r="J12" s="665">
        <v>10</v>
      </c>
    </row>
    <row r="13" spans="1:11" s="41" customFormat="1" x14ac:dyDescent="0.2">
      <c r="A13" s="1580" t="s">
        <v>351</v>
      </c>
      <c r="B13" s="1579"/>
      <c r="C13" s="1579"/>
      <c r="D13" s="1579"/>
      <c r="E13" s="1579"/>
      <c r="F13" s="1579"/>
      <c r="G13" s="1579"/>
      <c r="H13" s="1579"/>
      <c r="I13" s="1579"/>
      <c r="J13" s="1579"/>
    </row>
    <row r="14" spans="1:11" s="41" customFormat="1" hidden="1" x14ac:dyDescent="0.2">
      <c r="A14" s="1581" t="s">
        <v>420</v>
      </c>
      <c r="B14" s="1573"/>
      <c r="C14" s="1573"/>
      <c r="D14" s="1573"/>
      <c r="E14" s="1573"/>
      <c r="F14" s="1573"/>
      <c r="G14" s="1573"/>
      <c r="H14" s="1573"/>
      <c r="I14" s="1573"/>
      <c r="J14" s="1573"/>
    </row>
    <row r="15" spans="1:11" ht="20.25" hidden="1" customHeight="1" x14ac:dyDescent="0.25">
      <c r="A15" s="624">
        <v>1</v>
      </c>
      <c r="B15" s="102" t="s">
        <v>257</v>
      </c>
      <c r="C15" s="624">
        <v>1</v>
      </c>
      <c r="D15" s="103"/>
      <c r="E15" s="103">
        <v>75000</v>
      </c>
      <c r="F15" s="103">
        <v>0</v>
      </c>
      <c r="G15" s="103">
        <v>20000</v>
      </c>
      <c r="H15" s="104">
        <v>50</v>
      </c>
      <c r="I15" s="624">
        <v>1.7</v>
      </c>
      <c r="J15" s="105">
        <f>((C15*D15*(H15/100+I15))*12)</f>
        <v>0</v>
      </c>
      <c r="K15" s="128"/>
    </row>
    <row r="16" spans="1:11" ht="45" hidden="1" customHeight="1" x14ac:dyDescent="0.25">
      <c r="A16" s="624">
        <v>2</v>
      </c>
      <c r="B16" s="102" t="s">
        <v>421</v>
      </c>
      <c r="C16" s="624">
        <v>4</v>
      </c>
      <c r="D16" s="103"/>
      <c r="E16" s="103">
        <v>37800</v>
      </c>
      <c r="F16" s="103">
        <v>0</v>
      </c>
      <c r="G16" s="103">
        <v>6000</v>
      </c>
      <c r="H16" s="104">
        <v>50</v>
      </c>
      <c r="I16" s="624">
        <v>1.7</v>
      </c>
      <c r="J16" s="105">
        <f>((C16*D16*(H16/100+I16))*12)*1</f>
        <v>0</v>
      </c>
    </row>
    <row r="17" spans="1:12" ht="45" hidden="1" customHeight="1" x14ac:dyDescent="0.25">
      <c r="A17" s="624">
        <v>3</v>
      </c>
      <c r="B17" s="102" t="s">
        <v>422</v>
      </c>
      <c r="C17" s="624">
        <v>1</v>
      </c>
      <c r="D17" s="103"/>
      <c r="E17" s="103">
        <v>37800</v>
      </c>
      <c r="F17" s="103">
        <v>0</v>
      </c>
      <c r="G17" s="103">
        <v>6000</v>
      </c>
      <c r="H17" s="104">
        <v>50</v>
      </c>
      <c r="I17" s="624">
        <v>1.7</v>
      </c>
      <c r="J17" s="105">
        <f>((C17*D17*(H17/100+I17))*12)</f>
        <v>0</v>
      </c>
    </row>
    <row r="18" spans="1:12" ht="45" hidden="1" customHeight="1" x14ac:dyDescent="0.25">
      <c r="A18" s="624">
        <v>4</v>
      </c>
      <c r="B18" s="102" t="s">
        <v>423</v>
      </c>
      <c r="C18" s="624">
        <v>0.5</v>
      </c>
      <c r="D18" s="103"/>
      <c r="E18" s="103">
        <v>37800</v>
      </c>
      <c r="F18" s="103">
        <v>0</v>
      </c>
      <c r="G18" s="103">
        <v>6000</v>
      </c>
      <c r="H18" s="104">
        <v>50</v>
      </c>
      <c r="I18" s="624">
        <v>17</v>
      </c>
      <c r="J18" s="105">
        <v>0</v>
      </c>
      <c r="L18" s="1">
        <f>((C18*D18+(H18/100+I18)*12))</f>
        <v>210</v>
      </c>
    </row>
    <row r="19" spans="1:12" ht="49.5" hidden="1" customHeight="1" x14ac:dyDescent="0.25">
      <c r="A19" s="624">
        <v>5</v>
      </c>
      <c r="B19" s="102" t="s">
        <v>424</v>
      </c>
      <c r="C19" s="624">
        <v>1</v>
      </c>
      <c r="D19" s="103"/>
      <c r="E19" s="103">
        <v>37800</v>
      </c>
      <c r="F19" s="103">
        <v>0</v>
      </c>
      <c r="G19" s="103">
        <v>6000</v>
      </c>
      <c r="H19" s="104">
        <v>50</v>
      </c>
      <c r="I19" s="624">
        <v>1.7</v>
      </c>
      <c r="J19" s="105">
        <f>((C19*D19*(H19/100+I19))*12)</f>
        <v>0</v>
      </c>
    </row>
    <row r="20" spans="1:12" hidden="1" x14ac:dyDescent="0.25">
      <c r="A20" s="624">
        <v>6</v>
      </c>
      <c r="B20" s="102" t="s">
        <v>258</v>
      </c>
      <c r="C20" s="624">
        <v>1</v>
      </c>
      <c r="D20" s="103"/>
      <c r="E20" s="103">
        <v>37800</v>
      </c>
      <c r="F20" s="103">
        <v>0</v>
      </c>
      <c r="G20" s="103">
        <v>15000</v>
      </c>
      <c r="H20" s="104">
        <v>50</v>
      </c>
      <c r="I20" s="624">
        <v>1.7</v>
      </c>
      <c r="J20" s="105">
        <f t="shared" ref="J20" si="0">((C20*D20*(H20/100+I20))*12)</f>
        <v>0</v>
      </c>
    </row>
    <row r="21" spans="1:12" ht="28.5" hidden="1" x14ac:dyDescent="0.25">
      <c r="A21" s="106"/>
      <c r="B21" s="107" t="s">
        <v>425</v>
      </c>
      <c r="C21" s="108">
        <f>SUM(C15:C20)</f>
        <v>8.5</v>
      </c>
      <c r="D21" s="109">
        <f>SUM(D15:D20)</f>
        <v>0</v>
      </c>
      <c r="E21" s="108" t="s">
        <v>14</v>
      </c>
      <c r="F21" s="108" t="s">
        <v>14</v>
      </c>
      <c r="G21" s="108" t="s">
        <v>14</v>
      </c>
      <c r="H21" s="108" t="s">
        <v>14</v>
      </c>
      <c r="I21" s="108" t="s">
        <v>14</v>
      </c>
      <c r="J21" s="109">
        <f>SUM(J15:J20)</f>
        <v>0</v>
      </c>
      <c r="K21" s="129"/>
    </row>
    <row r="22" spans="1:12" hidden="1" x14ac:dyDescent="0.25">
      <c r="A22" s="1572" t="s">
        <v>426</v>
      </c>
      <c r="B22" s="1575"/>
      <c r="C22" s="1575"/>
      <c r="D22" s="1575"/>
      <c r="E22" s="1575"/>
      <c r="F22" s="1575"/>
      <c r="G22" s="1575"/>
      <c r="H22" s="1575"/>
      <c r="I22" s="1575"/>
      <c r="J22" s="1575"/>
    </row>
    <row r="23" spans="1:12" ht="18.75" hidden="1" customHeight="1" x14ac:dyDescent="0.25">
      <c r="A23" s="1576" t="s">
        <v>427</v>
      </c>
      <c r="B23" s="1577"/>
      <c r="C23" s="1577"/>
      <c r="D23" s="1577"/>
      <c r="E23" s="1577"/>
      <c r="F23" s="1577"/>
      <c r="G23" s="1577"/>
      <c r="H23" s="1577"/>
      <c r="I23" s="1577"/>
      <c r="J23" s="1578"/>
    </row>
    <row r="24" spans="1:12" hidden="1" x14ac:dyDescent="0.25">
      <c r="A24" s="624">
        <v>1</v>
      </c>
      <c r="B24" s="102" t="s">
        <v>428</v>
      </c>
      <c r="C24" s="624">
        <v>3.5</v>
      </c>
      <c r="D24" s="103"/>
      <c r="E24" s="127">
        <v>10200</v>
      </c>
      <c r="F24" s="103">
        <v>0</v>
      </c>
      <c r="G24" s="103">
        <f>E24*20%</f>
        <v>2040</v>
      </c>
      <c r="H24" s="104">
        <v>50</v>
      </c>
      <c r="I24" s="624">
        <v>1.7</v>
      </c>
      <c r="J24" s="132">
        <f>(C24*D24*(H24/100+I24))*13.8</f>
        <v>0</v>
      </c>
      <c r="K24" s="125"/>
    </row>
    <row r="25" spans="1:12" ht="75" hidden="1" x14ac:dyDescent="0.25">
      <c r="A25" s="624">
        <v>2</v>
      </c>
      <c r="B25" s="102" t="s">
        <v>429</v>
      </c>
      <c r="C25" s="624">
        <v>1</v>
      </c>
      <c r="D25" s="103"/>
      <c r="E25" s="127">
        <v>25000</v>
      </c>
      <c r="F25" s="103">
        <v>0</v>
      </c>
      <c r="G25" s="103">
        <v>5000</v>
      </c>
      <c r="H25" s="104">
        <v>50</v>
      </c>
      <c r="I25" s="624">
        <v>1.7</v>
      </c>
      <c r="J25" s="132">
        <f>(C25*D25*(H25/100+I25))*13</f>
        <v>0</v>
      </c>
    </row>
    <row r="26" spans="1:12" hidden="1" x14ac:dyDescent="0.25">
      <c r="A26" s="624">
        <v>3</v>
      </c>
      <c r="B26" s="102" t="s">
        <v>316</v>
      </c>
      <c r="C26" s="624">
        <v>1.5</v>
      </c>
      <c r="D26" s="103"/>
      <c r="E26" s="127">
        <v>31500</v>
      </c>
      <c r="F26" s="103">
        <v>0</v>
      </c>
      <c r="G26" s="103">
        <f t="shared" ref="G26:G48" si="1">E26*20%</f>
        <v>6300</v>
      </c>
      <c r="H26" s="104">
        <v>50</v>
      </c>
      <c r="I26" s="624">
        <v>1.7</v>
      </c>
      <c r="J26" s="132">
        <f>(C26*D26*(H26/100+I26))*11.4</f>
        <v>0</v>
      </c>
    </row>
    <row r="27" spans="1:12" hidden="1" x14ac:dyDescent="0.25">
      <c r="A27" s="624">
        <v>4</v>
      </c>
      <c r="B27" s="102" t="s">
        <v>430</v>
      </c>
      <c r="C27" s="624">
        <v>2</v>
      </c>
      <c r="D27" s="103"/>
      <c r="E27" s="127">
        <v>14500</v>
      </c>
      <c r="F27" s="103">
        <v>0</v>
      </c>
      <c r="G27" s="103">
        <f t="shared" si="1"/>
        <v>2900</v>
      </c>
      <c r="H27" s="104">
        <v>50</v>
      </c>
      <c r="I27" s="624">
        <v>1.7</v>
      </c>
      <c r="J27" s="132">
        <f>(C27*D27*(H27/100+I27))*14.6</f>
        <v>0</v>
      </c>
    </row>
    <row r="28" spans="1:12" hidden="1" x14ac:dyDescent="0.25">
      <c r="A28" s="624">
        <v>5</v>
      </c>
      <c r="B28" s="102" t="s">
        <v>317</v>
      </c>
      <c r="C28" s="624">
        <v>1</v>
      </c>
      <c r="D28" s="103"/>
      <c r="E28" s="127">
        <v>30000</v>
      </c>
      <c r="F28" s="103">
        <v>0</v>
      </c>
      <c r="G28" s="103">
        <f t="shared" si="1"/>
        <v>6000</v>
      </c>
      <c r="H28" s="104">
        <v>50</v>
      </c>
      <c r="I28" s="624">
        <v>1.7</v>
      </c>
      <c r="J28" s="132">
        <f t="shared" ref="J28" si="2">(C28*D28*(H28/100+I28))*14.6</f>
        <v>0</v>
      </c>
    </row>
    <row r="29" spans="1:12" hidden="1" x14ac:dyDescent="0.25">
      <c r="A29" s="624">
        <v>6</v>
      </c>
      <c r="B29" s="102" t="s">
        <v>315</v>
      </c>
      <c r="C29" s="624">
        <v>2</v>
      </c>
      <c r="D29" s="103"/>
      <c r="E29" s="127">
        <v>32500</v>
      </c>
      <c r="F29" s="103">
        <v>0</v>
      </c>
      <c r="G29" s="103">
        <f t="shared" si="1"/>
        <v>6500</v>
      </c>
      <c r="H29" s="104">
        <v>50</v>
      </c>
      <c r="I29" s="624">
        <v>1.7</v>
      </c>
      <c r="J29" s="132">
        <f>(C29*D29*(H29/100+I29))*13.2</f>
        <v>0</v>
      </c>
    </row>
    <row r="30" spans="1:12" hidden="1" x14ac:dyDescent="0.25">
      <c r="A30" s="624">
        <v>7</v>
      </c>
      <c r="B30" s="102" t="s">
        <v>314</v>
      </c>
      <c r="C30" s="624">
        <v>5</v>
      </c>
      <c r="D30" s="103"/>
      <c r="E30" s="127">
        <v>25000</v>
      </c>
      <c r="F30" s="103">
        <v>0</v>
      </c>
      <c r="G30" s="103">
        <f t="shared" si="1"/>
        <v>5000</v>
      </c>
      <c r="H30" s="104">
        <v>50</v>
      </c>
      <c r="I30" s="624">
        <v>1.7</v>
      </c>
      <c r="J30" s="132">
        <f>(C30*D30*(H30/100+I30))*13.2</f>
        <v>0</v>
      </c>
    </row>
    <row r="31" spans="1:12" ht="30" hidden="1" x14ac:dyDescent="0.25">
      <c r="A31" s="624">
        <v>6</v>
      </c>
      <c r="B31" s="102" t="s">
        <v>431</v>
      </c>
      <c r="C31" s="624">
        <v>7.83</v>
      </c>
      <c r="D31" s="103"/>
      <c r="E31" s="127">
        <v>12000</v>
      </c>
      <c r="F31" s="103">
        <v>0</v>
      </c>
      <c r="G31" s="103">
        <f t="shared" si="1"/>
        <v>2400</v>
      </c>
      <c r="H31" s="104">
        <v>50</v>
      </c>
      <c r="I31" s="624">
        <v>1.7</v>
      </c>
      <c r="J31" s="132">
        <f>(C31*D31*(H31/100+I31))*12.8</f>
        <v>0</v>
      </c>
      <c r="K31" s="77"/>
    </row>
    <row r="32" spans="1:12" hidden="1" x14ac:dyDescent="0.25">
      <c r="A32" s="624">
        <v>14</v>
      </c>
      <c r="B32" s="102" t="s">
        <v>317</v>
      </c>
      <c r="C32" s="624"/>
      <c r="D32" s="103"/>
      <c r="E32" s="127"/>
      <c r="F32" s="103"/>
      <c r="G32" s="103">
        <f t="shared" si="1"/>
        <v>0</v>
      </c>
      <c r="H32" s="104">
        <v>50</v>
      </c>
      <c r="I32" s="624">
        <v>1.7</v>
      </c>
      <c r="J32" s="132">
        <f t="shared" ref="J32" si="3">(C32*D32*(H32/100+I32))*12</f>
        <v>0</v>
      </c>
      <c r="K32" s="77"/>
    </row>
    <row r="33" spans="1:11" hidden="1" x14ac:dyDescent="0.25">
      <c r="A33" s="624">
        <v>7</v>
      </c>
      <c r="B33" s="102" t="s">
        <v>432</v>
      </c>
      <c r="C33" s="624">
        <v>79.83</v>
      </c>
      <c r="D33" s="103"/>
      <c r="E33" s="127">
        <v>10150</v>
      </c>
      <c r="F33" s="103">
        <v>0</v>
      </c>
      <c r="G33" s="103">
        <f t="shared" si="1"/>
        <v>2030</v>
      </c>
      <c r="H33" s="104">
        <v>50</v>
      </c>
      <c r="I33" s="624">
        <v>1.7</v>
      </c>
      <c r="J33" s="105">
        <f>((C33*D33*(H33/100+I33))*12)*1.2</f>
        <v>0</v>
      </c>
      <c r="K33" s="77"/>
    </row>
    <row r="34" spans="1:11" hidden="1" x14ac:dyDescent="0.25">
      <c r="A34" s="624">
        <v>8</v>
      </c>
      <c r="B34" s="102" t="s">
        <v>433</v>
      </c>
      <c r="C34" s="624"/>
      <c r="D34" s="103"/>
      <c r="E34" s="127"/>
      <c r="F34" s="103">
        <v>0</v>
      </c>
      <c r="G34" s="103">
        <f t="shared" si="1"/>
        <v>0</v>
      </c>
      <c r="H34" s="104">
        <v>50</v>
      </c>
      <c r="I34" s="624">
        <v>1.7</v>
      </c>
      <c r="J34" s="105">
        <f t="shared" ref="J34:J44" si="4">((C34*D34*(H34/100+I34))*12)*1.2</f>
        <v>0</v>
      </c>
      <c r="K34" s="77"/>
    </row>
    <row r="35" spans="1:11" s="206" customFormat="1" hidden="1" x14ac:dyDescent="0.25">
      <c r="A35" s="203"/>
      <c r="B35" s="204" t="s">
        <v>434</v>
      </c>
      <c r="C35" s="203">
        <f>SUM(C24:C34)</f>
        <v>103.66</v>
      </c>
      <c r="D35" s="203">
        <f t="shared" ref="D35:J35" si="5">SUM(D24:D34)</f>
        <v>0</v>
      </c>
      <c r="E35" s="203">
        <f t="shared" si="5"/>
        <v>190850</v>
      </c>
      <c r="F35" s="203">
        <f t="shared" si="5"/>
        <v>0</v>
      </c>
      <c r="G35" s="203">
        <f t="shared" si="5"/>
        <v>38170</v>
      </c>
      <c r="H35" s="203">
        <v>0</v>
      </c>
      <c r="I35" s="203">
        <v>0</v>
      </c>
      <c r="J35" s="203">
        <f t="shared" si="5"/>
        <v>0</v>
      </c>
      <c r="K35" s="205"/>
    </row>
    <row r="36" spans="1:11" hidden="1" x14ac:dyDescent="0.25">
      <c r="A36" s="1576" t="s">
        <v>435</v>
      </c>
      <c r="B36" s="1577"/>
      <c r="C36" s="1577"/>
      <c r="D36" s="1577"/>
      <c r="E36" s="1577"/>
      <c r="F36" s="1577"/>
      <c r="G36" s="1577"/>
      <c r="H36" s="1577"/>
      <c r="I36" s="1577"/>
      <c r="J36" s="1578"/>
      <c r="K36" s="77"/>
    </row>
    <row r="37" spans="1:11" hidden="1" x14ac:dyDescent="0.25">
      <c r="A37" s="624">
        <v>1</v>
      </c>
      <c r="B37" s="102" t="s">
        <v>441</v>
      </c>
      <c r="C37" s="624">
        <v>2</v>
      </c>
      <c r="D37" s="103"/>
      <c r="E37" s="127">
        <v>12600</v>
      </c>
      <c r="F37" s="103">
        <v>0</v>
      </c>
      <c r="G37" s="103">
        <f t="shared" ref="G37:G41" si="6">E37*20%</f>
        <v>2520</v>
      </c>
      <c r="H37" s="104">
        <v>50</v>
      </c>
      <c r="I37" s="624">
        <v>1.7</v>
      </c>
      <c r="J37" s="105">
        <f t="shared" ref="J37:J41" si="7">((C37*D37*(H37/100+I37))*12)*1.2</f>
        <v>0</v>
      </c>
      <c r="K37" s="77"/>
    </row>
    <row r="38" spans="1:11" hidden="1" x14ac:dyDescent="0.25">
      <c r="A38" s="624">
        <v>2</v>
      </c>
      <c r="B38" s="102" t="s">
        <v>440</v>
      </c>
      <c r="C38" s="624">
        <v>1.5</v>
      </c>
      <c r="D38" s="103"/>
      <c r="E38" s="127">
        <v>22000</v>
      </c>
      <c r="F38" s="103">
        <v>0</v>
      </c>
      <c r="G38" s="103">
        <f t="shared" si="6"/>
        <v>4400</v>
      </c>
      <c r="H38" s="104">
        <v>50</v>
      </c>
      <c r="I38" s="624">
        <v>1.7</v>
      </c>
      <c r="J38" s="105">
        <f t="shared" si="7"/>
        <v>0</v>
      </c>
      <c r="K38" s="77"/>
    </row>
    <row r="39" spans="1:11" hidden="1" x14ac:dyDescent="0.25">
      <c r="A39" s="624">
        <v>3</v>
      </c>
      <c r="B39" s="102" t="s">
        <v>439</v>
      </c>
      <c r="C39" s="624">
        <v>1.25</v>
      </c>
      <c r="D39" s="103"/>
      <c r="E39" s="127">
        <v>18000</v>
      </c>
      <c r="F39" s="103">
        <v>0</v>
      </c>
      <c r="G39" s="103">
        <f t="shared" si="6"/>
        <v>3600</v>
      </c>
      <c r="H39" s="104">
        <v>50</v>
      </c>
      <c r="I39" s="624">
        <v>1.7</v>
      </c>
      <c r="J39" s="105">
        <f t="shared" si="7"/>
        <v>0</v>
      </c>
      <c r="K39" s="77"/>
    </row>
    <row r="40" spans="1:11" hidden="1" x14ac:dyDescent="0.25">
      <c r="A40" s="624">
        <v>4</v>
      </c>
      <c r="B40" s="102" t="s">
        <v>319</v>
      </c>
      <c r="C40" s="624">
        <v>1.25</v>
      </c>
      <c r="D40" s="103"/>
      <c r="E40" s="127">
        <v>13000</v>
      </c>
      <c r="F40" s="103">
        <v>0</v>
      </c>
      <c r="G40" s="103">
        <f t="shared" si="6"/>
        <v>2600</v>
      </c>
      <c r="H40" s="104">
        <v>50</v>
      </c>
      <c r="I40" s="624">
        <v>1.7</v>
      </c>
      <c r="J40" s="105">
        <f t="shared" si="7"/>
        <v>0</v>
      </c>
      <c r="K40" s="77"/>
    </row>
    <row r="41" spans="1:11" hidden="1" x14ac:dyDescent="0.25">
      <c r="A41" s="624">
        <v>5</v>
      </c>
      <c r="B41" s="102" t="s">
        <v>320</v>
      </c>
      <c r="C41" s="624">
        <v>1</v>
      </c>
      <c r="D41" s="103"/>
      <c r="E41" s="127">
        <v>13000</v>
      </c>
      <c r="F41" s="103">
        <v>0</v>
      </c>
      <c r="G41" s="103">
        <f t="shared" si="6"/>
        <v>2600</v>
      </c>
      <c r="H41" s="104">
        <v>50</v>
      </c>
      <c r="I41" s="624">
        <v>1.7</v>
      </c>
      <c r="J41" s="105">
        <f t="shared" si="7"/>
        <v>0</v>
      </c>
      <c r="K41" s="77"/>
    </row>
    <row r="42" spans="1:11" hidden="1" x14ac:dyDescent="0.25">
      <c r="A42" s="624">
        <v>6</v>
      </c>
      <c r="B42" s="102" t="s">
        <v>438</v>
      </c>
      <c r="C42" s="624">
        <v>1</v>
      </c>
      <c r="D42" s="103"/>
      <c r="E42" s="127">
        <v>11000</v>
      </c>
      <c r="F42" s="103">
        <v>0</v>
      </c>
      <c r="G42" s="103">
        <f t="shared" si="1"/>
        <v>2200</v>
      </c>
      <c r="H42" s="104">
        <v>50</v>
      </c>
      <c r="I42" s="624">
        <v>1.7</v>
      </c>
      <c r="J42" s="105">
        <f t="shared" si="4"/>
        <v>0</v>
      </c>
      <c r="K42" s="77"/>
    </row>
    <row r="43" spans="1:11" ht="30" hidden="1" x14ac:dyDescent="0.25">
      <c r="A43" s="624">
        <v>7</v>
      </c>
      <c r="B43" s="102" t="s">
        <v>437</v>
      </c>
      <c r="C43" s="624">
        <v>1</v>
      </c>
      <c r="D43" s="103"/>
      <c r="E43" s="127">
        <v>12000</v>
      </c>
      <c r="F43" s="103">
        <v>0</v>
      </c>
      <c r="G43" s="103">
        <f t="shared" si="1"/>
        <v>2400</v>
      </c>
      <c r="H43" s="104">
        <v>50</v>
      </c>
      <c r="I43" s="624">
        <v>1.7</v>
      </c>
      <c r="J43" s="105">
        <f t="shared" si="4"/>
        <v>0</v>
      </c>
      <c r="K43" s="77"/>
    </row>
    <row r="44" spans="1:11" ht="30" hidden="1" x14ac:dyDescent="0.25">
      <c r="A44" s="624">
        <v>8</v>
      </c>
      <c r="B44" s="102" t="s">
        <v>436</v>
      </c>
      <c r="C44" s="624">
        <v>1</v>
      </c>
      <c r="D44" s="103"/>
      <c r="E44" s="127">
        <v>22000</v>
      </c>
      <c r="F44" s="103">
        <v>0</v>
      </c>
      <c r="G44" s="103">
        <f t="shared" si="1"/>
        <v>4400</v>
      </c>
      <c r="H44" s="104">
        <v>50</v>
      </c>
      <c r="I44" s="624">
        <v>1.7</v>
      </c>
      <c r="J44" s="105">
        <f t="shared" si="4"/>
        <v>0</v>
      </c>
      <c r="K44" s="77"/>
    </row>
    <row r="45" spans="1:11" ht="30" hidden="1" x14ac:dyDescent="0.25">
      <c r="A45" s="624">
        <v>9</v>
      </c>
      <c r="B45" s="102" t="s">
        <v>318</v>
      </c>
      <c r="C45" s="624">
        <v>1</v>
      </c>
      <c r="D45" s="103"/>
      <c r="E45" s="127">
        <v>14000</v>
      </c>
      <c r="F45" s="103">
        <v>0</v>
      </c>
      <c r="G45" s="103">
        <f t="shared" si="1"/>
        <v>2800</v>
      </c>
      <c r="H45" s="104">
        <v>50</v>
      </c>
      <c r="I45" s="624">
        <v>1.7</v>
      </c>
      <c r="J45" s="105">
        <f>((C45*D45*(H45/100+I45))*12)*1.2</f>
        <v>0</v>
      </c>
      <c r="K45" s="128"/>
    </row>
    <row r="46" spans="1:11" hidden="1" x14ac:dyDescent="0.25">
      <c r="A46" s="624">
        <v>10</v>
      </c>
      <c r="B46" s="102" t="s">
        <v>442</v>
      </c>
      <c r="C46" s="624">
        <v>1</v>
      </c>
      <c r="D46" s="103"/>
      <c r="E46" s="127">
        <v>13000</v>
      </c>
      <c r="F46" s="103">
        <v>0</v>
      </c>
      <c r="G46" s="103">
        <f t="shared" si="1"/>
        <v>2600</v>
      </c>
      <c r="H46" s="104">
        <v>50</v>
      </c>
      <c r="I46" s="624">
        <v>1.7</v>
      </c>
      <c r="J46" s="105">
        <f>((C46*D46*(H46/100+I46))*12)*1</f>
        <v>0</v>
      </c>
    </row>
    <row r="47" spans="1:11" hidden="1" x14ac:dyDescent="0.25">
      <c r="A47" s="624">
        <v>11</v>
      </c>
      <c r="B47" s="102" t="s">
        <v>443</v>
      </c>
      <c r="C47" s="624">
        <v>1</v>
      </c>
      <c r="D47" s="103"/>
      <c r="E47" s="127">
        <v>12000</v>
      </c>
      <c r="F47" s="103">
        <v>0</v>
      </c>
      <c r="G47" s="103">
        <f t="shared" si="1"/>
        <v>2400</v>
      </c>
      <c r="H47" s="104">
        <v>50</v>
      </c>
      <c r="I47" s="624">
        <v>1.7</v>
      </c>
      <c r="J47" s="105">
        <f>((C47*D47*(H47/100+I47))*12)*1.4</f>
        <v>0</v>
      </c>
    </row>
    <row r="48" spans="1:11" hidden="1" x14ac:dyDescent="0.25">
      <c r="A48" s="624">
        <v>12</v>
      </c>
      <c r="B48" s="102" t="s">
        <v>444</v>
      </c>
      <c r="C48" s="624">
        <v>2</v>
      </c>
      <c r="D48" s="103"/>
      <c r="E48" s="127">
        <v>14000</v>
      </c>
      <c r="F48" s="103">
        <v>0</v>
      </c>
      <c r="G48" s="103">
        <f t="shared" si="1"/>
        <v>2800</v>
      </c>
      <c r="H48" s="104">
        <v>50</v>
      </c>
      <c r="I48" s="624">
        <v>1.7</v>
      </c>
      <c r="J48" s="105">
        <f>((C48*D48*(H48/100+I48))*12)*1.3</f>
        <v>0</v>
      </c>
    </row>
    <row r="49" spans="1:11" s="206" customFormat="1" hidden="1" x14ac:dyDescent="0.25">
      <c r="A49" s="203"/>
      <c r="B49" s="204" t="s">
        <v>445</v>
      </c>
      <c r="C49" s="203">
        <f>SUM(C37:C48)</f>
        <v>15</v>
      </c>
      <c r="D49" s="203"/>
      <c r="E49" s="203">
        <f t="shared" ref="E49:J49" si="8">SUM(E37:E48)</f>
        <v>176600</v>
      </c>
      <c r="F49" s="203">
        <f t="shared" si="8"/>
        <v>0</v>
      </c>
      <c r="G49" s="203">
        <f t="shared" si="8"/>
        <v>35320</v>
      </c>
      <c r="H49" s="203">
        <v>0</v>
      </c>
      <c r="I49" s="203">
        <v>0</v>
      </c>
      <c r="J49" s="203">
        <f t="shared" si="8"/>
        <v>0</v>
      </c>
    </row>
    <row r="50" spans="1:11" ht="28.5" hidden="1" x14ac:dyDescent="0.25">
      <c r="A50" s="106"/>
      <c r="B50" s="107" t="s">
        <v>446</v>
      </c>
      <c r="C50" s="108">
        <f>C35+C49</f>
        <v>118.66</v>
      </c>
      <c r="D50" s="108">
        <f>D35+D49</f>
        <v>0</v>
      </c>
      <c r="E50" s="108" t="s">
        <v>14</v>
      </c>
      <c r="F50" s="108" t="s">
        <v>14</v>
      </c>
      <c r="G50" s="108" t="s">
        <v>14</v>
      </c>
      <c r="H50" s="108" t="s">
        <v>14</v>
      </c>
      <c r="I50" s="108" t="s">
        <v>14</v>
      </c>
      <c r="J50" s="108">
        <f>J35+J49</f>
        <v>0</v>
      </c>
    </row>
    <row r="51" spans="1:11" hidden="1" x14ac:dyDescent="0.25">
      <c r="A51" s="1572" t="s">
        <v>450</v>
      </c>
      <c r="B51" s="1575"/>
      <c r="C51" s="1575"/>
      <c r="D51" s="1575"/>
      <c r="E51" s="1575"/>
      <c r="F51" s="1575"/>
      <c r="G51" s="1575"/>
      <c r="H51" s="1575"/>
      <c r="I51" s="1575"/>
      <c r="J51" s="1575"/>
    </row>
    <row r="52" spans="1:11" hidden="1" x14ac:dyDescent="0.25">
      <c r="A52" s="624">
        <v>1</v>
      </c>
      <c r="B52" s="102" t="s">
        <v>321</v>
      </c>
      <c r="C52" s="624">
        <v>1</v>
      </c>
      <c r="D52" s="103"/>
      <c r="E52" s="127">
        <v>10000</v>
      </c>
      <c r="F52" s="103">
        <v>0</v>
      </c>
      <c r="G52" s="103">
        <f>E52*20%</f>
        <v>2000</v>
      </c>
      <c r="H52" s="104">
        <v>50</v>
      </c>
      <c r="I52" s="624">
        <v>1.7</v>
      </c>
      <c r="J52" s="105">
        <f>((C52*D52*(H52/100+I52))*12)*1.37</f>
        <v>0</v>
      </c>
      <c r="K52" s="128"/>
    </row>
    <row r="53" spans="1:11" hidden="1" x14ac:dyDescent="0.25">
      <c r="A53" s="624">
        <v>2</v>
      </c>
      <c r="B53" s="102" t="s">
        <v>448</v>
      </c>
      <c r="C53" s="624">
        <v>1</v>
      </c>
      <c r="D53" s="103"/>
      <c r="E53" s="127">
        <v>9500</v>
      </c>
      <c r="F53" s="103">
        <v>0</v>
      </c>
      <c r="G53" s="103"/>
      <c r="H53" s="104">
        <v>50</v>
      </c>
      <c r="I53" s="624">
        <v>1.7</v>
      </c>
      <c r="J53" s="105">
        <f>((C53*D53*(H53/100+I53))*12)*1.37</f>
        <v>0</v>
      </c>
      <c r="K53" s="128"/>
    </row>
    <row r="54" spans="1:11" ht="30" hidden="1" x14ac:dyDescent="0.25">
      <c r="A54" s="624">
        <v>3</v>
      </c>
      <c r="B54" s="102" t="s">
        <v>449</v>
      </c>
      <c r="C54" s="624">
        <v>0.17</v>
      </c>
      <c r="D54" s="103"/>
      <c r="E54" s="127">
        <v>8500</v>
      </c>
      <c r="F54" s="103">
        <v>0</v>
      </c>
      <c r="G54" s="103">
        <f>E54*20%</f>
        <v>1700</v>
      </c>
      <c r="H54" s="104">
        <v>50</v>
      </c>
      <c r="I54" s="624">
        <v>1.7</v>
      </c>
      <c r="J54" s="105">
        <f>((C54*D54*(H54/100+I54))*12)*1.22</f>
        <v>0</v>
      </c>
    </row>
    <row r="55" spans="1:11" ht="28.5" hidden="1" x14ac:dyDescent="0.25">
      <c r="A55" s="106"/>
      <c r="B55" s="107" t="s">
        <v>447</v>
      </c>
      <c r="C55" s="108">
        <f>SUM(C52:C54)</f>
        <v>2.17</v>
      </c>
      <c r="D55" s="110">
        <f>SUM(D52:D54)</f>
        <v>0</v>
      </c>
      <c r="E55" s="108" t="s">
        <v>14</v>
      </c>
      <c r="F55" s="108" t="s">
        <v>14</v>
      </c>
      <c r="G55" s="108" t="s">
        <v>14</v>
      </c>
      <c r="H55" s="108" t="s">
        <v>14</v>
      </c>
      <c r="I55" s="108" t="s">
        <v>14</v>
      </c>
      <c r="J55" s="111">
        <f>SUM(J52:J54)</f>
        <v>0</v>
      </c>
    </row>
    <row r="56" spans="1:11" hidden="1" x14ac:dyDescent="0.25">
      <c r="A56" s="1572" t="s">
        <v>451</v>
      </c>
      <c r="B56" s="1573"/>
      <c r="C56" s="1573"/>
      <c r="D56" s="1573"/>
      <c r="E56" s="1573"/>
      <c r="F56" s="1573"/>
      <c r="G56" s="1573"/>
      <c r="H56" s="1573"/>
      <c r="I56" s="1573"/>
      <c r="J56" s="1573"/>
    </row>
    <row r="57" spans="1:11" ht="30" hidden="1" x14ac:dyDescent="0.25">
      <c r="A57" s="624">
        <v>1</v>
      </c>
      <c r="B57" s="102" t="s">
        <v>309</v>
      </c>
      <c r="C57" s="624">
        <v>14</v>
      </c>
      <c r="D57" s="103"/>
      <c r="E57" s="127">
        <v>12500</v>
      </c>
      <c r="F57" s="103">
        <f>E57*2%</f>
        <v>250</v>
      </c>
      <c r="G57" s="103">
        <f>E57*18%</f>
        <v>2250</v>
      </c>
      <c r="H57" s="104">
        <v>50</v>
      </c>
      <c r="I57" s="624">
        <v>1.7</v>
      </c>
      <c r="J57" s="105">
        <f>((C57*D57*(H57/100+I57))*12)*1.2</f>
        <v>0</v>
      </c>
      <c r="K57" s="128"/>
    </row>
    <row r="58" spans="1:11" hidden="1" x14ac:dyDescent="0.25">
      <c r="A58" s="624">
        <v>2</v>
      </c>
      <c r="B58" s="102" t="s">
        <v>452</v>
      </c>
      <c r="C58" s="624">
        <v>1</v>
      </c>
      <c r="D58" s="103"/>
      <c r="E58" s="127">
        <v>12000</v>
      </c>
      <c r="F58" s="103">
        <v>0</v>
      </c>
      <c r="G58" s="103">
        <f>E58*20%</f>
        <v>2400</v>
      </c>
      <c r="H58" s="104">
        <v>50</v>
      </c>
      <c r="I58" s="624">
        <v>1.7</v>
      </c>
      <c r="J58" s="105">
        <f>((C58*D58*(H58/100+I58))*12)*1.2</f>
        <v>0</v>
      </c>
      <c r="K58" s="128"/>
    </row>
    <row r="59" spans="1:11" ht="45" hidden="1" x14ac:dyDescent="0.25">
      <c r="A59" s="624">
        <v>3</v>
      </c>
      <c r="B59" s="102" t="s">
        <v>307</v>
      </c>
      <c r="C59" s="624">
        <v>1.5</v>
      </c>
      <c r="D59" s="103"/>
      <c r="E59" s="127">
        <v>11000</v>
      </c>
      <c r="F59" s="103">
        <v>0</v>
      </c>
      <c r="G59" s="103">
        <f>E59*20%</f>
        <v>2200</v>
      </c>
      <c r="H59" s="104">
        <v>50</v>
      </c>
      <c r="I59" s="624">
        <v>1.7</v>
      </c>
      <c r="J59" s="105">
        <f>((C59*D59*(H59/100+I59))*12)*1.13</f>
        <v>0</v>
      </c>
    </row>
    <row r="60" spans="1:11" hidden="1" x14ac:dyDescent="0.25">
      <c r="A60" s="624">
        <v>4</v>
      </c>
      <c r="B60" s="102" t="s">
        <v>310</v>
      </c>
      <c r="C60" s="624">
        <v>3</v>
      </c>
      <c r="D60" s="103"/>
      <c r="E60" s="127">
        <v>12000</v>
      </c>
      <c r="F60" s="103">
        <v>0</v>
      </c>
      <c r="G60" s="103">
        <f t="shared" ref="G60:G63" si="9">E60*20%</f>
        <v>2400</v>
      </c>
      <c r="H60" s="104">
        <v>50</v>
      </c>
      <c r="I60" s="624">
        <v>1.7</v>
      </c>
      <c r="J60" s="105">
        <f t="shared" ref="J60:J63" si="10">((C60*D60*(H60/100+I60))*12)*1.13</f>
        <v>0</v>
      </c>
    </row>
    <row r="61" spans="1:11" hidden="1" x14ac:dyDescent="0.25">
      <c r="A61" s="624">
        <v>5</v>
      </c>
      <c r="B61" s="102" t="s">
        <v>453</v>
      </c>
      <c r="C61" s="624">
        <v>2</v>
      </c>
      <c r="D61" s="103"/>
      <c r="E61" s="127">
        <v>8000</v>
      </c>
      <c r="F61" s="103">
        <v>0</v>
      </c>
      <c r="G61" s="103">
        <f t="shared" si="9"/>
        <v>1600</v>
      </c>
      <c r="H61" s="104">
        <v>50</v>
      </c>
      <c r="I61" s="624">
        <v>1.7</v>
      </c>
      <c r="J61" s="105">
        <f t="shared" si="10"/>
        <v>0</v>
      </c>
    </row>
    <row r="62" spans="1:11" hidden="1" x14ac:dyDescent="0.25">
      <c r="A62" s="624">
        <v>6</v>
      </c>
      <c r="B62" s="102" t="s">
        <v>308</v>
      </c>
      <c r="C62" s="624">
        <v>1</v>
      </c>
      <c r="D62" s="103"/>
      <c r="E62" s="127">
        <v>10000</v>
      </c>
      <c r="F62" s="103">
        <v>0</v>
      </c>
      <c r="G62" s="103">
        <f t="shared" si="9"/>
        <v>2000</v>
      </c>
      <c r="H62" s="104">
        <v>50</v>
      </c>
      <c r="I62" s="624">
        <v>1.7</v>
      </c>
      <c r="J62" s="105">
        <f t="shared" si="10"/>
        <v>0</v>
      </c>
    </row>
    <row r="63" spans="1:11" hidden="1" x14ac:dyDescent="0.25">
      <c r="A63" s="624">
        <v>7</v>
      </c>
      <c r="B63" s="102" t="s">
        <v>311</v>
      </c>
      <c r="C63" s="624">
        <v>2</v>
      </c>
      <c r="D63" s="103"/>
      <c r="E63" s="127">
        <v>10000</v>
      </c>
      <c r="F63" s="103">
        <v>0</v>
      </c>
      <c r="G63" s="103">
        <f t="shared" si="9"/>
        <v>2000</v>
      </c>
      <c r="H63" s="104">
        <v>50</v>
      </c>
      <c r="I63" s="624">
        <v>1.7</v>
      </c>
      <c r="J63" s="105">
        <f t="shared" si="10"/>
        <v>0</v>
      </c>
    </row>
    <row r="64" spans="1:11" ht="28.5" hidden="1" x14ac:dyDescent="0.25">
      <c r="A64" s="106"/>
      <c r="B64" s="107" t="s">
        <v>454</v>
      </c>
      <c r="C64" s="108">
        <f>SUM(C57:C63)</f>
        <v>24.5</v>
      </c>
      <c r="D64" s="110">
        <f>SUM(D57:D63)</f>
        <v>0</v>
      </c>
      <c r="E64" s="108" t="s">
        <v>14</v>
      </c>
      <c r="F64" s="108" t="s">
        <v>14</v>
      </c>
      <c r="G64" s="108" t="s">
        <v>14</v>
      </c>
      <c r="H64" s="108" t="s">
        <v>14</v>
      </c>
      <c r="I64" s="108" t="s">
        <v>14</v>
      </c>
      <c r="J64" s="111">
        <f>SUM(J57:J63)</f>
        <v>0</v>
      </c>
      <c r="K64" s="129"/>
    </row>
    <row r="65" spans="1:12" s="41" customFormat="1" hidden="1" x14ac:dyDescent="0.2">
      <c r="A65" s="1582" t="s">
        <v>313</v>
      </c>
      <c r="B65" s="1583"/>
      <c r="C65" s="1583"/>
      <c r="D65" s="1583"/>
      <c r="E65" s="1583"/>
      <c r="F65" s="1583"/>
      <c r="G65" s="1583"/>
      <c r="H65" s="1583"/>
      <c r="I65" s="1583"/>
      <c r="J65" s="120"/>
    </row>
    <row r="66" spans="1:12" hidden="1" x14ac:dyDescent="0.25">
      <c r="A66" s="1584" t="s">
        <v>324</v>
      </c>
      <c r="B66" s="1584"/>
      <c r="C66" s="78">
        <f>C21+C50+C55+C64</f>
        <v>153.82999999999998</v>
      </c>
      <c r="D66" s="79">
        <f>D21+D50+D55+D64</f>
        <v>0</v>
      </c>
      <c r="E66" s="78" t="s">
        <v>14</v>
      </c>
      <c r="F66" s="78" t="s">
        <v>14</v>
      </c>
      <c r="G66" s="78" t="s">
        <v>14</v>
      </c>
      <c r="H66" s="78" t="s">
        <v>14</v>
      </c>
      <c r="I66" s="78" t="s">
        <v>14</v>
      </c>
      <c r="J66" s="144">
        <f>J21+J50+J55+J64</f>
        <v>0</v>
      </c>
      <c r="L66" s="77"/>
    </row>
    <row r="67" spans="1:12" ht="68.25" customHeight="1" x14ac:dyDescent="0.25">
      <c r="A67" s="1642" t="s">
        <v>743</v>
      </c>
      <c r="B67" s="1642"/>
      <c r="C67" s="627">
        <v>36</v>
      </c>
      <c r="D67" s="627">
        <f>SUM(E67:G67)</f>
        <v>5000</v>
      </c>
      <c r="E67" s="627">
        <v>5000</v>
      </c>
      <c r="F67" s="627">
        <v>0</v>
      </c>
      <c r="G67" s="627">
        <v>0</v>
      </c>
      <c r="H67" s="627">
        <v>0.5</v>
      </c>
      <c r="I67" s="627">
        <v>1.5</v>
      </c>
      <c r="J67" s="554">
        <f>C67*D67*(H67+I67)*12</f>
        <v>4320000</v>
      </c>
      <c r="L67" s="77"/>
    </row>
    <row r="68" spans="1:12" ht="21.75" customHeight="1" x14ac:dyDescent="0.25">
      <c r="A68" s="1586" t="s">
        <v>617</v>
      </c>
      <c r="B68" s="1587"/>
      <c r="C68" s="1587"/>
      <c r="D68" s="1587"/>
      <c r="E68" s="1587"/>
      <c r="F68" s="1587"/>
      <c r="G68" s="1587"/>
      <c r="H68" s="1587"/>
      <c r="I68" s="1588"/>
      <c r="J68" s="210">
        <f>J66+J67</f>
        <v>4320000</v>
      </c>
      <c r="L68" s="77"/>
    </row>
    <row r="69" spans="1:12" ht="39.75" hidden="1" customHeight="1" x14ac:dyDescent="0.25">
      <c r="A69" s="629"/>
      <c r="B69" s="654"/>
      <c r="C69" s="654"/>
      <c r="D69" s="654"/>
      <c r="E69" s="654"/>
      <c r="F69" s="654"/>
      <c r="G69" s="654"/>
      <c r="H69" s="654"/>
      <c r="I69" s="655"/>
      <c r="J69" s="143"/>
      <c r="L69" s="77"/>
    </row>
    <row r="70" spans="1:12" ht="15.75" hidden="1" x14ac:dyDescent="0.25">
      <c r="A70" s="112"/>
      <c r="B70" s="112"/>
      <c r="C70" s="630"/>
      <c r="D70" s="113"/>
      <c r="E70" s="630"/>
      <c r="F70" s="630"/>
      <c r="G70" s="630"/>
      <c r="H70" s="630"/>
      <c r="I70" s="630"/>
      <c r="J70" s="114"/>
    </row>
    <row r="71" spans="1:12" hidden="1" x14ac:dyDescent="0.25">
      <c r="A71" s="1579" t="s">
        <v>1</v>
      </c>
      <c r="B71" s="1579" t="s">
        <v>2</v>
      </c>
      <c r="C71" s="1579" t="s">
        <v>3</v>
      </c>
      <c r="D71" s="1574" t="s">
        <v>4</v>
      </c>
      <c r="E71" s="1574"/>
      <c r="F71" s="1574"/>
      <c r="G71" s="1574"/>
      <c r="H71" s="1579" t="s">
        <v>5</v>
      </c>
      <c r="I71" s="1579" t="s">
        <v>6</v>
      </c>
      <c r="J71" s="1579" t="s">
        <v>305</v>
      </c>
    </row>
    <row r="72" spans="1:12" hidden="1" x14ac:dyDescent="0.25">
      <c r="A72" s="1579"/>
      <c r="B72" s="1579"/>
      <c r="C72" s="1579"/>
      <c r="D72" s="1579" t="s">
        <v>8</v>
      </c>
      <c r="E72" s="1574" t="s">
        <v>9</v>
      </c>
      <c r="F72" s="1574"/>
      <c r="G72" s="1574"/>
      <c r="H72" s="1579"/>
      <c r="I72" s="1579"/>
      <c r="J72" s="1579"/>
    </row>
    <row r="73" spans="1:12" ht="75" hidden="1" x14ac:dyDescent="0.25">
      <c r="A73" s="1579"/>
      <c r="B73" s="1579"/>
      <c r="C73" s="1579"/>
      <c r="D73" s="1579"/>
      <c r="E73" s="628" t="s">
        <v>10</v>
      </c>
      <c r="F73" s="628" t="s">
        <v>11</v>
      </c>
      <c r="G73" s="628" t="s">
        <v>12</v>
      </c>
      <c r="H73" s="1579"/>
      <c r="I73" s="1579"/>
      <c r="J73" s="1579"/>
    </row>
    <row r="74" spans="1:12" hidden="1" x14ac:dyDescent="0.25">
      <c r="A74" s="624">
        <v>1</v>
      </c>
      <c r="B74" s="624">
        <v>2</v>
      </c>
      <c r="C74" s="624">
        <v>3</v>
      </c>
      <c r="D74" s="624">
        <v>4</v>
      </c>
      <c r="E74" s="624">
        <v>5</v>
      </c>
      <c r="F74" s="624">
        <v>6</v>
      </c>
      <c r="G74" s="624">
        <v>7</v>
      </c>
      <c r="H74" s="624">
        <v>8</v>
      </c>
      <c r="I74" s="624">
        <v>9</v>
      </c>
      <c r="J74" s="624">
        <v>10</v>
      </c>
    </row>
    <row r="75" spans="1:12" hidden="1" x14ac:dyDescent="0.25">
      <c r="A75" s="1572" t="s">
        <v>306</v>
      </c>
      <c r="B75" s="1573"/>
      <c r="C75" s="1573"/>
      <c r="D75" s="1573"/>
      <c r="E75" s="1573"/>
      <c r="F75" s="1573"/>
      <c r="G75" s="1573"/>
      <c r="H75" s="1573"/>
      <c r="I75" s="1573"/>
      <c r="J75" s="1573"/>
    </row>
    <row r="76" spans="1:12" ht="45" hidden="1" x14ac:dyDescent="0.25">
      <c r="A76" s="624">
        <v>1</v>
      </c>
      <c r="B76" s="102" t="s">
        <v>307</v>
      </c>
      <c r="C76" s="624"/>
      <c r="D76" s="115">
        <f>E76+F76+G76</f>
        <v>0</v>
      </c>
      <c r="E76" s="130"/>
      <c r="F76" s="115"/>
      <c r="G76" s="115">
        <f>(E76+F76)*20%</f>
        <v>0</v>
      </c>
      <c r="H76" s="104">
        <v>50</v>
      </c>
      <c r="I76" s="624">
        <v>1.7</v>
      </c>
      <c r="J76" s="116">
        <f>(C76*D76*(H76/100+I76))*12.5</f>
        <v>0</v>
      </c>
      <c r="L76" s="77"/>
    </row>
    <row r="77" spans="1:12" ht="15.75" hidden="1" customHeight="1" x14ac:dyDescent="0.25">
      <c r="A77" s="624">
        <v>2</v>
      </c>
      <c r="B77" s="102" t="s">
        <v>308</v>
      </c>
      <c r="C77" s="624"/>
      <c r="D77" s="115">
        <f t="shared" ref="D77:D78" si="11">E77+F77+G77</f>
        <v>0</v>
      </c>
      <c r="E77" s="130"/>
      <c r="F77" s="115"/>
      <c r="G77" s="115">
        <f>(E77+F77)*20%</f>
        <v>0</v>
      </c>
      <c r="H77" s="104">
        <v>50</v>
      </c>
      <c r="I77" s="624">
        <v>1.7</v>
      </c>
      <c r="J77" s="116">
        <f>(C77*D77*(H77/100+I77))*12.5</f>
        <v>0</v>
      </c>
    </row>
    <row r="78" spans="1:12" ht="30" hidden="1" x14ac:dyDescent="0.25">
      <c r="A78" s="624">
        <v>3</v>
      </c>
      <c r="B78" s="102" t="s">
        <v>309</v>
      </c>
      <c r="C78" s="624"/>
      <c r="D78" s="115">
        <f t="shared" si="11"/>
        <v>0</v>
      </c>
      <c r="E78" s="115"/>
      <c r="F78" s="115"/>
      <c r="G78" s="115">
        <f>(E78+F78)*20%</f>
        <v>0</v>
      </c>
      <c r="H78" s="104">
        <v>50</v>
      </c>
      <c r="I78" s="624">
        <v>1.7</v>
      </c>
      <c r="J78" s="116">
        <f>(C78*D78*(H78/100+I78))*12.5</f>
        <v>0</v>
      </c>
    </row>
    <row r="79" spans="1:12" hidden="1" x14ac:dyDescent="0.25">
      <c r="A79" s="624">
        <v>4</v>
      </c>
      <c r="B79" s="102" t="s">
        <v>310</v>
      </c>
      <c r="C79" s="624"/>
      <c r="D79" s="115">
        <f>E79+F79+G79</f>
        <v>0</v>
      </c>
      <c r="E79" s="115"/>
      <c r="F79" s="115"/>
      <c r="G79" s="115">
        <f>(E79+F79)*20%</f>
        <v>0</v>
      </c>
      <c r="H79" s="104">
        <v>50</v>
      </c>
      <c r="I79" s="624">
        <v>1.7</v>
      </c>
      <c r="J79" s="116">
        <f>(C79*D79*(H79/100+I79))*12.5</f>
        <v>0</v>
      </c>
    </row>
    <row r="80" spans="1:12" ht="21.75" hidden="1" customHeight="1" x14ac:dyDescent="0.25">
      <c r="A80" s="624">
        <v>5</v>
      </c>
      <c r="B80" s="102" t="s">
        <v>311</v>
      </c>
      <c r="C80" s="624"/>
      <c r="D80" s="115">
        <f t="shared" ref="D80" si="12">E80+F80+G80</f>
        <v>0</v>
      </c>
      <c r="E80" s="115"/>
      <c r="F80" s="115"/>
      <c r="G80" s="115">
        <f t="shared" ref="G80" si="13">(E80+F80)*20%</f>
        <v>0</v>
      </c>
      <c r="H80" s="104">
        <v>50</v>
      </c>
      <c r="I80" s="624">
        <v>1.7</v>
      </c>
      <c r="J80" s="116">
        <f>(C80*D80*(H80/100+I80))*12.5</f>
        <v>0</v>
      </c>
      <c r="K80" s="77"/>
    </row>
    <row r="81" spans="1:12" ht="16.5" hidden="1" customHeight="1" x14ac:dyDescent="0.25">
      <c r="A81" s="106"/>
      <c r="B81" s="117" t="s">
        <v>312</v>
      </c>
      <c r="C81" s="118">
        <f>SUM(C76:C80)</f>
        <v>0</v>
      </c>
      <c r="D81" s="119">
        <f>SUM(D76:D80)</f>
        <v>0</v>
      </c>
      <c r="E81" s="118" t="s">
        <v>14</v>
      </c>
      <c r="F81" s="118" t="s">
        <v>14</v>
      </c>
      <c r="G81" s="118" t="s">
        <v>14</v>
      </c>
      <c r="H81" s="118" t="s">
        <v>14</v>
      </c>
      <c r="I81" s="118" t="s">
        <v>14</v>
      </c>
      <c r="J81" s="120">
        <f>SUM(J76:J80)</f>
        <v>0</v>
      </c>
    </row>
    <row r="82" spans="1:12" ht="15.75" hidden="1" customHeight="1" x14ac:dyDescent="0.25">
      <c r="A82" s="1590" t="s">
        <v>336</v>
      </c>
      <c r="B82" s="1591"/>
      <c r="C82" s="1591"/>
      <c r="D82" s="1591"/>
      <c r="E82" s="1591"/>
      <c r="F82" s="1591"/>
      <c r="G82" s="1591"/>
      <c r="H82" s="1591"/>
      <c r="I82" s="1592"/>
      <c r="J82" s="120"/>
    </row>
    <row r="83" spans="1:12" s="41" customFormat="1" hidden="1" x14ac:dyDescent="0.2">
      <c r="A83" s="1590" t="s">
        <v>413</v>
      </c>
      <c r="B83" s="1591"/>
      <c r="C83" s="1591"/>
      <c r="D83" s="1591"/>
      <c r="E83" s="1591"/>
      <c r="F83" s="1591"/>
      <c r="G83" s="1591"/>
      <c r="H83" s="1591"/>
      <c r="I83" s="1592"/>
      <c r="J83" s="134"/>
    </row>
    <row r="84" spans="1:12" s="41" customFormat="1" hidden="1" x14ac:dyDescent="0.2">
      <c r="A84" s="207" t="s">
        <v>372</v>
      </c>
      <c r="B84" s="208"/>
      <c r="C84" s="209"/>
      <c r="D84" s="209"/>
      <c r="E84" s="209"/>
      <c r="F84" s="209"/>
      <c r="G84" s="209"/>
      <c r="H84" s="209"/>
      <c r="I84" s="209"/>
      <c r="J84" s="134"/>
    </row>
    <row r="85" spans="1:12" s="41" customFormat="1" ht="15.75" hidden="1" x14ac:dyDescent="0.2">
      <c r="A85" s="1593" t="s">
        <v>456</v>
      </c>
      <c r="B85" s="1594"/>
      <c r="C85" s="1594"/>
      <c r="D85" s="1594"/>
      <c r="E85" s="1594"/>
      <c r="F85" s="1594"/>
      <c r="G85" s="1594"/>
      <c r="H85" s="1594"/>
      <c r="I85" s="1594"/>
      <c r="J85" s="1595"/>
    </row>
    <row r="86" spans="1:12" ht="21" hidden="1" customHeight="1" x14ac:dyDescent="0.25">
      <c r="A86" s="1596" t="s">
        <v>457</v>
      </c>
      <c r="B86" s="1597"/>
      <c r="C86" s="121">
        <v>2.4</v>
      </c>
      <c r="D86" s="122">
        <f>D81</f>
        <v>0</v>
      </c>
      <c r="E86" s="123" t="s">
        <v>14</v>
      </c>
      <c r="F86" s="123" t="s">
        <v>14</v>
      </c>
      <c r="G86" s="123" t="s">
        <v>14</v>
      </c>
      <c r="H86" s="123" t="s">
        <v>14</v>
      </c>
      <c r="I86" s="123" t="s">
        <v>14</v>
      </c>
      <c r="J86" s="217">
        <v>0</v>
      </c>
      <c r="K86" s="77"/>
      <c r="L86" s="77"/>
    </row>
    <row r="87" spans="1:12" ht="21" customHeight="1" x14ac:dyDescent="0.25">
      <c r="A87" s="1598" t="s">
        <v>718</v>
      </c>
      <c r="B87" s="1599"/>
      <c r="C87" s="1599"/>
      <c r="D87" s="1599"/>
      <c r="E87" s="1599"/>
      <c r="F87" s="1599"/>
      <c r="G87" s="1599"/>
      <c r="H87" s="1599"/>
      <c r="I87" s="1599"/>
      <c r="J87" s="218">
        <f>J86+J68</f>
        <v>4320000</v>
      </c>
      <c r="K87" s="77"/>
      <c r="L87" s="77"/>
    </row>
    <row r="88" spans="1:12" ht="21" hidden="1" customHeight="1" x14ac:dyDescent="0.25">
      <c r="A88" s="658"/>
      <c r="B88" s="212"/>
      <c r="C88" s="620"/>
      <c r="D88" s="214"/>
      <c r="E88" s="659"/>
      <c r="F88" s="659"/>
      <c r="G88" s="659"/>
      <c r="H88" s="659"/>
      <c r="I88" s="659"/>
      <c r="J88" s="660"/>
      <c r="K88" s="77"/>
      <c r="L88" s="77"/>
    </row>
    <row r="89" spans="1:12" ht="20.25" hidden="1" customHeight="1" x14ac:dyDescent="0.25">
      <c r="A89" s="1562" t="s">
        <v>352</v>
      </c>
      <c r="B89" s="1563"/>
      <c r="C89" s="1563"/>
      <c r="D89" s="1563"/>
      <c r="E89" s="1563"/>
      <c r="F89" s="1563"/>
      <c r="G89" s="1563"/>
      <c r="H89" s="1563"/>
      <c r="I89" s="1563"/>
      <c r="J89" s="1564"/>
    </row>
    <row r="90" spans="1:12" ht="30" hidden="1" customHeight="1" x14ac:dyDescent="0.25">
      <c r="A90" s="626" t="s">
        <v>1</v>
      </c>
      <c r="B90" s="1600" t="s">
        <v>44</v>
      </c>
      <c r="C90" s="1600"/>
      <c r="D90" s="1600"/>
      <c r="E90" s="1600" t="s">
        <v>45</v>
      </c>
      <c r="F90" s="1600"/>
      <c r="G90" s="1600" t="s">
        <v>46</v>
      </c>
      <c r="H90" s="1600"/>
      <c r="I90" s="1600" t="s">
        <v>102</v>
      </c>
      <c r="J90" s="1600"/>
    </row>
    <row r="91" spans="1:12" ht="16.5" hidden="1" customHeight="1" x14ac:dyDescent="0.25">
      <c r="A91" s="623">
        <v>1</v>
      </c>
      <c r="B91" s="1535">
        <v>2</v>
      </c>
      <c r="C91" s="1535"/>
      <c r="D91" s="1535"/>
      <c r="E91" s="1535">
        <v>3</v>
      </c>
      <c r="F91" s="1535"/>
      <c r="G91" s="1535">
        <v>4</v>
      </c>
      <c r="H91" s="1535"/>
      <c r="I91" s="1535">
        <v>5</v>
      </c>
      <c r="J91" s="1535"/>
    </row>
    <row r="92" spans="1:12" ht="47.25" hidden="1" customHeight="1" x14ac:dyDescent="0.25">
      <c r="A92" s="150">
        <v>1</v>
      </c>
      <c r="B92" s="1463" t="s">
        <v>363</v>
      </c>
      <c r="C92" s="1464"/>
      <c r="D92" s="1465"/>
      <c r="E92" s="1571">
        <f>I92/G92</f>
        <v>0</v>
      </c>
      <c r="F92" s="1571"/>
      <c r="G92" s="1540">
        <v>12</v>
      </c>
      <c r="H92" s="1540"/>
      <c r="I92" s="1589">
        <v>0</v>
      </c>
      <c r="J92" s="1589"/>
    </row>
    <row r="93" spans="1:12" ht="51.75" hidden="1" customHeight="1" x14ac:dyDescent="0.25">
      <c r="A93" s="150" t="s">
        <v>75</v>
      </c>
      <c r="B93" s="1463" t="s">
        <v>618</v>
      </c>
      <c r="C93" s="1464"/>
      <c r="D93" s="1465"/>
      <c r="E93" s="1571">
        <v>0</v>
      </c>
      <c r="F93" s="1571"/>
      <c r="G93" s="1540"/>
      <c r="H93" s="1540"/>
      <c r="I93" s="1589">
        <v>0</v>
      </c>
      <c r="J93" s="1589"/>
      <c r="K93" s="1">
        <v>0</v>
      </c>
    </row>
    <row r="94" spans="1:12" ht="33.75" hidden="1" customHeight="1" x14ac:dyDescent="0.25">
      <c r="A94" s="618"/>
      <c r="B94" s="1177" t="s">
        <v>324</v>
      </c>
      <c r="C94" s="1178"/>
      <c r="D94" s="1601"/>
      <c r="E94" s="1167" t="s">
        <v>14</v>
      </c>
      <c r="F94" s="1168"/>
      <c r="G94" s="1167" t="s">
        <v>14</v>
      </c>
      <c r="H94" s="1201"/>
      <c r="I94" s="617"/>
      <c r="J94" s="619">
        <f>I93</f>
        <v>0</v>
      </c>
    </row>
    <row r="95" spans="1:12" s="41" customFormat="1" ht="40.5" hidden="1" customHeight="1" x14ac:dyDescent="0.25">
      <c r="A95" s="1507" t="s">
        <v>531</v>
      </c>
      <c r="B95" s="1507"/>
      <c r="C95" s="1507"/>
      <c r="D95" s="1507"/>
      <c r="E95" s="1507"/>
      <c r="F95" s="1507"/>
      <c r="G95" s="1507"/>
      <c r="H95" s="1507"/>
      <c r="I95" s="1507"/>
      <c r="J95" s="1507"/>
    </row>
    <row r="96" spans="1:12" ht="38.25" hidden="1" x14ac:dyDescent="0.25">
      <c r="A96" s="623" t="s">
        <v>1</v>
      </c>
      <c r="B96" s="1535" t="s">
        <v>15</v>
      </c>
      <c r="C96" s="1535"/>
      <c r="D96" s="1535"/>
      <c r="E96" s="1535" t="s">
        <v>16</v>
      </c>
      <c r="F96" s="1535"/>
      <c r="G96" s="623" t="s">
        <v>17</v>
      </c>
      <c r="H96" s="623" t="s">
        <v>18</v>
      </c>
      <c r="I96" s="1535" t="s">
        <v>104</v>
      </c>
      <c r="J96" s="1535"/>
    </row>
    <row r="97" spans="1:14" hidden="1" x14ac:dyDescent="0.25">
      <c r="A97" s="623">
        <v>1</v>
      </c>
      <c r="B97" s="1535">
        <v>2</v>
      </c>
      <c r="C97" s="1535"/>
      <c r="D97" s="1535"/>
      <c r="E97" s="1535">
        <v>3</v>
      </c>
      <c r="F97" s="1535"/>
      <c r="G97" s="623">
        <v>4</v>
      </c>
      <c r="H97" s="623">
        <v>5</v>
      </c>
      <c r="I97" s="1535">
        <v>6</v>
      </c>
      <c r="J97" s="1535"/>
    </row>
    <row r="98" spans="1:14" ht="16.5" hidden="1" customHeight="1" x14ac:dyDescent="0.25">
      <c r="A98" s="1566" t="s">
        <v>354</v>
      </c>
      <c r="B98" s="1567"/>
      <c r="C98" s="1567"/>
      <c r="D98" s="1567"/>
      <c r="E98" s="1567"/>
      <c r="F98" s="1567"/>
      <c r="G98" s="1567"/>
      <c r="H98" s="1567"/>
      <c r="I98" s="1567"/>
      <c r="J98" s="1568"/>
    </row>
    <row r="99" spans="1:14" ht="99" hidden="1" customHeight="1" x14ac:dyDescent="0.25">
      <c r="A99" s="1553" t="s">
        <v>753</v>
      </c>
      <c r="B99" s="1553"/>
      <c r="C99" s="1553"/>
      <c r="D99" s="1553"/>
      <c r="E99" s="1553"/>
      <c r="F99" s="1553"/>
      <c r="G99" s="1553"/>
      <c r="H99" s="1553"/>
      <c r="I99" s="1553"/>
      <c r="J99" s="1554"/>
    </row>
    <row r="100" spans="1:14" ht="30" hidden="1" customHeight="1" x14ac:dyDescent="0.25">
      <c r="A100" s="665">
        <v>1</v>
      </c>
      <c r="B100" s="1330" t="s">
        <v>754</v>
      </c>
      <c r="C100" s="1331"/>
      <c r="D100" s="1332"/>
      <c r="E100" s="1327" t="s">
        <v>755</v>
      </c>
      <c r="F100" s="1329"/>
      <c r="G100" s="1327">
        <v>0</v>
      </c>
      <c r="H100" s="1329"/>
      <c r="I100" s="1422">
        <v>0</v>
      </c>
      <c r="J100" s="1423"/>
    </row>
    <row r="101" spans="1:14" ht="16.5" hidden="1" customHeight="1" x14ac:dyDescent="0.25">
      <c r="A101" s="606"/>
      <c r="B101" s="1424"/>
      <c r="C101" s="1427"/>
      <c r="D101" s="1425"/>
      <c r="E101" s="1424"/>
      <c r="F101" s="1425"/>
      <c r="G101" s="1424"/>
      <c r="H101" s="1425"/>
      <c r="I101" s="1424"/>
      <c r="J101" s="1425"/>
    </row>
    <row r="102" spans="1:14" ht="42.75" hidden="1" customHeight="1" x14ac:dyDescent="0.25">
      <c r="A102" s="1333" t="s">
        <v>510</v>
      </c>
      <c r="B102" s="1334"/>
      <c r="C102" s="1334"/>
      <c r="D102" s="1334"/>
      <c r="E102" s="1334"/>
      <c r="F102" s="1334"/>
      <c r="G102" s="1334"/>
      <c r="H102" s="1334"/>
      <c r="I102" s="1334"/>
      <c r="J102" s="1335"/>
    </row>
    <row r="103" spans="1:14" ht="36.75" hidden="1" customHeight="1" x14ac:dyDescent="0.25">
      <c r="A103" s="381">
        <v>1</v>
      </c>
      <c r="B103" s="1367" t="s">
        <v>511</v>
      </c>
      <c r="C103" s="1367"/>
      <c r="D103" s="1367"/>
      <c r="E103" s="1565">
        <v>0</v>
      </c>
      <c r="F103" s="1565"/>
      <c r="G103" s="1428">
        <v>300</v>
      </c>
      <c r="H103" s="1429"/>
      <c r="I103" s="1426">
        <v>0</v>
      </c>
      <c r="J103" s="1426"/>
    </row>
    <row r="104" spans="1:14" ht="16.5" hidden="1" customHeight="1" x14ac:dyDescent="0.25">
      <c r="A104" s="595"/>
      <c r="B104" s="1534"/>
      <c r="C104" s="1534"/>
      <c r="D104" s="1534"/>
      <c r="E104" s="1427"/>
      <c r="F104" s="1427"/>
      <c r="G104" s="1427"/>
      <c r="H104" s="1427"/>
      <c r="I104" s="1427"/>
      <c r="J104" s="1425"/>
    </row>
    <row r="105" spans="1:14" ht="16.5" hidden="1" customHeight="1" x14ac:dyDescent="0.25">
      <c r="A105" s="625"/>
      <c r="B105" s="1427"/>
      <c r="C105" s="1427"/>
      <c r="D105" s="1427"/>
      <c r="E105" s="1427"/>
      <c r="F105" s="1427"/>
      <c r="G105" s="1427"/>
      <c r="H105" s="1427"/>
      <c r="I105" s="1427"/>
      <c r="J105" s="1425"/>
    </row>
    <row r="106" spans="1:14" ht="16.5" hidden="1" customHeight="1" x14ac:dyDescent="0.25">
      <c r="A106" s="625"/>
      <c r="B106" s="1427"/>
      <c r="C106" s="1427"/>
      <c r="D106" s="1427"/>
      <c r="E106" s="1427"/>
      <c r="F106" s="1427"/>
      <c r="G106" s="1427"/>
      <c r="H106" s="1427"/>
      <c r="I106" s="1427"/>
      <c r="J106" s="1425"/>
    </row>
    <row r="107" spans="1:14" ht="15" hidden="1" customHeight="1" x14ac:dyDescent="0.25">
      <c r="A107" s="1562" t="s">
        <v>356</v>
      </c>
      <c r="B107" s="1563"/>
      <c r="C107" s="1563"/>
      <c r="D107" s="1563"/>
      <c r="E107" s="1563"/>
      <c r="F107" s="1563"/>
      <c r="G107" s="1563"/>
      <c r="H107" s="1563"/>
      <c r="I107" s="1563"/>
      <c r="J107" s="1564"/>
    </row>
    <row r="108" spans="1:14" ht="53.25" hidden="1" customHeight="1" x14ac:dyDescent="0.25">
      <c r="A108" s="599" t="s">
        <v>70</v>
      </c>
      <c r="B108" s="1557" t="s">
        <v>458</v>
      </c>
      <c r="C108" s="1558"/>
      <c r="D108" s="1559"/>
      <c r="E108" s="1534"/>
      <c r="F108" s="1534"/>
      <c r="G108" s="632"/>
      <c r="H108" s="632">
        <v>1</v>
      </c>
      <c r="I108" s="1569">
        <v>0</v>
      </c>
      <c r="J108" s="1570"/>
    </row>
    <row r="109" spans="1:14" ht="48.75" hidden="1" customHeight="1" x14ac:dyDescent="0.25">
      <c r="A109" s="631" t="s">
        <v>75</v>
      </c>
      <c r="B109" s="1557" t="s">
        <v>459</v>
      </c>
      <c r="C109" s="1558"/>
      <c r="D109" s="1559"/>
      <c r="E109" s="1560"/>
      <c r="F109" s="1560"/>
      <c r="G109" s="131"/>
      <c r="H109" s="151">
        <v>1</v>
      </c>
      <c r="I109" s="1561">
        <f>E109*G109</f>
        <v>0</v>
      </c>
      <c r="J109" s="1561"/>
    </row>
    <row r="110" spans="1:14" hidden="1" x14ac:dyDescent="0.25">
      <c r="A110" s="1562" t="s">
        <v>357</v>
      </c>
      <c r="B110" s="1563"/>
      <c r="C110" s="1563"/>
      <c r="D110" s="1563"/>
      <c r="E110" s="1563"/>
      <c r="F110" s="1563"/>
      <c r="G110" s="1563"/>
      <c r="H110" s="1563"/>
      <c r="I110" s="1563"/>
      <c r="J110" s="1564"/>
    </row>
    <row r="111" spans="1:14" ht="130.5" hidden="1" customHeight="1" x14ac:dyDescent="0.25">
      <c r="A111" s="1553" t="s">
        <v>753</v>
      </c>
      <c r="B111" s="1553"/>
      <c r="C111" s="1553"/>
      <c r="D111" s="1553"/>
      <c r="E111" s="1553"/>
      <c r="F111" s="1553"/>
      <c r="G111" s="1553"/>
      <c r="H111" s="1553"/>
      <c r="I111" s="1553"/>
      <c r="J111" s="1554"/>
      <c r="L111" s="1" t="s">
        <v>765</v>
      </c>
    </row>
    <row r="112" spans="1:14" ht="36.75" hidden="1" customHeight="1" x14ac:dyDescent="0.25">
      <c r="A112" s="616">
        <v>1</v>
      </c>
      <c r="B112" s="1322" t="s">
        <v>756</v>
      </c>
      <c r="C112" s="1322"/>
      <c r="D112" s="1322"/>
      <c r="E112" s="1034" t="s">
        <v>299</v>
      </c>
      <c r="F112" s="1035"/>
      <c r="G112" s="616">
        <v>1</v>
      </c>
      <c r="H112" s="458">
        <v>0</v>
      </c>
      <c r="I112" s="1608">
        <f>G112*H112</f>
        <v>0</v>
      </c>
      <c r="J112" s="1609"/>
      <c r="K112" s="1">
        <v>5365</v>
      </c>
      <c r="L112" s="1">
        <v>5110</v>
      </c>
      <c r="N112" s="129">
        <f>I112+I114</f>
        <v>0</v>
      </c>
    </row>
    <row r="113" spans="1:14" ht="36.75" hidden="1" customHeight="1" x14ac:dyDescent="0.25">
      <c r="A113" s="616">
        <v>2</v>
      </c>
      <c r="B113" s="1322" t="s">
        <v>757</v>
      </c>
      <c r="C113" s="1322"/>
      <c r="D113" s="1322"/>
      <c r="E113" s="1034" t="s">
        <v>299</v>
      </c>
      <c r="F113" s="1035"/>
      <c r="G113" s="616">
        <v>2</v>
      </c>
      <c r="H113" s="458">
        <v>0</v>
      </c>
      <c r="I113" s="1608">
        <f>G113*H113</f>
        <v>0</v>
      </c>
      <c r="J113" s="1609"/>
      <c r="K113" s="1">
        <v>10730</v>
      </c>
      <c r="L113" s="1">
        <v>10220</v>
      </c>
      <c r="N113" s="129">
        <f>I113+I115+I116</f>
        <v>0</v>
      </c>
    </row>
    <row r="114" spans="1:14" ht="36.75" hidden="1" customHeight="1" x14ac:dyDescent="0.25">
      <c r="A114" s="616">
        <v>3</v>
      </c>
      <c r="B114" s="1322" t="s">
        <v>758</v>
      </c>
      <c r="C114" s="1322"/>
      <c r="D114" s="1322"/>
      <c r="E114" s="1034" t="s">
        <v>299</v>
      </c>
      <c r="F114" s="1035"/>
      <c r="G114" s="616">
        <v>3</v>
      </c>
      <c r="H114" s="458">
        <v>0</v>
      </c>
      <c r="I114" s="1608">
        <f>G114*H114</f>
        <v>0</v>
      </c>
      <c r="J114" s="1609"/>
      <c r="K114" s="1">
        <v>9000</v>
      </c>
      <c r="L114" s="1">
        <v>9000</v>
      </c>
    </row>
    <row r="115" spans="1:14" ht="36.75" hidden="1" customHeight="1" x14ac:dyDescent="0.25">
      <c r="A115" s="616">
        <v>4</v>
      </c>
      <c r="B115" s="1322" t="s">
        <v>759</v>
      </c>
      <c r="C115" s="1322"/>
      <c r="D115" s="1322"/>
      <c r="E115" s="1034" t="s">
        <v>299</v>
      </c>
      <c r="F115" s="1035"/>
      <c r="G115" s="616">
        <v>6</v>
      </c>
      <c r="H115" s="458">
        <v>0</v>
      </c>
      <c r="I115" s="1608">
        <f>G115*H115</f>
        <v>0</v>
      </c>
      <c r="J115" s="1609"/>
      <c r="K115" s="1">
        <v>12000</v>
      </c>
      <c r="L115" s="1">
        <v>12000</v>
      </c>
    </row>
    <row r="116" spans="1:14" ht="45" hidden="1" customHeight="1" x14ac:dyDescent="0.25">
      <c r="A116" s="616">
        <v>5</v>
      </c>
      <c r="B116" s="1214" t="s">
        <v>760</v>
      </c>
      <c r="C116" s="1215"/>
      <c r="D116" s="1216"/>
      <c r="E116" s="1034" t="s">
        <v>299</v>
      </c>
      <c r="F116" s="1035"/>
      <c r="G116" s="616">
        <v>16</v>
      </c>
      <c r="H116" s="458">
        <v>0</v>
      </c>
      <c r="I116" s="1608">
        <v>0</v>
      </c>
      <c r="J116" s="1609"/>
      <c r="K116" s="1">
        <v>6840</v>
      </c>
      <c r="L116" s="1">
        <v>7200</v>
      </c>
    </row>
    <row r="117" spans="1:14" ht="47.25" hidden="1" customHeight="1" x14ac:dyDescent="0.25">
      <c r="A117" s="639">
        <v>6</v>
      </c>
      <c r="B117" s="1322" t="s">
        <v>512</v>
      </c>
      <c r="C117" s="1322"/>
      <c r="D117" s="1322"/>
      <c r="E117" s="1387">
        <v>0</v>
      </c>
      <c r="F117" s="1388"/>
      <c r="G117" s="639"/>
      <c r="H117" s="644"/>
      <c r="I117" s="1555">
        <v>0</v>
      </c>
      <c r="J117" s="1556"/>
    </row>
    <row r="118" spans="1:14" ht="47.25" hidden="1" customHeight="1" x14ac:dyDescent="0.25">
      <c r="A118" s="310">
        <v>7</v>
      </c>
      <c r="B118" s="1322" t="s">
        <v>513</v>
      </c>
      <c r="C118" s="1322"/>
      <c r="D118" s="1322"/>
      <c r="E118" s="1602">
        <v>0</v>
      </c>
      <c r="F118" s="1603"/>
      <c r="G118" s="639"/>
      <c r="H118" s="639"/>
      <c r="I118" s="1604">
        <v>0</v>
      </c>
      <c r="J118" s="1605"/>
    </row>
    <row r="119" spans="1:14" ht="50.25" hidden="1" customHeight="1" x14ac:dyDescent="0.25">
      <c r="A119" s="1333" t="s">
        <v>515</v>
      </c>
      <c r="B119" s="1334"/>
      <c r="C119" s="1334"/>
      <c r="D119" s="1334"/>
      <c r="E119" s="1334"/>
      <c r="F119" s="1334"/>
      <c r="G119" s="1334"/>
      <c r="H119" s="1334"/>
      <c r="I119" s="1334"/>
      <c r="J119" s="1335"/>
    </row>
    <row r="120" spans="1:14" ht="35.25" hidden="1" customHeight="1" x14ac:dyDescent="0.25">
      <c r="A120" s="639">
        <v>2</v>
      </c>
      <c r="B120" s="1367" t="s">
        <v>518</v>
      </c>
      <c r="C120" s="1367"/>
      <c r="D120" s="1367"/>
      <c r="E120" s="1387">
        <v>0</v>
      </c>
      <c r="F120" s="1388"/>
      <c r="G120" s="639"/>
      <c r="H120" s="639">
        <v>0</v>
      </c>
      <c r="I120" s="1541">
        <v>0</v>
      </c>
      <c r="J120" s="1542"/>
    </row>
    <row r="121" spans="1:14" ht="35.25" hidden="1" customHeight="1" x14ac:dyDescent="0.25">
      <c r="A121" s="639">
        <v>3</v>
      </c>
      <c r="B121" s="1367" t="s">
        <v>717</v>
      </c>
      <c r="C121" s="1367"/>
      <c r="D121" s="1367"/>
      <c r="E121" s="1387">
        <v>0</v>
      </c>
      <c r="F121" s="1388"/>
      <c r="G121" s="639"/>
      <c r="H121" s="639">
        <v>0</v>
      </c>
      <c r="I121" s="1606">
        <v>0</v>
      </c>
      <c r="J121" s="1607"/>
    </row>
    <row r="122" spans="1:14" hidden="1" x14ac:dyDescent="0.25">
      <c r="A122" s="631"/>
      <c r="B122" s="1539" t="s">
        <v>13</v>
      </c>
      <c r="C122" s="1539"/>
      <c r="D122" s="1539"/>
      <c r="E122" s="1540" t="s">
        <v>14</v>
      </c>
      <c r="F122" s="1540"/>
      <c r="G122" s="631" t="s">
        <v>14</v>
      </c>
      <c r="H122" s="631" t="s">
        <v>14</v>
      </c>
      <c r="I122" s="1543">
        <f>I100+I103+I117+I120+I118+I121+I112+I113+I114+I115+I116</f>
        <v>0</v>
      </c>
      <c r="J122" s="1543"/>
    </row>
    <row r="123" spans="1:14" ht="19.5" hidden="1" customHeight="1" x14ac:dyDescent="0.25">
      <c r="A123" s="1480" t="s">
        <v>359</v>
      </c>
      <c r="B123" s="1480"/>
      <c r="C123" s="1480"/>
      <c r="D123" s="1480"/>
      <c r="E123" s="1480"/>
      <c r="F123" s="1480"/>
      <c r="G123" s="1480"/>
      <c r="H123" s="1480"/>
      <c r="I123" s="1480"/>
      <c r="J123" s="1480"/>
    </row>
    <row r="124" spans="1:14" ht="51" hidden="1" x14ac:dyDescent="0.25">
      <c r="A124" s="623" t="s">
        <v>1</v>
      </c>
      <c r="B124" s="1535" t="s">
        <v>15</v>
      </c>
      <c r="C124" s="1535"/>
      <c r="D124" s="1535"/>
      <c r="E124" s="1544" t="s">
        <v>20</v>
      </c>
      <c r="F124" s="1545"/>
      <c r="G124" s="623" t="s">
        <v>21</v>
      </c>
      <c r="H124" s="623" t="s">
        <v>22</v>
      </c>
      <c r="I124" s="1535" t="s">
        <v>19</v>
      </c>
      <c r="J124" s="1535"/>
    </row>
    <row r="125" spans="1:14" hidden="1" x14ac:dyDescent="0.25">
      <c r="A125" s="623">
        <v>1</v>
      </c>
      <c r="B125" s="1535">
        <v>2</v>
      </c>
      <c r="C125" s="1535"/>
      <c r="D125" s="1535"/>
      <c r="E125" s="1544">
        <v>3</v>
      </c>
      <c r="F125" s="1545"/>
      <c r="G125" s="623">
        <v>4</v>
      </c>
      <c r="H125" s="623">
        <v>5</v>
      </c>
      <c r="I125" s="1535">
        <v>6</v>
      </c>
      <c r="J125" s="1535"/>
    </row>
    <row r="126" spans="1:14" ht="47.25" hidden="1" customHeight="1" x14ac:dyDescent="0.25">
      <c r="A126" s="624" t="s">
        <v>70</v>
      </c>
      <c r="B126" s="1546" t="s">
        <v>79</v>
      </c>
      <c r="C126" s="1547"/>
      <c r="D126" s="1548"/>
      <c r="E126" s="1549"/>
      <c r="F126" s="1550"/>
      <c r="G126" s="154">
        <v>12</v>
      </c>
      <c r="H126" s="154">
        <v>85</v>
      </c>
      <c r="I126" s="1551">
        <f>E126*G126*H126</f>
        <v>0</v>
      </c>
      <c r="J126" s="1551"/>
    </row>
    <row r="127" spans="1:14" ht="17.25" hidden="1" customHeight="1" x14ac:dyDescent="0.25">
      <c r="A127" s="153"/>
      <c r="B127" s="1536" t="s">
        <v>13</v>
      </c>
      <c r="C127" s="1536"/>
      <c r="D127" s="1536"/>
      <c r="E127" s="1537" t="s">
        <v>14</v>
      </c>
      <c r="F127" s="1538"/>
      <c r="G127" s="631" t="s">
        <v>14</v>
      </c>
      <c r="H127" s="631" t="s">
        <v>14</v>
      </c>
      <c r="I127" s="1543">
        <f>SUM(I126)</f>
        <v>0</v>
      </c>
      <c r="J127" s="1552"/>
    </row>
    <row r="128" spans="1:14" s="41" customFormat="1" ht="54" customHeight="1" x14ac:dyDescent="0.25">
      <c r="A128" s="1507" t="s">
        <v>288</v>
      </c>
      <c r="B128" s="1507"/>
      <c r="C128" s="1507"/>
      <c r="D128" s="1507"/>
      <c r="E128" s="1507"/>
      <c r="F128" s="1507"/>
      <c r="G128" s="1507"/>
      <c r="H128" s="1507"/>
      <c r="I128" s="1507"/>
      <c r="J128" s="1507"/>
    </row>
    <row r="129" spans="1:10" ht="25.5" customHeight="1" x14ac:dyDescent="0.25">
      <c r="A129" s="642" t="s">
        <v>1</v>
      </c>
      <c r="B129" s="1508" t="s">
        <v>23</v>
      </c>
      <c r="C129" s="1508"/>
      <c r="D129" s="1508"/>
      <c r="E129" s="1508"/>
      <c r="F129" s="1508"/>
      <c r="G129" s="1508" t="s">
        <v>24</v>
      </c>
      <c r="H129" s="1508"/>
      <c r="I129" s="1508" t="s">
        <v>25</v>
      </c>
      <c r="J129" s="1508"/>
    </row>
    <row r="130" spans="1:10" ht="12" customHeight="1" x14ac:dyDescent="0.25">
      <c r="A130" s="638">
        <v>1</v>
      </c>
      <c r="B130" s="1346">
        <v>2</v>
      </c>
      <c r="C130" s="1346"/>
      <c r="D130" s="1346"/>
      <c r="E130" s="1346"/>
      <c r="F130" s="1346"/>
      <c r="G130" s="1346">
        <v>3</v>
      </c>
      <c r="H130" s="1346"/>
      <c r="I130" s="1346">
        <v>4</v>
      </c>
      <c r="J130" s="1346"/>
    </row>
    <row r="131" spans="1:10" ht="17.25" customHeight="1" x14ac:dyDescent="0.25">
      <c r="A131" s="633" t="s">
        <v>70</v>
      </c>
      <c r="B131" s="1527" t="s">
        <v>26</v>
      </c>
      <c r="C131" s="1527"/>
      <c r="D131" s="1527"/>
      <c r="E131" s="1527"/>
      <c r="F131" s="1527"/>
      <c r="G131" s="1532" t="s">
        <v>14</v>
      </c>
      <c r="H131" s="1532"/>
      <c r="I131" s="1531">
        <f>SUM(I133:J135)</f>
        <v>950400</v>
      </c>
      <c r="J131" s="1531"/>
    </row>
    <row r="132" spans="1:10" ht="16.5" customHeight="1" x14ac:dyDescent="0.25">
      <c r="A132" s="89"/>
      <c r="B132" s="1387" t="s">
        <v>9</v>
      </c>
      <c r="C132" s="1444"/>
      <c r="D132" s="1444"/>
      <c r="E132" s="1444"/>
      <c r="F132" s="1388"/>
      <c r="G132" s="1505"/>
      <c r="H132" s="1505"/>
      <c r="I132" s="1504"/>
      <c r="J132" s="1504"/>
    </row>
    <row r="133" spans="1:10" ht="17.25" customHeight="1" x14ac:dyDescent="0.25">
      <c r="A133" s="639" t="s">
        <v>27</v>
      </c>
      <c r="B133" s="1533" t="s">
        <v>28</v>
      </c>
      <c r="C133" s="1533"/>
      <c r="D133" s="1533"/>
      <c r="E133" s="1533"/>
      <c r="F133" s="1533"/>
      <c r="G133" s="1503">
        <f>J68</f>
        <v>4320000</v>
      </c>
      <c r="H133" s="1503"/>
      <c r="I133" s="1504">
        <f>G133*22%</f>
        <v>950400</v>
      </c>
      <c r="J133" s="1504"/>
    </row>
    <row r="134" spans="1:10" ht="15" customHeight="1" x14ac:dyDescent="0.25">
      <c r="A134" s="639" t="s">
        <v>29</v>
      </c>
      <c r="B134" s="1386" t="s">
        <v>30</v>
      </c>
      <c r="C134" s="1386"/>
      <c r="D134" s="1386"/>
      <c r="E134" s="1386"/>
      <c r="F134" s="1386"/>
      <c r="G134" s="1505"/>
      <c r="H134" s="1505"/>
      <c r="I134" s="1504">
        <f>G134*10%</f>
        <v>0</v>
      </c>
      <c r="J134" s="1504"/>
    </row>
    <row r="135" spans="1:10" ht="29.45" customHeight="1" x14ac:dyDescent="0.25">
      <c r="A135" s="639" t="s">
        <v>31</v>
      </c>
      <c r="B135" s="1506" t="s">
        <v>32</v>
      </c>
      <c r="C135" s="1506"/>
      <c r="D135" s="1506"/>
      <c r="E135" s="1506"/>
      <c r="F135" s="1506"/>
      <c r="G135" s="1505"/>
      <c r="H135" s="1505"/>
      <c r="I135" s="1504"/>
      <c r="J135" s="1504"/>
    </row>
    <row r="136" spans="1:10" ht="29.25" customHeight="1" x14ac:dyDescent="0.25">
      <c r="A136" s="633" t="s">
        <v>75</v>
      </c>
      <c r="B136" s="1527" t="s">
        <v>33</v>
      </c>
      <c r="C136" s="1527"/>
      <c r="D136" s="1527"/>
      <c r="E136" s="1527"/>
      <c r="F136" s="1527"/>
      <c r="G136" s="1532" t="s">
        <v>14</v>
      </c>
      <c r="H136" s="1532"/>
      <c r="I136" s="1531">
        <f>SUM(I138:J142)</f>
        <v>133920</v>
      </c>
      <c r="J136" s="1531"/>
    </row>
    <row r="137" spans="1:10" ht="15.75" customHeight="1" x14ac:dyDescent="0.25">
      <c r="A137" s="89"/>
      <c r="B137" s="1387" t="s">
        <v>9</v>
      </c>
      <c r="C137" s="1444"/>
      <c r="D137" s="1444"/>
      <c r="E137" s="1444"/>
      <c r="F137" s="1388"/>
      <c r="G137" s="1505"/>
      <c r="H137" s="1505"/>
      <c r="I137" s="1504"/>
      <c r="J137" s="1504"/>
    </row>
    <row r="138" spans="1:10" ht="27.75" customHeight="1" x14ac:dyDescent="0.25">
      <c r="A138" s="639" t="s">
        <v>34</v>
      </c>
      <c r="B138" s="1506" t="s">
        <v>35</v>
      </c>
      <c r="C138" s="1506"/>
      <c r="D138" s="1506"/>
      <c r="E138" s="1506"/>
      <c r="F138" s="1506"/>
      <c r="G138" s="1503">
        <f>G133+G134</f>
        <v>4320000</v>
      </c>
      <c r="H138" s="1503"/>
      <c r="I138" s="1504">
        <f>G138*2.9%</f>
        <v>125279.99999999999</v>
      </c>
      <c r="J138" s="1504"/>
    </row>
    <row r="139" spans="1:10" ht="15" customHeight="1" x14ac:dyDescent="0.25">
      <c r="A139" s="639" t="s">
        <v>36</v>
      </c>
      <c r="B139" s="1506" t="s">
        <v>37</v>
      </c>
      <c r="C139" s="1506"/>
      <c r="D139" s="1506"/>
      <c r="E139" s="1506"/>
      <c r="F139" s="1506"/>
      <c r="G139" s="1505"/>
      <c r="H139" s="1505"/>
      <c r="I139" s="1504"/>
      <c r="J139" s="1504"/>
    </row>
    <row r="140" spans="1:10" ht="35.25" customHeight="1" x14ac:dyDescent="0.25">
      <c r="A140" s="639" t="s">
        <v>38</v>
      </c>
      <c r="B140" s="1506" t="s">
        <v>39</v>
      </c>
      <c r="C140" s="1506"/>
      <c r="D140" s="1506"/>
      <c r="E140" s="1506"/>
      <c r="F140" s="1506"/>
      <c r="G140" s="1503">
        <f>G133+G134</f>
        <v>4320000</v>
      </c>
      <c r="H140" s="1503"/>
      <c r="I140" s="1504">
        <f>G140*0.2%</f>
        <v>8640</v>
      </c>
      <c r="J140" s="1504"/>
    </row>
    <row r="141" spans="1:10" s="41" customFormat="1" ht="15" customHeight="1" x14ac:dyDescent="0.25">
      <c r="A141" s="639" t="s">
        <v>40</v>
      </c>
      <c r="B141" s="1506" t="s">
        <v>41</v>
      </c>
      <c r="C141" s="1506"/>
      <c r="D141" s="1506"/>
      <c r="E141" s="1506"/>
      <c r="F141" s="1506"/>
      <c r="G141" s="1505"/>
      <c r="H141" s="1505"/>
      <c r="I141" s="1504"/>
      <c r="J141" s="1504"/>
    </row>
    <row r="142" spans="1:10" ht="15" customHeight="1" x14ac:dyDescent="0.25">
      <c r="A142" s="639" t="s">
        <v>42</v>
      </c>
      <c r="B142" s="1506" t="s">
        <v>41</v>
      </c>
      <c r="C142" s="1506"/>
      <c r="D142" s="1506"/>
      <c r="E142" s="1506"/>
      <c r="F142" s="1506"/>
      <c r="G142" s="1505"/>
      <c r="H142" s="1505"/>
      <c r="I142" s="1504"/>
      <c r="J142" s="1504"/>
    </row>
    <row r="143" spans="1:10" ht="30" customHeight="1" x14ac:dyDescent="0.25">
      <c r="A143" s="633" t="s">
        <v>77</v>
      </c>
      <c r="B143" s="1527" t="s">
        <v>43</v>
      </c>
      <c r="C143" s="1527"/>
      <c r="D143" s="1527"/>
      <c r="E143" s="1527"/>
      <c r="F143" s="1527"/>
      <c r="G143" s="1530">
        <f>G133+G134</f>
        <v>4320000</v>
      </c>
      <c r="H143" s="1530"/>
      <c r="I143" s="1531">
        <f>G143*5.1%</f>
        <v>220320</v>
      </c>
      <c r="J143" s="1531"/>
    </row>
    <row r="144" spans="1:10" ht="19.5" customHeight="1" x14ac:dyDescent="0.25">
      <c r="A144" s="639"/>
      <c r="B144" s="1338" t="s">
        <v>617</v>
      </c>
      <c r="C144" s="1338"/>
      <c r="D144" s="1338"/>
      <c r="E144" s="1338"/>
      <c r="F144" s="1338"/>
      <c r="G144" s="1341" t="s">
        <v>14</v>
      </c>
      <c r="H144" s="1341"/>
      <c r="I144" s="1529">
        <f>I131+I136+I143</f>
        <v>1304640</v>
      </c>
      <c r="J144" s="1529"/>
    </row>
    <row r="145" spans="1:10" ht="36" hidden="1" customHeight="1" x14ac:dyDescent="0.25">
      <c r="A145" s="642" t="s">
        <v>1</v>
      </c>
      <c r="B145" s="1501" t="s">
        <v>23</v>
      </c>
      <c r="C145" s="1528"/>
      <c r="D145" s="1528"/>
      <c r="E145" s="1528"/>
      <c r="F145" s="1502"/>
      <c r="G145" s="1501" t="s">
        <v>24</v>
      </c>
      <c r="H145" s="1502"/>
      <c r="I145" s="1501" t="s">
        <v>25</v>
      </c>
      <c r="J145" s="1502"/>
    </row>
    <row r="146" spans="1:10" ht="11.25" hidden="1" customHeight="1" x14ac:dyDescent="0.25">
      <c r="A146" s="638">
        <v>1</v>
      </c>
      <c r="B146" s="1344">
        <v>2</v>
      </c>
      <c r="C146" s="1392"/>
      <c r="D146" s="1392"/>
      <c r="E146" s="1392"/>
      <c r="F146" s="1345"/>
      <c r="G146" s="1344">
        <v>3</v>
      </c>
      <c r="H146" s="1345"/>
      <c r="I146" s="1344">
        <v>4</v>
      </c>
      <c r="J146" s="1345"/>
    </row>
    <row r="147" spans="1:10" ht="20.25" hidden="1" customHeight="1" x14ac:dyDescent="0.25">
      <c r="A147" s="633" t="s">
        <v>70</v>
      </c>
      <c r="B147" s="1484" t="s">
        <v>26</v>
      </c>
      <c r="C147" s="1485"/>
      <c r="D147" s="1485"/>
      <c r="E147" s="1485"/>
      <c r="F147" s="1486"/>
      <c r="G147" s="1362" t="s">
        <v>14</v>
      </c>
      <c r="H147" s="1363"/>
      <c r="I147" s="1487">
        <f>SUM(I149:J151)</f>
        <v>0</v>
      </c>
      <c r="J147" s="1488"/>
    </row>
    <row r="148" spans="1:10" ht="18" hidden="1" customHeight="1" x14ac:dyDescent="0.25">
      <c r="A148" s="89"/>
      <c r="B148" s="1387" t="s">
        <v>9</v>
      </c>
      <c r="C148" s="1444"/>
      <c r="D148" s="1444"/>
      <c r="E148" s="1444"/>
      <c r="F148" s="1388"/>
      <c r="G148" s="1489"/>
      <c r="H148" s="1490"/>
      <c r="I148" s="1491"/>
      <c r="J148" s="1492"/>
    </row>
    <row r="149" spans="1:10" s="41" customFormat="1" ht="20.25" hidden="1" customHeight="1" x14ac:dyDescent="0.25">
      <c r="A149" s="639" t="s">
        <v>27</v>
      </c>
      <c r="B149" s="1495" t="s">
        <v>28</v>
      </c>
      <c r="C149" s="1496"/>
      <c r="D149" s="1496"/>
      <c r="E149" s="1496"/>
      <c r="F149" s="1497"/>
      <c r="G149" s="1493">
        <f>J86</f>
        <v>0</v>
      </c>
      <c r="H149" s="1494"/>
      <c r="I149" s="1491">
        <f>G149*22%</f>
        <v>0</v>
      </c>
      <c r="J149" s="1492"/>
    </row>
    <row r="150" spans="1:10" hidden="1" x14ac:dyDescent="0.25">
      <c r="A150" s="639" t="s">
        <v>29</v>
      </c>
      <c r="B150" s="1402" t="s">
        <v>30</v>
      </c>
      <c r="C150" s="1403"/>
      <c r="D150" s="1403"/>
      <c r="E150" s="1403"/>
      <c r="F150" s="1404"/>
      <c r="G150" s="1489"/>
      <c r="H150" s="1490"/>
      <c r="I150" s="1491"/>
      <c r="J150" s="1492"/>
    </row>
    <row r="151" spans="1:10" ht="15" hidden="1" customHeight="1" x14ac:dyDescent="0.25">
      <c r="A151" s="639" t="s">
        <v>31</v>
      </c>
      <c r="B151" s="1498" t="s">
        <v>32</v>
      </c>
      <c r="C151" s="1499"/>
      <c r="D151" s="1499"/>
      <c r="E151" s="1499"/>
      <c r="F151" s="1500"/>
      <c r="G151" s="1489"/>
      <c r="H151" s="1490"/>
      <c r="I151" s="1491"/>
      <c r="J151" s="1492"/>
    </row>
    <row r="152" spans="1:10" ht="15" hidden="1" customHeight="1" x14ac:dyDescent="0.25">
      <c r="A152" s="633" t="s">
        <v>75</v>
      </c>
      <c r="B152" s="1484" t="s">
        <v>33</v>
      </c>
      <c r="C152" s="1485"/>
      <c r="D152" s="1485"/>
      <c r="E152" s="1485"/>
      <c r="F152" s="1486"/>
      <c r="G152" s="1362" t="s">
        <v>14</v>
      </c>
      <c r="H152" s="1363"/>
      <c r="I152" s="1487">
        <f>SUM(I154:J158)</f>
        <v>-4.0000000000000001E-3</v>
      </c>
      <c r="J152" s="1488"/>
    </row>
    <row r="153" spans="1:10" ht="15" hidden="1" customHeight="1" x14ac:dyDescent="0.25">
      <c r="A153" s="89"/>
      <c r="B153" s="1387" t="s">
        <v>9</v>
      </c>
      <c r="C153" s="1444"/>
      <c r="D153" s="1444"/>
      <c r="E153" s="1444"/>
      <c r="F153" s="1388"/>
      <c r="G153" s="1489"/>
      <c r="H153" s="1490"/>
      <c r="I153" s="1491"/>
      <c r="J153" s="1492"/>
    </row>
    <row r="154" spans="1:10" ht="26.25" hidden="1" customHeight="1" x14ac:dyDescent="0.25">
      <c r="A154" s="639" t="s">
        <v>34</v>
      </c>
      <c r="B154" s="1498" t="s">
        <v>35</v>
      </c>
      <c r="C154" s="1499"/>
      <c r="D154" s="1499"/>
      <c r="E154" s="1499"/>
      <c r="F154" s="1500"/>
      <c r="G154" s="1493">
        <f>G149</f>
        <v>0</v>
      </c>
      <c r="H154" s="1494"/>
      <c r="I154" s="1491">
        <f>G154*2.9%</f>
        <v>0</v>
      </c>
      <c r="J154" s="1492"/>
    </row>
    <row r="155" spans="1:10" hidden="1" x14ac:dyDescent="0.25">
      <c r="A155" s="639" t="s">
        <v>36</v>
      </c>
      <c r="B155" s="1498" t="s">
        <v>37</v>
      </c>
      <c r="C155" s="1499"/>
      <c r="D155" s="1499"/>
      <c r="E155" s="1499"/>
      <c r="F155" s="1500"/>
      <c r="G155" s="1489"/>
      <c r="H155" s="1490"/>
      <c r="I155" s="1491"/>
      <c r="J155" s="1492"/>
    </row>
    <row r="156" spans="1:10" ht="26.25" hidden="1" customHeight="1" x14ac:dyDescent="0.25">
      <c r="A156" s="639" t="s">
        <v>38</v>
      </c>
      <c r="B156" s="1498" t="s">
        <v>39</v>
      </c>
      <c r="C156" s="1499"/>
      <c r="D156" s="1499"/>
      <c r="E156" s="1499"/>
      <c r="F156" s="1500"/>
      <c r="G156" s="1493">
        <f>G149</f>
        <v>0</v>
      </c>
      <c r="H156" s="1494"/>
      <c r="I156" s="1491">
        <f>G156*0.2%-0.004</f>
        <v>-4.0000000000000001E-3</v>
      </c>
      <c r="J156" s="1492"/>
    </row>
    <row r="157" spans="1:10" s="41" customFormat="1" ht="14.25" hidden="1" customHeight="1" x14ac:dyDescent="0.25">
      <c r="A157" s="639" t="s">
        <v>40</v>
      </c>
      <c r="B157" s="1498" t="s">
        <v>41</v>
      </c>
      <c r="C157" s="1499"/>
      <c r="D157" s="1499"/>
      <c r="E157" s="1499"/>
      <c r="F157" s="1500"/>
      <c r="G157" s="1489"/>
      <c r="H157" s="1490"/>
      <c r="I157" s="1491"/>
      <c r="J157" s="1492"/>
    </row>
    <row r="158" spans="1:10" ht="15" hidden="1" customHeight="1" x14ac:dyDescent="0.25">
      <c r="A158" s="639" t="s">
        <v>42</v>
      </c>
      <c r="B158" s="1498" t="s">
        <v>41</v>
      </c>
      <c r="C158" s="1499"/>
      <c r="D158" s="1499"/>
      <c r="E158" s="1499"/>
      <c r="F158" s="1500"/>
      <c r="G158" s="1489"/>
      <c r="H158" s="1490"/>
      <c r="I158" s="1491"/>
      <c r="J158" s="1492"/>
    </row>
    <row r="159" spans="1:10" hidden="1" x14ac:dyDescent="0.25">
      <c r="A159" s="633" t="s">
        <v>77</v>
      </c>
      <c r="B159" s="1484" t="s">
        <v>43</v>
      </c>
      <c r="C159" s="1485"/>
      <c r="D159" s="1485"/>
      <c r="E159" s="1485"/>
      <c r="F159" s="1486"/>
      <c r="G159" s="1524">
        <f>G149</f>
        <v>0</v>
      </c>
      <c r="H159" s="1525"/>
      <c r="I159" s="1487">
        <f>G159*5.1%</f>
        <v>0</v>
      </c>
      <c r="J159" s="1488"/>
    </row>
    <row r="160" spans="1:10" hidden="1" x14ac:dyDescent="0.25">
      <c r="A160" s="639"/>
      <c r="B160" s="1431" t="s">
        <v>373</v>
      </c>
      <c r="C160" s="1432"/>
      <c r="D160" s="1432"/>
      <c r="E160" s="1432"/>
      <c r="F160" s="1433"/>
      <c r="G160" s="1406" t="s">
        <v>14</v>
      </c>
      <c r="H160" s="1407"/>
      <c r="I160" s="1520">
        <f>I147+I152+I159</f>
        <v>-4.0000000000000001E-3</v>
      </c>
      <c r="J160" s="1521"/>
    </row>
    <row r="161" spans="1:12" hidden="1" x14ac:dyDescent="0.25">
      <c r="A161" s="639"/>
      <c r="B161" s="1431" t="s">
        <v>506</v>
      </c>
      <c r="C161" s="1432"/>
      <c r="D161" s="1432"/>
      <c r="E161" s="1432"/>
      <c r="F161" s="1433"/>
      <c r="G161" s="636"/>
      <c r="H161" s="637"/>
      <c r="I161" s="1520">
        <v>0</v>
      </c>
      <c r="J161" s="1521"/>
    </row>
    <row r="162" spans="1:12" s="41" customFormat="1" ht="18.75" customHeight="1" x14ac:dyDescent="0.25">
      <c r="A162" s="100"/>
      <c r="B162" s="1526" t="s">
        <v>719</v>
      </c>
      <c r="C162" s="1526"/>
      <c r="D162" s="1526"/>
      <c r="E162" s="1526"/>
      <c r="F162" s="1526"/>
      <c r="G162" s="1522" t="s">
        <v>14</v>
      </c>
      <c r="H162" s="1522"/>
      <c r="I162" s="1523">
        <f>I144+I160+I161</f>
        <v>1304639.996</v>
      </c>
      <c r="J162" s="1523"/>
      <c r="K162" s="1474"/>
      <c r="L162" s="1474"/>
    </row>
    <row r="163" spans="1:12" s="41" customFormat="1" ht="38.25" hidden="1" customHeight="1" x14ac:dyDescent="0.2">
      <c r="A163" s="1477" t="s">
        <v>414</v>
      </c>
      <c r="B163" s="1477"/>
      <c r="C163" s="1477"/>
      <c r="D163" s="1477"/>
      <c r="E163" s="1477"/>
      <c r="F163" s="1477"/>
      <c r="G163" s="1477"/>
      <c r="H163" s="1477"/>
      <c r="I163" s="1477"/>
      <c r="J163" s="1477"/>
    </row>
    <row r="164" spans="1:12" ht="19.5" hidden="1" customHeight="1" x14ac:dyDescent="0.25">
      <c r="A164" s="1480" t="s">
        <v>542</v>
      </c>
      <c r="B164" s="1480"/>
      <c r="C164" s="1480"/>
      <c r="D164" s="1480"/>
      <c r="E164" s="1480"/>
      <c r="F164" s="1480"/>
      <c r="G164" s="1480"/>
      <c r="H164" s="1480"/>
      <c r="I164" s="1480"/>
      <c r="J164" s="1480"/>
      <c r="K164" s="11"/>
      <c r="L164" s="11"/>
    </row>
    <row r="165" spans="1:12" ht="15" hidden="1" customHeight="1" x14ac:dyDescent="0.25">
      <c r="A165" s="80" t="s">
        <v>80</v>
      </c>
      <c r="B165" s="81"/>
      <c r="C165" s="307">
        <v>350</v>
      </c>
      <c r="D165" s="307"/>
      <c r="E165" s="307"/>
      <c r="F165" s="85"/>
      <c r="G165" s="85"/>
      <c r="H165" s="85"/>
      <c r="I165" s="85"/>
      <c r="J165" s="85"/>
      <c r="K165" s="11"/>
      <c r="L165" s="11"/>
    </row>
    <row r="166" spans="1:12" ht="16.5" hidden="1" customHeight="1" x14ac:dyDescent="0.25">
      <c r="A166" s="80" t="s">
        <v>81</v>
      </c>
      <c r="B166" s="81"/>
      <c r="C166" s="81"/>
      <c r="D166" s="81"/>
      <c r="E166" s="86"/>
      <c r="F166" s="87"/>
      <c r="G166" s="87"/>
      <c r="H166" s="87"/>
      <c r="I166" s="87"/>
      <c r="J166" s="87"/>
      <c r="K166" s="11"/>
      <c r="L166" s="11"/>
    </row>
    <row r="167" spans="1:12" ht="36" hidden="1" customHeight="1" x14ac:dyDescent="0.25">
      <c r="A167" s="638" t="s">
        <v>1</v>
      </c>
      <c r="B167" s="1344" t="s">
        <v>44</v>
      </c>
      <c r="C167" s="1392"/>
      <c r="D167" s="1345"/>
      <c r="E167" s="1344" t="s">
        <v>45</v>
      </c>
      <c r="F167" s="1345"/>
      <c r="G167" s="1344" t="s">
        <v>46</v>
      </c>
      <c r="H167" s="1345"/>
      <c r="I167" s="1344" t="s">
        <v>102</v>
      </c>
      <c r="J167" s="1345"/>
      <c r="K167" s="11"/>
      <c r="L167" s="11"/>
    </row>
    <row r="168" spans="1:12" ht="16.5" hidden="1" customHeight="1" x14ac:dyDescent="0.25">
      <c r="A168" s="638">
        <v>1</v>
      </c>
      <c r="B168" s="1344">
        <v>2</v>
      </c>
      <c r="C168" s="1392"/>
      <c r="D168" s="1345"/>
      <c r="E168" s="1344">
        <v>3</v>
      </c>
      <c r="F168" s="1345"/>
      <c r="G168" s="1344">
        <v>4</v>
      </c>
      <c r="H168" s="1345"/>
      <c r="I168" s="1344">
        <v>5</v>
      </c>
      <c r="J168" s="1345"/>
      <c r="K168" s="11"/>
      <c r="L168" s="11"/>
    </row>
    <row r="169" spans="1:12" ht="132" hidden="1" customHeight="1" x14ac:dyDescent="0.25">
      <c r="A169" s="1398" t="s">
        <v>545</v>
      </c>
      <c r="B169" s="1399"/>
      <c r="C169" s="1399"/>
      <c r="D169" s="1399"/>
      <c r="E169" s="1399"/>
      <c r="F169" s="1399"/>
      <c r="G169" s="1399"/>
      <c r="H169" s="1399"/>
      <c r="I169" s="1399"/>
      <c r="J169" s="1400"/>
    </row>
    <row r="170" spans="1:12" ht="40.5" hidden="1" customHeight="1" x14ac:dyDescent="0.25">
      <c r="A170" s="639">
        <v>1</v>
      </c>
      <c r="B170" s="1322" t="s">
        <v>543</v>
      </c>
      <c r="C170" s="1322"/>
      <c r="D170" s="1322"/>
      <c r="E170" s="1387">
        <v>0</v>
      </c>
      <c r="F170" s="1388"/>
      <c r="G170" s="1478">
        <v>0</v>
      </c>
      <c r="H170" s="1479"/>
      <c r="I170" s="1478">
        <v>0</v>
      </c>
      <c r="J170" s="1479"/>
    </row>
    <row r="171" spans="1:12" ht="33.75" hidden="1" customHeight="1" x14ac:dyDescent="0.25">
      <c r="A171" s="639">
        <v>2</v>
      </c>
      <c r="B171" s="1447" t="s">
        <v>544</v>
      </c>
      <c r="C171" s="1448"/>
      <c r="D171" s="1449"/>
      <c r="E171" s="1387">
        <v>0</v>
      </c>
      <c r="F171" s="1425"/>
      <c r="G171" s="1387">
        <v>0</v>
      </c>
      <c r="H171" s="1425"/>
      <c r="I171" s="1478">
        <v>0</v>
      </c>
      <c r="J171" s="1483"/>
    </row>
    <row r="172" spans="1:12" hidden="1" x14ac:dyDescent="0.25">
      <c r="A172" s="635"/>
      <c r="B172" s="1431" t="s">
        <v>13</v>
      </c>
      <c r="C172" s="1432"/>
      <c r="D172" s="1433"/>
      <c r="E172" s="1406" t="s">
        <v>14</v>
      </c>
      <c r="F172" s="1407"/>
      <c r="G172" s="1406" t="s">
        <v>14</v>
      </c>
      <c r="H172" s="1407"/>
      <c r="I172" s="1481">
        <f>SUM(I170:J171)</f>
        <v>0</v>
      </c>
      <c r="J172" s="1482"/>
    </row>
    <row r="173" spans="1:12" s="41" customFormat="1" ht="21" hidden="1" customHeight="1" x14ac:dyDescent="0.25">
      <c r="A173" s="1480" t="s">
        <v>362</v>
      </c>
      <c r="B173" s="1480"/>
      <c r="C173" s="1480"/>
      <c r="D173" s="1480"/>
      <c r="E173" s="1480"/>
      <c r="F173" s="1480"/>
      <c r="G173" s="1480"/>
      <c r="H173" s="1480"/>
      <c r="I173" s="1480"/>
      <c r="J173" s="1480"/>
    </row>
    <row r="174" spans="1:12" s="41" customFormat="1" ht="21" hidden="1" customHeight="1" x14ac:dyDescent="0.25">
      <c r="A174" s="80" t="s">
        <v>80</v>
      </c>
      <c r="B174" s="81"/>
      <c r="C174" s="307">
        <v>851</v>
      </c>
      <c r="D174" s="307">
        <v>852</v>
      </c>
      <c r="E174" s="307">
        <v>853</v>
      </c>
      <c r="F174" s="85"/>
      <c r="G174" s="85"/>
      <c r="H174" s="85"/>
      <c r="I174" s="85"/>
      <c r="J174" s="85"/>
      <c r="K174" s="42"/>
      <c r="L174" s="43"/>
    </row>
    <row r="175" spans="1:12" s="41" customFormat="1" ht="15.75" hidden="1" x14ac:dyDescent="0.25">
      <c r="A175" s="80" t="s">
        <v>81</v>
      </c>
      <c r="B175" s="81"/>
      <c r="C175" s="81"/>
      <c r="D175" s="81"/>
      <c r="E175" s="86"/>
      <c r="F175" s="87"/>
      <c r="G175" s="87"/>
      <c r="H175" s="87"/>
      <c r="I175" s="87"/>
      <c r="J175" s="87"/>
    </row>
    <row r="176" spans="1:12" ht="39.75" hidden="1" customHeight="1" x14ac:dyDescent="0.25">
      <c r="A176" s="638" t="s">
        <v>1</v>
      </c>
      <c r="B176" s="1346" t="s">
        <v>15</v>
      </c>
      <c r="C176" s="1346"/>
      <c r="D176" s="1346"/>
      <c r="E176" s="1346" t="s">
        <v>47</v>
      </c>
      <c r="F176" s="1346"/>
      <c r="G176" s="1346" t="s">
        <v>48</v>
      </c>
      <c r="H176" s="1346"/>
      <c r="I176" s="1346" t="s">
        <v>103</v>
      </c>
      <c r="J176" s="1346"/>
    </row>
    <row r="177" spans="1:12" ht="15" hidden="1" customHeight="1" x14ac:dyDescent="0.25">
      <c r="A177" s="638">
        <v>1</v>
      </c>
      <c r="B177" s="1346">
        <v>2</v>
      </c>
      <c r="C177" s="1346"/>
      <c r="D177" s="1346"/>
      <c r="E177" s="1346">
        <v>3</v>
      </c>
      <c r="F177" s="1346"/>
      <c r="G177" s="1346">
        <v>4</v>
      </c>
      <c r="H177" s="1346"/>
      <c r="I177" s="1346">
        <v>5</v>
      </c>
      <c r="J177" s="1346"/>
    </row>
    <row r="178" spans="1:12" ht="20.25" hidden="1" customHeight="1" x14ac:dyDescent="0.25">
      <c r="A178" s="1512" t="s">
        <v>70</v>
      </c>
      <c r="B178" s="1517" t="s">
        <v>289</v>
      </c>
      <c r="C178" s="1518"/>
      <c r="D178" s="640" t="s">
        <v>460</v>
      </c>
      <c r="E178" s="1519"/>
      <c r="F178" s="1519"/>
      <c r="G178" s="1516">
        <v>2.1999999999999999E-2</v>
      </c>
      <c r="H178" s="1516"/>
      <c r="I178" s="1468">
        <v>0</v>
      </c>
      <c r="J178" s="1468"/>
    </row>
    <row r="179" spans="1:12" ht="17.25" hidden="1" customHeight="1" x14ac:dyDescent="0.25">
      <c r="A179" s="1513"/>
      <c r="B179" s="1518"/>
      <c r="C179" s="1518"/>
      <c r="D179" s="641" t="s">
        <v>461</v>
      </c>
      <c r="E179" s="1519"/>
      <c r="F179" s="1519"/>
      <c r="G179" s="1516">
        <v>2.1999999999999999E-2</v>
      </c>
      <c r="H179" s="1516"/>
      <c r="I179" s="1468">
        <v>0</v>
      </c>
      <c r="J179" s="1468"/>
    </row>
    <row r="180" spans="1:12" ht="18" hidden="1" customHeight="1" x14ac:dyDescent="0.25">
      <c r="A180" s="639" t="s">
        <v>75</v>
      </c>
      <c r="B180" s="1402" t="s">
        <v>291</v>
      </c>
      <c r="C180" s="1403"/>
      <c r="D180" s="1404"/>
      <c r="E180" s="1445">
        <v>0</v>
      </c>
      <c r="F180" s="1445"/>
      <c r="G180" s="1445">
        <v>0</v>
      </c>
      <c r="H180" s="1445"/>
      <c r="I180" s="1468">
        <v>0</v>
      </c>
      <c r="J180" s="1468"/>
    </row>
    <row r="181" spans="1:12" ht="31.5" hidden="1" customHeight="1" x14ac:dyDescent="0.25">
      <c r="A181" s="639" t="s">
        <v>77</v>
      </c>
      <c r="B181" s="1402" t="s">
        <v>292</v>
      </c>
      <c r="C181" s="1403"/>
      <c r="D181" s="1404"/>
      <c r="E181" s="1445">
        <v>0</v>
      </c>
      <c r="F181" s="1445"/>
      <c r="G181" s="1445">
        <v>0</v>
      </c>
      <c r="H181" s="1445"/>
      <c r="I181" s="1468">
        <v>0</v>
      </c>
      <c r="J181" s="1468"/>
    </row>
    <row r="182" spans="1:12" ht="31.5" hidden="1" customHeight="1" x14ac:dyDescent="0.25">
      <c r="A182" s="639" t="s">
        <v>86</v>
      </c>
      <c r="B182" s="1402" t="s">
        <v>290</v>
      </c>
      <c r="C182" s="1403"/>
      <c r="D182" s="1404"/>
      <c r="E182" s="1387">
        <v>0</v>
      </c>
      <c r="F182" s="1388"/>
      <c r="G182" s="1387">
        <v>0</v>
      </c>
      <c r="H182" s="1388"/>
      <c r="I182" s="1514">
        <v>0</v>
      </c>
      <c r="J182" s="1515"/>
    </row>
    <row r="183" spans="1:12" ht="15.75" hidden="1" customHeight="1" x14ac:dyDescent="0.25">
      <c r="A183" s="635"/>
      <c r="B183" s="1338" t="s">
        <v>13</v>
      </c>
      <c r="C183" s="1338"/>
      <c r="D183" s="1338"/>
      <c r="E183" s="1341" t="s">
        <v>74</v>
      </c>
      <c r="F183" s="1341"/>
      <c r="G183" s="1341" t="s">
        <v>14</v>
      </c>
      <c r="H183" s="1341"/>
      <c r="I183" s="1347">
        <f>SUM(I178:J182)</f>
        <v>0</v>
      </c>
      <c r="J183" s="1341"/>
    </row>
    <row r="184" spans="1:12" ht="27" hidden="1" customHeight="1" x14ac:dyDescent="0.25">
      <c r="A184" s="1480" t="s">
        <v>85</v>
      </c>
      <c r="B184" s="1480"/>
      <c r="C184" s="1480"/>
      <c r="D184" s="1480"/>
      <c r="E184" s="1480"/>
      <c r="F184" s="1480"/>
      <c r="G184" s="1480"/>
      <c r="H184" s="1480"/>
      <c r="I184" s="1480"/>
      <c r="J184" s="1480"/>
      <c r="K184" s="1474"/>
      <c r="L184" s="1474"/>
    </row>
    <row r="185" spans="1:12" s="41" customFormat="1" ht="15.75" hidden="1" customHeight="1" x14ac:dyDescent="0.25">
      <c r="A185" s="80" t="s">
        <v>80</v>
      </c>
      <c r="B185" s="81"/>
      <c r="C185" s="307"/>
      <c r="D185" s="307"/>
      <c r="E185" s="307"/>
      <c r="F185" s="85"/>
      <c r="G185" s="85"/>
      <c r="H185" s="85"/>
      <c r="I185" s="85"/>
      <c r="J185" s="85"/>
      <c r="K185" s="42"/>
      <c r="L185" s="43"/>
    </row>
    <row r="186" spans="1:12" s="41" customFormat="1" ht="15.75" hidden="1" x14ac:dyDescent="0.25">
      <c r="A186" s="80" t="s">
        <v>81</v>
      </c>
      <c r="B186" s="81"/>
      <c r="C186" s="81"/>
      <c r="D186" s="81"/>
      <c r="E186" s="86"/>
      <c r="F186" s="87"/>
      <c r="G186" s="87"/>
      <c r="H186" s="87"/>
      <c r="I186" s="87"/>
      <c r="J186" s="87"/>
    </row>
    <row r="187" spans="1:12" ht="24.75" hidden="1" customHeight="1" x14ac:dyDescent="0.25">
      <c r="A187" s="638" t="s">
        <v>1</v>
      </c>
      <c r="B187" s="1346" t="s">
        <v>44</v>
      </c>
      <c r="C187" s="1346"/>
      <c r="D187" s="1346"/>
      <c r="E187" s="1346" t="s">
        <v>45</v>
      </c>
      <c r="F187" s="1346"/>
      <c r="G187" s="1346" t="s">
        <v>46</v>
      </c>
      <c r="H187" s="1346"/>
      <c r="I187" s="1346" t="s">
        <v>102</v>
      </c>
      <c r="J187" s="1346"/>
      <c r="K187" s="11"/>
      <c r="L187" s="11"/>
    </row>
    <row r="188" spans="1:12" ht="14.25" hidden="1" customHeight="1" x14ac:dyDescent="0.25">
      <c r="A188" s="638">
        <v>1</v>
      </c>
      <c r="B188" s="1346">
        <v>2</v>
      </c>
      <c r="C188" s="1346"/>
      <c r="D188" s="1346"/>
      <c r="E188" s="1346">
        <v>3</v>
      </c>
      <c r="F188" s="1346"/>
      <c r="G188" s="1346">
        <v>4</v>
      </c>
      <c r="H188" s="1346"/>
      <c r="I188" s="1346">
        <v>5</v>
      </c>
      <c r="J188" s="1346"/>
      <c r="K188" s="663"/>
      <c r="L188" s="664"/>
    </row>
    <row r="189" spans="1:12" ht="15" hidden="1" customHeight="1" x14ac:dyDescent="0.25">
      <c r="A189" s="639"/>
      <c r="B189" s="1387"/>
      <c r="C189" s="1444"/>
      <c r="D189" s="1388"/>
      <c r="E189" s="1387"/>
      <c r="F189" s="1388"/>
      <c r="G189" s="1387"/>
      <c r="H189" s="1388"/>
      <c r="I189" s="1387"/>
      <c r="J189" s="1388"/>
      <c r="K189" s="11"/>
      <c r="L189" s="11"/>
    </row>
    <row r="190" spans="1:12" ht="17.25" hidden="1" customHeight="1" x14ac:dyDescent="0.25">
      <c r="A190" s="635"/>
      <c r="B190" s="1338" t="s">
        <v>13</v>
      </c>
      <c r="C190" s="1338"/>
      <c r="D190" s="1338"/>
      <c r="E190" s="1341" t="s">
        <v>14</v>
      </c>
      <c r="F190" s="1341"/>
      <c r="G190" s="1341" t="s">
        <v>14</v>
      </c>
      <c r="H190" s="1341"/>
      <c r="I190" s="1341"/>
      <c r="J190" s="1341"/>
      <c r="K190" s="11"/>
      <c r="L190" s="11"/>
    </row>
    <row r="191" spans="1:12" ht="16.5" hidden="1" customHeight="1" x14ac:dyDescent="0.25">
      <c r="A191" s="1446" t="s">
        <v>91</v>
      </c>
      <c r="B191" s="1446"/>
      <c r="C191" s="1446"/>
      <c r="D191" s="1446"/>
      <c r="E191" s="1446"/>
      <c r="F191" s="1446"/>
      <c r="G191" s="1446"/>
      <c r="H191" s="1446"/>
      <c r="I191" s="1446"/>
      <c r="J191" s="1446"/>
      <c r="K191" s="11"/>
      <c r="L191" s="11"/>
    </row>
    <row r="192" spans="1:12" ht="18" hidden="1" customHeight="1" x14ac:dyDescent="0.25">
      <c r="A192" s="80" t="s">
        <v>80</v>
      </c>
      <c r="B192" s="81"/>
      <c r="C192" s="307">
        <v>244</v>
      </c>
      <c r="D192" s="307"/>
      <c r="E192" s="307"/>
      <c r="F192" s="85"/>
      <c r="G192" s="85"/>
      <c r="H192" s="85"/>
      <c r="I192" s="85"/>
      <c r="J192" s="85"/>
      <c r="K192" s="11"/>
      <c r="L192" s="11"/>
    </row>
    <row r="193" spans="1:13" ht="18" hidden="1" customHeight="1" x14ac:dyDescent="0.25">
      <c r="A193" s="80" t="s">
        <v>81</v>
      </c>
      <c r="B193" s="81"/>
      <c r="C193" s="81"/>
      <c r="D193" s="81"/>
      <c r="E193" s="86" t="s">
        <v>82</v>
      </c>
      <c r="F193" s="87"/>
      <c r="G193" s="86"/>
      <c r="H193" s="87"/>
      <c r="I193" s="87"/>
      <c r="J193" s="87"/>
      <c r="K193" s="11"/>
      <c r="L193" s="11"/>
    </row>
    <row r="194" spans="1:13" ht="18" hidden="1" customHeight="1" x14ac:dyDescent="0.25">
      <c r="A194" s="1442" t="s">
        <v>507</v>
      </c>
      <c r="B194" s="1442"/>
      <c r="C194" s="1442"/>
      <c r="D194" s="1442"/>
      <c r="E194" s="1442"/>
      <c r="F194" s="1442"/>
      <c r="G194" s="1442"/>
      <c r="H194" s="1442"/>
      <c r="I194" s="1442"/>
      <c r="J194" s="1442"/>
      <c r="K194" s="11"/>
      <c r="L194" s="11"/>
    </row>
    <row r="195" spans="1:13" ht="30" hidden="1" customHeight="1" x14ac:dyDescent="0.25">
      <c r="A195" s="638" t="s">
        <v>1</v>
      </c>
      <c r="B195" s="1346" t="s">
        <v>44</v>
      </c>
      <c r="C195" s="1346"/>
      <c r="D195" s="1346"/>
      <c r="E195" s="1346" t="s">
        <v>45</v>
      </c>
      <c r="F195" s="1346"/>
      <c r="G195" s="1346" t="s">
        <v>46</v>
      </c>
      <c r="H195" s="1346"/>
      <c r="I195" s="1346" t="s">
        <v>102</v>
      </c>
      <c r="J195" s="1346"/>
      <c r="K195" s="135"/>
      <c r="L195" s="11"/>
    </row>
    <row r="196" spans="1:13" ht="17.25" hidden="1" customHeight="1" x14ac:dyDescent="0.25">
      <c r="A196" s="638">
        <v>1</v>
      </c>
      <c r="B196" s="1346">
        <v>2</v>
      </c>
      <c r="C196" s="1346"/>
      <c r="D196" s="1346"/>
      <c r="E196" s="1346">
        <v>3</v>
      </c>
      <c r="F196" s="1346"/>
      <c r="G196" s="1346">
        <v>4</v>
      </c>
      <c r="H196" s="1346"/>
      <c r="I196" s="1346">
        <v>5</v>
      </c>
      <c r="J196" s="1346"/>
      <c r="K196" s="11"/>
      <c r="L196" s="11"/>
    </row>
    <row r="197" spans="1:13" ht="21.75" hidden="1" customHeight="1" x14ac:dyDescent="0.25">
      <c r="A197" s="639" t="s">
        <v>70</v>
      </c>
      <c r="B197" s="1402" t="s">
        <v>508</v>
      </c>
      <c r="C197" s="1403"/>
      <c r="D197" s="1404"/>
      <c r="E197" s="1387">
        <v>0</v>
      </c>
      <c r="F197" s="1388"/>
      <c r="G197" s="1387">
        <v>1</v>
      </c>
      <c r="H197" s="1388"/>
      <c r="I197" s="1475">
        <f>E197*G197</f>
        <v>0</v>
      </c>
      <c r="J197" s="1476"/>
      <c r="K197" s="11"/>
      <c r="L197" s="136"/>
    </row>
    <row r="198" spans="1:13" ht="38.25" hidden="1" customHeight="1" x14ac:dyDescent="0.25">
      <c r="A198" s="639" t="s">
        <v>75</v>
      </c>
      <c r="B198" s="1447" t="s">
        <v>487</v>
      </c>
      <c r="C198" s="1448"/>
      <c r="D198" s="1449"/>
      <c r="E198" s="1387">
        <v>0</v>
      </c>
      <c r="F198" s="1388"/>
      <c r="G198" s="1387">
        <v>2</v>
      </c>
      <c r="H198" s="1388"/>
      <c r="I198" s="1475">
        <f>E198*G198</f>
        <v>0</v>
      </c>
      <c r="J198" s="1476"/>
      <c r="K198" s="11"/>
      <c r="L198" s="136"/>
    </row>
    <row r="199" spans="1:13" ht="15" hidden="1" customHeight="1" x14ac:dyDescent="0.25">
      <c r="A199" s="237"/>
      <c r="B199" s="1509" t="s">
        <v>13</v>
      </c>
      <c r="C199" s="1509"/>
      <c r="D199" s="1509"/>
      <c r="E199" s="1510" t="s">
        <v>14</v>
      </c>
      <c r="F199" s="1510"/>
      <c r="G199" s="1510" t="s">
        <v>14</v>
      </c>
      <c r="H199" s="1510"/>
      <c r="I199" s="1511">
        <f>I197+I198</f>
        <v>0</v>
      </c>
      <c r="J199" s="1511"/>
      <c r="K199" s="11"/>
      <c r="L199" s="11"/>
      <c r="M199" s="14"/>
    </row>
    <row r="200" spans="1:13" ht="22.5" hidden="1" customHeight="1" x14ac:dyDescent="0.25">
      <c r="A200" s="1446" t="s">
        <v>49</v>
      </c>
      <c r="B200" s="1446"/>
      <c r="C200" s="1446"/>
      <c r="D200" s="1446"/>
      <c r="E200" s="1446"/>
      <c r="F200" s="1446"/>
      <c r="G200" s="1446"/>
      <c r="H200" s="1446"/>
      <c r="I200" s="1446"/>
      <c r="J200" s="1446"/>
      <c r="K200" s="11"/>
      <c r="L200" s="11"/>
      <c r="M200" s="14"/>
    </row>
    <row r="201" spans="1:13" ht="19.5" hidden="1" customHeight="1" x14ac:dyDescent="0.25">
      <c r="A201" s="80" t="s">
        <v>80</v>
      </c>
      <c r="B201" s="81"/>
      <c r="C201" s="307">
        <v>244</v>
      </c>
      <c r="D201" s="307"/>
      <c r="E201" s="307"/>
      <c r="F201" s="85"/>
      <c r="G201" s="85"/>
      <c r="H201" s="85"/>
      <c r="I201" s="85"/>
      <c r="J201" s="85"/>
      <c r="K201" s="11"/>
      <c r="L201" s="11"/>
      <c r="M201" s="14"/>
    </row>
    <row r="202" spans="1:13" ht="17.25" hidden="1" customHeight="1" x14ac:dyDescent="0.25">
      <c r="A202" s="80" t="s">
        <v>81</v>
      </c>
      <c r="B202" s="81"/>
      <c r="C202" s="81"/>
      <c r="D202" s="81"/>
      <c r="E202" s="86" t="s">
        <v>82</v>
      </c>
      <c r="F202" s="87"/>
      <c r="G202" s="86" t="s">
        <v>195</v>
      </c>
      <c r="H202" s="87"/>
      <c r="I202" s="87"/>
      <c r="J202" s="87"/>
      <c r="K202" s="11"/>
      <c r="L202" s="11"/>
      <c r="M202" s="14"/>
    </row>
    <row r="203" spans="1:13" ht="17.25" hidden="1" customHeight="1" x14ac:dyDescent="0.25">
      <c r="A203" s="1446" t="s">
        <v>294</v>
      </c>
      <c r="B203" s="1446"/>
      <c r="C203" s="1446"/>
      <c r="D203" s="1446"/>
      <c r="E203" s="1446"/>
      <c r="F203" s="1446"/>
      <c r="G203" s="1446"/>
      <c r="H203" s="1446"/>
      <c r="I203" s="1446"/>
      <c r="J203" s="1446"/>
      <c r="K203" s="11"/>
      <c r="L203" s="11"/>
      <c r="M203" s="14"/>
    </row>
    <row r="204" spans="1:13" ht="39.75" hidden="1" customHeight="1" x14ac:dyDescent="0.25">
      <c r="A204" s="638" t="s">
        <v>1</v>
      </c>
      <c r="B204" s="1346" t="s">
        <v>15</v>
      </c>
      <c r="C204" s="1346"/>
      <c r="D204" s="1346"/>
      <c r="E204" s="638" t="s">
        <v>50</v>
      </c>
      <c r="F204" s="638" t="s">
        <v>51</v>
      </c>
      <c r="G204" s="1346" t="s">
        <v>52</v>
      </c>
      <c r="H204" s="1346"/>
      <c r="I204" s="1346" t="s">
        <v>104</v>
      </c>
      <c r="J204" s="1346"/>
      <c r="K204" s="11"/>
      <c r="L204" s="11"/>
      <c r="M204" s="14"/>
    </row>
    <row r="205" spans="1:13" ht="15" hidden="1" customHeight="1" x14ac:dyDescent="0.25">
      <c r="A205" s="638">
        <v>1</v>
      </c>
      <c r="B205" s="1346">
        <v>2</v>
      </c>
      <c r="C205" s="1346"/>
      <c r="D205" s="1346"/>
      <c r="E205" s="638">
        <v>3</v>
      </c>
      <c r="F205" s="638">
        <v>4</v>
      </c>
      <c r="G205" s="1346">
        <v>5</v>
      </c>
      <c r="H205" s="1346"/>
      <c r="I205" s="1346">
        <v>6</v>
      </c>
      <c r="J205" s="1346"/>
      <c r="K205" s="11"/>
      <c r="L205" s="11"/>
      <c r="M205" s="14"/>
    </row>
    <row r="206" spans="1:13" ht="14.25" hidden="1" customHeight="1" x14ac:dyDescent="0.25">
      <c r="A206" s="633">
        <v>1</v>
      </c>
      <c r="B206" s="1357" t="s">
        <v>341</v>
      </c>
      <c r="C206" s="1358"/>
      <c r="D206" s="1359"/>
      <c r="E206" s="146" t="s">
        <v>74</v>
      </c>
      <c r="F206" s="146" t="s">
        <v>74</v>
      </c>
      <c r="G206" s="1469" t="s">
        <v>74</v>
      </c>
      <c r="H206" s="1469"/>
      <c r="I206" s="1470">
        <f>I207+I208+I209+I210</f>
        <v>0</v>
      </c>
      <c r="J206" s="1470"/>
      <c r="K206" s="11"/>
      <c r="L206" s="11"/>
      <c r="M206" s="14"/>
    </row>
    <row r="207" spans="1:13" ht="15" hidden="1" customHeight="1" x14ac:dyDescent="0.25">
      <c r="A207" s="639" t="s">
        <v>342</v>
      </c>
      <c r="B207" s="1386" t="s">
        <v>93</v>
      </c>
      <c r="C207" s="1386"/>
      <c r="D207" s="1386"/>
      <c r="E207" s="639">
        <v>6</v>
      </c>
      <c r="F207" s="639">
        <v>12</v>
      </c>
      <c r="G207" s="1471">
        <v>0</v>
      </c>
      <c r="H207" s="1471"/>
      <c r="I207" s="1468">
        <v>0</v>
      </c>
      <c r="J207" s="1468"/>
      <c r="K207" s="13"/>
      <c r="L207" s="13"/>
      <c r="M207" s="14"/>
    </row>
    <row r="208" spans="1:13" hidden="1" x14ac:dyDescent="0.25">
      <c r="A208" s="639" t="s">
        <v>343</v>
      </c>
      <c r="B208" s="1386" t="s">
        <v>95</v>
      </c>
      <c r="C208" s="1386"/>
      <c r="D208" s="1386"/>
      <c r="E208" s="639"/>
      <c r="F208" s="639"/>
      <c r="G208" s="1472"/>
      <c r="H208" s="1472"/>
      <c r="I208" s="1468"/>
      <c r="J208" s="1468"/>
      <c r="M208" s="14"/>
    </row>
    <row r="209" spans="1:14" hidden="1" x14ac:dyDescent="0.25">
      <c r="A209" s="639" t="s">
        <v>344</v>
      </c>
      <c r="B209" s="1386" t="s">
        <v>96</v>
      </c>
      <c r="C209" s="1386"/>
      <c r="D209" s="1386"/>
      <c r="E209" s="639"/>
      <c r="F209" s="639"/>
      <c r="G209" s="1467"/>
      <c r="H209" s="1467"/>
      <c r="I209" s="1473"/>
      <c r="J209" s="1473"/>
      <c r="M209" s="14"/>
    </row>
    <row r="210" spans="1:14" hidden="1" x14ac:dyDescent="0.25">
      <c r="A210" s="639" t="s">
        <v>264</v>
      </c>
      <c r="B210" s="1386" t="s">
        <v>199</v>
      </c>
      <c r="C210" s="1386"/>
      <c r="D210" s="1386"/>
      <c r="E210" s="639"/>
      <c r="F210" s="639"/>
      <c r="G210" s="1467"/>
      <c r="H210" s="1467"/>
      <c r="I210" s="1468"/>
      <c r="J210" s="1468"/>
      <c r="M210" s="14"/>
    </row>
    <row r="211" spans="1:14" hidden="1" x14ac:dyDescent="0.25">
      <c r="A211" s="633">
        <v>2</v>
      </c>
      <c r="B211" s="1357" t="s">
        <v>345</v>
      </c>
      <c r="C211" s="1358"/>
      <c r="D211" s="1359"/>
      <c r="E211" s="146" t="s">
        <v>74</v>
      </c>
      <c r="F211" s="146" t="s">
        <v>74</v>
      </c>
      <c r="G211" s="1469" t="s">
        <v>74</v>
      </c>
      <c r="H211" s="1469"/>
      <c r="I211" s="1470">
        <f>I212</f>
        <v>0</v>
      </c>
      <c r="J211" s="1470"/>
      <c r="M211" s="14"/>
    </row>
    <row r="212" spans="1:14" s="41" customFormat="1" ht="19.5" hidden="1" customHeight="1" x14ac:dyDescent="0.25">
      <c r="A212" s="639" t="s">
        <v>346</v>
      </c>
      <c r="B212" s="1386" t="s">
        <v>199</v>
      </c>
      <c r="C212" s="1386"/>
      <c r="D212" s="1386"/>
      <c r="E212" s="639">
        <v>1</v>
      </c>
      <c r="F212" s="639">
        <v>10</v>
      </c>
      <c r="G212" s="1467">
        <v>25000</v>
      </c>
      <c r="H212" s="1467"/>
      <c r="I212" s="1468">
        <v>0</v>
      </c>
      <c r="J212" s="1468"/>
    </row>
    <row r="213" spans="1:14" ht="16.5" hidden="1" customHeight="1" x14ac:dyDescent="0.25">
      <c r="A213" s="639"/>
      <c r="B213" s="1338" t="s">
        <v>325</v>
      </c>
      <c r="C213" s="1338"/>
      <c r="D213" s="1338"/>
      <c r="E213" s="635" t="s">
        <v>14</v>
      </c>
      <c r="F213" s="635" t="s">
        <v>14</v>
      </c>
      <c r="G213" s="1341" t="s">
        <v>14</v>
      </c>
      <c r="H213" s="1341"/>
      <c r="I213" s="1347">
        <f>I206+I211</f>
        <v>0</v>
      </c>
      <c r="J213" s="1341"/>
      <c r="K213" s="124"/>
      <c r="N213" s="126"/>
    </row>
    <row r="214" spans="1:14" ht="12" hidden="1" customHeight="1" x14ac:dyDescent="0.25">
      <c r="A214" s="88"/>
      <c r="B214" s="81"/>
      <c r="C214" s="81"/>
      <c r="D214" s="81"/>
      <c r="E214" s="81"/>
      <c r="F214" s="81"/>
      <c r="G214" s="81"/>
      <c r="H214" s="81"/>
      <c r="I214" s="81"/>
      <c r="J214" s="81"/>
      <c r="K214" s="14"/>
      <c r="M214" s="73"/>
    </row>
    <row r="215" spans="1:14" ht="18.75" hidden="1" customHeight="1" x14ac:dyDescent="0.25">
      <c r="A215" s="1446" t="s">
        <v>278</v>
      </c>
      <c r="B215" s="1446"/>
      <c r="C215" s="1446"/>
      <c r="D215" s="1446"/>
      <c r="E215" s="1446"/>
      <c r="F215" s="1446"/>
      <c r="G215" s="1446"/>
      <c r="H215" s="1446"/>
      <c r="I215" s="1446"/>
      <c r="J215" s="1446"/>
      <c r="K215" s="14"/>
      <c r="M215" s="73"/>
    </row>
    <row r="216" spans="1:14" ht="12.75" hidden="1" customHeight="1" x14ac:dyDescent="0.25">
      <c r="A216" s="638" t="s">
        <v>1</v>
      </c>
      <c r="B216" s="1346" t="s">
        <v>15</v>
      </c>
      <c r="C216" s="1346"/>
      <c r="D216" s="1346"/>
      <c r="E216" s="1346" t="s">
        <v>53</v>
      </c>
      <c r="F216" s="1346"/>
      <c r="G216" s="1346" t="s">
        <v>54</v>
      </c>
      <c r="H216" s="1346"/>
      <c r="I216" s="1346" t="s">
        <v>260</v>
      </c>
      <c r="J216" s="1346"/>
      <c r="K216" s="14"/>
      <c r="M216" s="73"/>
    </row>
    <row r="217" spans="1:14" ht="15" hidden="1" customHeight="1" x14ac:dyDescent="0.25">
      <c r="A217" s="638">
        <v>1</v>
      </c>
      <c r="B217" s="1346">
        <v>2</v>
      </c>
      <c r="C217" s="1346"/>
      <c r="D217" s="1346"/>
      <c r="E217" s="1346">
        <v>3</v>
      </c>
      <c r="F217" s="1346"/>
      <c r="G217" s="1346">
        <v>4</v>
      </c>
      <c r="H217" s="1346"/>
      <c r="I217" s="1346">
        <v>5</v>
      </c>
      <c r="J217" s="1346"/>
      <c r="K217" s="14"/>
      <c r="M217" s="73"/>
    </row>
    <row r="218" spans="1:14" ht="17.25" hidden="1" customHeight="1" x14ac:dyDescent="0.25">
      <c r="A218" s="639">
        <v>1</v>
      </c>
      <c r="B218" s="1463" t="s">
        <v>322</v>
      </c>
      <c r="C218" s="1464"/>
      <c r="D218" s="1465"/>
      <c r="E218" s="1445"/>
      <c r="F218" s="1445"/>
      <c r="G218" s="1466"/>
      <c r="H218" s="1466"/>
      <c r="I218" s="1466">
        <f>E218*G218</f>
        <v>0</v>
      </c>
      <c r="J218" s="1466"/>
      <c r="K218" s="14"/>
      <c r="M218" s="73"/>
    </row>
    <row r="219" spans="1:14" hidden="1" x14ac:dyDescent="0.25">
      <c r="A219" s="639"/>
      <c r="B219" s="1338" t="s">
        <v>13</v>
      </c>
      <c r="C219" s="1338"/>
      <c r="D219" s="1338"/>
      <c r="E219" s="1341" t="s">
        <v>74</v>
      </c>
      <c r="F219" s="1341"/>
      <c r="G219" s="1341" t="s">
        <v>74</v>
      </c>
      <c r="H219" s="1341"/>
      <c r="I219" s="1385">
        <f>I218</f>
        <v>0</v>
      </c>
      <c r="J219" s="1341"/>
    </row>
    <row r="220" spans="1:14" ht="24" hidden="1" customHeight="1" x14ac:dyDescent="0.25">
      <c r="A220" s="1446" t="s">
        <v>274</v>
      </c>
      <c r="B220" s="1446"/>
      <c r="C220" s="1446"/>
      <c r="D220" s="1446"/>
      <c r="E220" s="1446"/>
      <c r="F220" s="1446"/>
      <c r="G220" s="1446"/>
      <c r="H220" s="1446"/>
      <c r="I220" s="1446"/>
      <c r="J220" s="1446"/>
    </row>
    <row r="221" spans="1:14" s="41" customFormat="1" ht="25.5" hidden="1" customHeight="1" x14ac:dyDescent="0.2">
      <c r="A221" s="638" t="s">
        <v>1</v>
      </c>
      <c r="B221" s="1346" t="s">
        <v>44</v>
      </c>
      <c r="C221" s="1346"/>
      <c r="D221" s="1346"/>
      <c r="E221" s="638" t="s">
        <v>55</v>
      </c>
      <c r="F221" s="1346" t="s">
        <v>56</v>
      </c>
      <c r="G221" s="1346"/>
      <c r="H221" s="638" t="s">
        <v>57</v>
      </c>
      <c r="I221" s="1346" t="s">
        <v>104</v>
      </c>
      <c r="J221" s="1346"/>
    </row>
    <row r="222" spans="1:14" s="41" customFormat="1" ht="12.75" hidden="1" x14ac:dyDescent="0.2">
      <c r="A222" s="638">
        <v>1</v>
      </c>
      <c r="B222" s="1346">
        <v>2</v>
      </c>
      <c r="C222" s="1346"/>
      <c r="D222" s="1346"/>
      <c r="E222" s="638">
        <v>3</v>
      </c>
      <c r="F222" s="1346">
        <v>4</v>
      </c>
      <c r="G222" s="1346"/>
      <c r="H222" s="638">
        <v>5</v>
      </c>
      <c r="I222" s="1346">
        <v>6</v>
      </c>
      <c r="J222" s="1346"/>
    </row>
    <row r="223" spans="1:14" ht="15" hidden="1" customHeight="1" x14ac:dyDescent="0.25">
      <c r="A223" s="633" t="s">
        <v>70</v>
      </c>
      <c r="B223" s="1357" t="s">
        <v>151</v>
      </c>
      <c r="C223" s="1358"/>
      <c r="D223" s="1359"/>
      <c r="E223" s="90">
        <f>E224+E225</f>
        <v>1242.06</v>
      </c>
      <c r="F223" s="1460"/>
      <c r="G223" s="1461"/>
      <c r="H223" s="91">
        <f>F225/F224-100%</f>
        <v>3.5000412984224072E-2</v>
      </c>
      <c r="I223" s="1462"/>
      <c r="J223" s="1462"/>
      <c r="K223" s="14"/>
    </row>
    <row r="224" spans="1:14" ht="15" hidden="1" customHeight="1" x14ac:dyDescent="0.25">
      <c r="A224" s="639"/>
      <c r="B224" s="1445" t="s">
        <v>100</v>
      </c>
      <c r="C224" s="1445"/>
      <c r="D224" s="1445"/>
      <c r="E224" s="643">
        <f>679+21.16</f>
        <v>700.16</v>
      </c>
      <c r="F224" s="1373">
        <v>1937.12</v>
      </c>
      <c r="G224" s="1374"/>
      <c r="H224" s="639"/>
      <c r="I224" s="1459"/>
      <c r="J224" s="1459"/>
      <c r="K224" s="14"/>
    </row>
    <row r="225" spans="1:11" ht="15" hidden="1" customHeight="1" x14ac:dyDescent="0.25">
      <c r="A225" s="639"/>
      <c r="B225" s="1445" t="s">
        <v>101</v>
      </c>
      <c r="C225" s="1445"/>
      <c r="D225" s="1445"/>
      <c r="E225" s="643">
        <f>318+203+14.4+4.5+2</f>
        <v>541.9</v>
      </c>
      <c r="F225" s="1373">
        <v>2004.92</v>
      </c>
      <c r="G225" s="1374"/>
      <c r="H225" s="639"/>
      <c r="I225" s="1459"/>
      <c r="J225" s="1459"/>
      <c r="K225" s="14"/>
    </row>
    <row r="226" spans="1:11" ht="15" hidden="1" customHeight="1" x14ac:dyDescent="0.25">
      <c r="A226" s="633" t="s">
        <v>75</v>
      </c>
      <c r="B226" s="1357" t="s">
        <v>152</v>
      </c>
      <c r="C226" s="1358"/>
      <c r="D226" s="1359"/>
      <c r="E226" s="90">
        <f>E227+E228</f>
        <v>854</v>
      </c>
      <c r="F226" s="1460"/>
      <c r="G226" s="1461"/>
      <c r="H226" s="91">
        <f>F228/F227-100%</f>
        <v>3.5040944581984368E-2</v>
      </c>
      <c r="I226" s="1462"/>
      <c r="J226" s="1462"/>
      <c r="K226" s="14"/>
    </row>
    <row r="227" spans="1:11" ht="15" hidden="1" customHeight="1" x14ac:dyDescent="0.25">
      <c r="A227" s="639"/>
      <c r="B227" s="1445" t="s">
        <v>100</v>
      </c>
      <c r="C227" s="1445"/>
      <c r="D227" s="1445"/>
      <c r="E227" s="643">
        <v>460</v>
      </c>
      <c r="F227" s="1373">
        <v>52.51</v>
      </c>
      <c r="G227" s="1374"/>
      <c r="H227" s="639"/>
      <c r="I227" s="1459"/>
      <c r="J227" s="1459"/>
      <c r="K227" s="14"/>
    </row>
    <row r="228" spans="1:11" ht="15" hidden="1" customHeight="1" x14ac:dyDescent="0.25">
      <c r="A228" s="639"/>
      <c r="B228" s="1445" t="s">
        <v>101</v>
      </c>
      <c r="C228" s="1445"/>
      <c r="D228" s="1445"/>
      <c r="E228" s="643">
        <f>313+81</f>
        <v>394</v>
      </c>
      <c r="F228" s="1373">
        <v>54.35</v>
      </c>
      <c r="G228" s="1374"/>
      <c r="H228" s="639"/>
      <c r="I228" s="1459"/>
      <c r="J228" s="1459"/>
      <c r="K228" s="99"/>
    </row>
    <row r="229" spans="1:11" ht="15" hidden="1" customHeight="1" x14ac:dyDescent="0.25">
      <c r="A229" s="633" t="s">
        <v>77</v>
      </c>
      <c r="B229" s="1357" t="s">
        <v>153</v>
      </c>
      <c r="C229" s="1358"/>
      <c r="D229" s="1359"/>
      <c r="E229" s="90">
        <f>E230+E231</f>
        <v>1517</v>
      </c>
      <c r="F229" s="1460"/>
      <c r="G229" s="1461"/>
      <c r="H229" s="91">
        <f>F231/F230-100%</f>
        <v>3.5040944581984368E-2</v>
      </c>
      <c r="I229" s="1462"/>
      <c r="J229" s="1462"/>
      <c r="K229" s="14"/>
    </row>
    <row r="230" spans="1:11" ht="15" hidden="1" customHeight="1" x14ac:dyDescent="0.25">
      <c r="A230" s="639"/>
      <c r="B230" s="1445" t="s">
        <v>100</v>
      </c>
      <c r="C230" s="1445"/>
      <c r="D230" s="1445"/>
      <c r="E230" s="643">
        <f>722</f>
        <v>722</v>
      </c>
      <c r="F230" s="1373">
        <v>52.51</v>
      </c>
      <c r="G230" s="1374"/>
      <c r="H230" s="639"/>
      <c r="I230" s="1459"/>
      <c r="J230" s="1459"/>
      <c r="K230" s="14"/>
    </row>
    <row r="231" spans="1:11" ht="15" hidden="1" customHeight="1" x14ac:dyDescent="0.25">
      <c r="A231" s="639"/>
      <c r="B231" s="1445" t="s">
        <v>101</v>
      </c>
      <c r="C231" s="1445"/>
      <c r="D231" s="1445"/>
      <c r="E231" s="643">
        <f>559+236</f>
        <v>795</v>
      </c>
      <c r="F231" s="1373">
        <v>54.35</v>
      </c>
      <c r="G231" s="1374"/>
      <c r="H231" s="639"/>
      <c r="I231" s="1459"/>
      <c r="J231" s="1459"/>
      <c r="K231" s="14"/>
    </row>
    <row r="232" spans="1:11" ht="15" hidden="1" customHeight="1" x14ac:dyDescent="0.25">
      <c r="A232" s="633" t="s">
        <v>86</v>
      </c>
      <c r="B232" s="1357" t="s">
        <v>154</v>
      </c>
      <c r="C232" s="1358"/>
      <c r="D232" s="1359"/>
      <c r="E232" s="90">
        <f>E233+E234</f>
        <v>2426</v>
      </c>
      <c r="F232" s="1460"/>
      <c r="G232" s="1461"/>
      <c r="H232" s="91">
        <f>F234/F233-100%</f>
        <v>3.461841070023608E-2</v>
      </c>
      <c r="I232" s="1462"/>
      <c r="J232" s="1462"/>
      <c r="K232" s="166">
        <f>I232+I229</f>
        <v>0</v>
      </c>
    </row>
    <row r="233" spans="1:11" ht="15" hidden="1" customHeight="1" x14ac:dyDescent="0.35">
      <c r="A233" s="639"/>
      <c r="B233" s="1445" t="s">
        <v>100</v>
      </c>
      <c r="C233" s="1445"/>
      <c r="D233" s="1445"/>
      <c r="E233" s="643">
        <v>1249</v>
      </c>
      <c r="F233" s="1373">
        <v>63.55</v>
      </c>
      <c r="G233" s="1374"/>
      <c r="H233" s="639"/>
      <c r="I233" s="1459"/>
      <c r="J233" s="1459"/>
      <c r="K233" s="137"/>
    </row>
    <row r="234" spans="1:11" ht="15" hidden="1" customHeight="1" x14ac:dyDescent="0.25">
      <c r="A234" s="639"/>
      <c r="B234" s="1445" t="s">
        <v>101</v>
      </c>
      <c r="C234" s="1445"/>
      <c r="D234" s="1445"/>
      <c r="E234" s="643">
        <f>860+317</f>
        <v>1177</v>
      </c>
      <c r="F234" s="1373">
        <v>65.75</v>
      </c>
      <c r="G234" s="1374"/>
      <c r="H234" s="639"/>
      <c r="I234" s="1459"/>
      <c r="J234" s="1459"/>
      <c r="K234" s="15"/>
    </row>
    <row r="235" spans="1:11" ht="15" hidden="1" customHeight="1" x14ac:dyDescent="0.25">
      <c r="A235" s="633" t="s">
        <v>87</v>
      </c>
      <c r="B235" s="1357" t="s">
        <v>155</v>
      </c>
      <c r="C235" s="1358"/>
      <c r="D235" s="1359"/>
      <c r="E235" s="657">
        <f>E236+E237</f>
        <v>149022</v>
      </c>
      <c r="F235" s="1460"/>
      <c r="G235" s="1461"/>
      <c r="H235" s="91">
        <f>F237/F236-100%</f>
        <v>3.7676609105180559E-2</v>
      </c>
      <c r="I235" s="1462"/>
      <c r="J235" s="1462"/>
      <c r="K235" s="14"/>
    </row>
    <row r="236" spans="1:11" ht="15" hidden="1" customHeight="1" x14ac:dyDescent="0.25">
      <c r="A236" s="639"/>
      <c r="B236" s="1445" t="s">
        <v>100</v>
      </c>
      <c r="C236" s="1445"/>
      <c r="D236" s="1445"/>
      <c r="E236" s="647">
        <v>75960</v>
      </c>
      <c r="F236" s="1373">
        <v>6.37</v>
      </c>
      <c r="G236" s="1374"/>
      <c r="H236" s="639"/>
      <c r="I236" s="1459"/>
      <c r="J236" s="1459"/>
      <c r="K236" s="14"/>
    </row>
    <row r="237" spans="1:11" ht="15" hidden="1" customHeight="1" x14ac:dyDescent="0.25">
      <c r="A237" s="639"/>
      <c r="B237" s="1445" t="s">
        <v>101</v>
      </c>
      <c r="C237" s="1445"/>
      <c r="D237" s="1445"/>
      <c r="E237" s="647">
        <f>53108+19954</f>
        <v>73062</v>
      </c>
      <c r="F237" s="1373">
        <v>6.61</v>
      </c>
      <c r="G237" s="1374"/>
      <c r="H237" s="639"/>
      <c r="I237" s="1459"/>
      <c r="J237" s="1459"/>
    </row>
    <row r="238" spans="1:11" ht="15" hidden="1" customHeight="1" x14ac:dyDescent="0.25">
      <c r="A238" s="633" t="s">
        <v>97</v>
      </c>
      <c r="B238" s="1357" t="s">
        <v>371</v>
      </c>
      <c r="C238" s="1358"/>
      <c r="D238" s="1359"/>
      <c r="E238" s="657">
        <f>E239+E240</f>
        <v>147.19999999999999</v>
      </c>
      <c r="F238" s="1460"/>
      <c r="G238" s="1461"/>
      <c r="H238" s="91">
        <v>0</v>
      </c>
      <c r="I238" s="1462"/>
      <c r="J238" s="1462"/>
      <c r="K238" s="126"/>
    </row>
    <row r="239" spans="1:11" ht="15" hidden="1" customHeight="1" x14ac:dyDescent="0.25">
      <c r="A239" s="639"/>
      <c r="B239" s="1445" t="s">
        <v>100</v>
      </c>
      <c r="C239" s="1445"/>
      <c r="D239" s="1445"/>
      <c r="E239" s="647">
        <v>73.599999999999994</v>
      </c>
      <c r="F239" s="1373">
        <v>747.07</v>
      </c>
      <c r="G239" s="1374"/>
      <c r="H239" s="639"/>
      <c r="I239" s="1459"/>
      <c r="J239" s="1459"/>
    </row>
    <row r="240" spans="1:11" ht="15" hidden="1" customHeight="1" x14ac:dyDescent="0.25">
      <c r="A240" s="639"/>
      <c r="B240" s="1445" t="s">
        <v>101</v>
      </c>
      <c r="C240" s="1445"/>
      <c r="D240" s="1445"/>
      <c r="E240" s="647">
        <v>73.599999999999994</v>
      </c>
      <c r="F240" s="1373">
        <v>747.07</v>
      </c>
      <c r="G240" s="1374"/>
      <c r="H240" s="639"/>
      <c r="I240" s="1459"/>
      <c r="J240" s="1459"/>
    </row>
    <row r="241" spans="1:11" ht="15" hidden="1" customHeight="1" x14ac:dyDescent="0.25">
      <c r="A241" s="639"/>
      <c r="B241" s="1338" t="s">
        <v>13</v>
      </c>
      <c r="C241" s="1338"/>
      <c r="D241" s="1338"/>
      <c r="E241" s="635" t="s">
        <v>14</v>
      </c>
      <c r="F241" s="1341" t="s">
        <v>14</v>
      </c>
      <c r="G241" s="1341"/>
      <c r="H241" s="635" t="s">
        <v>14</v>
      </c>
      <c r="I241" s="1347">
        <f>I223+I226+I229+I232+I235+I238</f>
        <v>0</v>
      </c>
      <c r="J241" s="1347"/>
    </row>
    <row r="242" spans="1:11" s="41" customFormat="1" ht="19.5" hidden="1" customHeight="1" x14ac:dyDescent="0.25">
      <c r="A242" s="1446" t="s">
        <v>279</v>
      </c>
      <c r="B242" s="1446"/>
      <c r="C242" s="1446"/>
      <c r="D242" s="1446"/>
      <c r="E242" s="1446"/>
      <c r="F242" s="1446"/>
      <c r="G242" s="1446"/>
      <c r="H242" s="1446"/>
      <c r="I242" s="1446"/>
      <c r="J242" s="1446"/>
    </row>
    <row r="243" spans="1:11" s="41" customFormat="1" ht="15" hidden="1" customHeight="1" x14ac:dyDescent="0.2">
      <c r="A243" s="638" t="s">
        <v>1</v>
      </c>
      <c r="B243" s="1346" t="s">
        <v>44</v>
      </c>
      <c r="C243" s="1346"/>
      <c r="D243" s="1346"/>
      <c r="E243" s="1346" t="s">
        <v>58</v>
      </c>
      <c r="F243" s="1346"/>
      <c r="G243" s="1346" t="s">
        <v>59</v>
      </c>
      <c r="H243" s="1346"/>
      <c r="I243" s="1346" t="s">
        <v>60</v>
      </c>
      <c r="J243" s="1346"/>
    </row>
    <row r="244" spans="1:11" ht="15" hidden="1" customHeight="1" x14ac:dyDescent="0.25">
      <c r="A244" s="638">
        <v>1</v>
      </c>
      <c r="B244" s="1346">
        <v>2</v>
      </c>
      <c r="C244" s="1346"/>
      <c r="D244" s="1346"/>
      <c r="E244" s="1346">
        <v>3</v>
      </c>
      <c r="F244" s="1346"/>
      <c r="G244" s="1346">
        <v>4</v>
      </c>
      <c r="H244" s="1346"/>
      <c r="I244" s="1346">
        <v>5</v>
      </c>
      <c r="J244" s="1346"/>
      <c r="K244" s="15"/>
    </row>
    <row r="245" spans="1:11" ht="15" hidden="1" customHeight="1" x14ac:dyDescent="0.25">
      <c r="A245" s="639"/>
      <c r="B245" s="1387"/>
      <c r="C245" s="1444"/>
      <c r="D245" s="1388"/>
      <c r="E245" s="1445"/>
      <c r="F245" s="1445"/>
      <c r="G245" s="1445"/>
      <c r="H245" s="1445"/>
      <c r="I245" s="1445"/>
      <c r="J245" s="1445"/>
      <c r="K245" s="14"/>
    </row>
    <row r="246" spans="1:11" ht="15" hidden="1" customHeight="1" x14ac:dyDescent="0.25">
      <c r="A246" s="635"/>
      <c r="B246" s="1338" t="s">
        <v>13</v>
      </c>
      <c r="C246" s="1338"/>
      <c r="D246" s="1338"/>
      <c r="E246" s="1341" t="s">
        <v>14</v>
      </c>
      <c r="F246" s="1341"/>
      <c r="G246" s="1341" t="s">
        <v>14</v>
      </c>
      <c r="H246" s="1341"/>
      <c r="I246" s="1341"/>
      <c r="J246" s="1341"/>
    </row>
    <row r="247" spans="1:11" ht="16.5" hidden="1" customHeight="1" x14ac:dyDescent="0.25">
      <c r="A247" s="1446" t="s">
        <v>275</v>
      </c>
      <c r="B247" s="1446"/>
      <c r="C247" s="1446"/>
      <c r="D247" s="1446"/>
      <c r="E247" s="1446"/>
      <c r="F247" s="1446"/>
      <c r="G247" s="1446"/>
      <c r="H247" s="1446"/>
      <c r="I247" s="1446"/>
      <c r="J247" s="1446"/>
    </row>
    <row r="248" spans="1:11" ht="15" hidden="1" customHeight="1" x14ac:dyDescent="0.25">
      <c r="A248" s="1414" t="s">
        <v>1</v>
      </c>
      <c r="B248" s="1416" t="s">
        <v>15</v>
      </c>
      <c r="C248" s="1417"/>
      <c r="D248" s="1418"/>
      <c r="E248" s="1414" t="s">
        <v>61</v>
      </c>
      <c r="F248" s="1414" t="s">
        <v>62</v>
      </c>
      <c r="G248" s="1346" t="s">
        <v>63</v>
      </c>
      <c r="H248" s="1346"/>
      <c r="I248" s="1346"/>
      <c r="J248" s="1346"/>
    </row>
    <row r="249" spans="1:11" ht="24" hidden="1" customHeight="1" x14ac:dyDescent="0.25">
      <c r="A249" s="1415"/>
      <c r="B249" s="1419"/>
      <c r="C249" s="1420"/>
      <c r="D249" s="1421"/>
      <c r="E249" s="1415"/>
      <c r="F249" s="1415"/>
      <c r="G249" s="638" t="s">
        <v>298</v>
      </c>
      <c r="H249" s="638" t="s">
        <v>295</v>
      </c>
      <c r="I249" s="634" t="s">
        <v>296</v>
      </c>
      <c r="J249" s="638" t="s">
        <v>297</v>
      </c>
    </row>
    <row r="250" spans="1:11" ht="11.25" hidden="1" customHeight="1" x14ac:dyDescent="0.25">
      <c r="A250" s="638">
        <v>1</v>
      </c>
      <c r="B250" s="1346">
        <v>2</v>
      </c>
      <c r="C250" s="1346"/>
      <c r="D250" s="1346"/>
      <c r="E250" s="638">
        <v>3</v>
      </c>
      <c r="F250" s="638">
        <v>4</v>
      </c>
      <c r="G250" s="1344">
        <v>5</v>
      </c>
      <c r="H250" s="1392"/>
      <c r="I250" s="1392"/>
      <c r="J250" s="1345"/>
    </row>
    <row r="251" spans="1:11" ht="37.5" hidden="1" customHeight="1" x14ac:dyDescent="0.25">
      <c r="A251" s="1319" t="s">
        <v>745</v>
      </c>
      <c r="B251" s="1320"/>
      <c r="C251" s="1320"/>
      <c r="D251" s="1320"/>
      <c r="E251" s="1320"/>
      <c r="F251" s="1320"/>
      <c r="G251" s="1320"/>
      <c r="H251" s="1320"/>
      <c r="I251" s="1320"/>
      <c r="J251" s="1321"/>
    </row>
    <row r="252" spans="1:11" ht="2.25" hidden="1" customHeight="1" x14ac:dyDescent="0.25">
      <c r="A252" s="639" t="s">
        <v>75</v>
      </c>
      <c r="B252" s="1040"/>
      <c r="C252" s="1040"/>
      <c r="D252" s="1040"/>
      <c r="E252" s="607"/>
      <c r="F252" s="607"/>
      <c r="G252" s="607"/>
      <c r="H252" s="607"/>
      <c r="I252" s="163"/>
      <c r="J252" s="604"/>
    </row>
    <row r="253" spans="1:11" ht="30" hidden="1" customHeight="1" x14ac:dyDescent="0.25">
      <c r="A253" s="639">
        <v>1</v>
      </c>
      <c r="B253" s="1040" t="s">
        <v>1177</v>
      </c>
      <c r="C253" s="1040"/>
      <c r="D253" s="1040"/>
      <c r="E253" s="639"/>
      <c r="F253" s="639">
        <v>1</v>
      </c>
      <c r="G253" s="639" t="s">
        <v>299</v>
      </c>
      <c r="H253" s="639">
        <v>1</v>
      </c>
      <c r="I253" s="163">
        <v>0</v>
      </c>
      <c r="J253" s="604">
        <f>H253*I253</f>
        <v>0</v>
      </c>
      <c r="K253" s="165">
        <v>2023</v>
      </c>
    </row>
    <row r="254" spans="1:11" ht="30" hidden="1" customHeight="1" x14ac:dyDescent="0.25">
      <c r="A254" s="621">
        <v>2</v>
      </c>
      <c r="B254" s="1017"/>
      <c r="C254" s="1018"/>
      <c r="D254" s="1019"/>
      <c r="E254" s="639"/>
      <c r="F254" s="639">
        <v>1</v>
      </c>
      <c r="G254" s="639" t="s">
        <v>299</v>
      </c>
      <c r="H254" s="639">
        <v>1</v>
      </c>
      <c r="I254" s="163">
        <v>0</v>
      </c>
      <c r="J254" s="255">
        <f>I254</f>
        <v>0</v>
      </c>
      <c r="K254" s="251"/>
    </row>
    <row r="255" spans="1:11" ht="30" hidden="1" customHeight="1" x14ac:dyDescent="0.25">
      <c r="A255" s="639"/>
      <c r="B255" s="1026"/>
      <c r="C255" s="1052"/>
      <c r="D255" s="1027"/>
      <c r="E255" s="639"/>
      <c r="F255" s="639">
        <v>1</v>
      </c>
      <c r="G255" s="639" t="s">
        <v>299</v>
      </c>
      <c r="H255" s="639">
        <v>1</v>
      </c>
      <c r="I255" s="163">
        <v>0</v>
      </c>
      <c r="J255" s="260">
        <f>I255</f>
        <v>0</v>
      </c>
      <c r="K255" s="251"/>
    </row>
    <row r="256" spans="1:11" ht="66" hidden="1" customHeight="1" x14ac:dyDescent="0.25">
      <c r="A256" s="1456" t="s">
        <v>560</v>
      </c>
      <c r="B256" s="1457"/>
      <c r="C256" s="1457"/>
      <c r="D256" s="1457"/>
      <c r="E256" s="1457"/>
      <c r="F256" s="1457"/>
      <c r="G256" s="1457"/>
      <c r="H256" s="1457"/>
      <c r="I256" s="1457"/>
      <c r="J256" s="1458"/>
    </row>
    <row r="257" spans="1:12" ht="41.25" hidden="1" customHeight="1" x14ac:dyDescent="0.25">
      <c r="A257" s="639">
        <v>2</v>
      </c>
      <c r="B257" s="1040" t="s">
        <v>552</v>
      </c>
      <c r="C257" s="1040"/>
      <c r="D257" s="1040"/>
      <c r="E257" s="639"/>
      <c r="F257" s="639">
        <v>1</v>
      </c>
      <c r="G257" s="639" t="s">
        <v>299</v>
      </c>
      <c r="H257" s="639">
        <v>1</v>
      </c>
      <c r="I257" s="163"/>
      <c r="J257" s="604">
        <f>I257</f>
        <v>0</v>
      </c>
    </row>
    <row r="258" spans="1:12" ht="42" hidden="1" customHeight="1" x14ac:dyDescent="0.25">
      <c r="A258" s="639"/>
      <c r="B258" s="1040"/>
      <c r="C258" s="1040"/>
      <c r="D258" s="1040"/>
      <c r="E258" s="639"/>
      <c r="F258" s="639"/>
      <c r="G258" s="639"/>
      <c r="H258" s="639"/>
      <c r="I258" s="163"/>
      <c r="J258" s="604"/>
      <c r="K258" s="157"/>
      <c r="L258" s="133"/>
    </row>
    <row r="259" spans="1:12" ht="45.75" hidden="1" customHeight="1" x14ac:dyDescent="0.25">
      <c r="A259" s="639"/>
      <c r="B259" s="1040"/>
      <c r="C259" s="1040"/>
      <c r="D259" s="1040"/>
      <c r="E259" s="639"/>
      <c r="F259" s="639"/>
      <c r="G259" s="639"/>
      <c r="H259" s="639"/>
      <c r="I259" s="163"/>
      <c r="J259" s="604"/>
      <c r="K259" s="157"/>
      <c r="L259" s="133"/>
    </row>
    <row r="260" spans="1:12" ht="24" hidden="1" customHeight="1" x14ac:dyDescent="0.25">
      <c r="A260" s="639"/>
      <c r="B260" s="1040"/>
      <c r="C260" s="1040"/>
      <c r="D260" s="1040"/>
      <c r="E260" s="639"/>
      <c r="F260" s="639"/>
      <c r="G260" s="639"/>
      <c r="H260" s="639"/>
      <c r="I260" s="163"/>
      <c r="J260" s="604"/>
    </row>
    <row r="261" spans="1:12" ht="30" hidden="1" customHeight="1" x14ac:dyDescent="0.25">
      <c r="A261" s="639"/>
      <c r="B261" s="1450"/>
      <c r="C261" s="1450"/>
      <c r="D261" s="1450"/>
      <c r="E261" s="639"/>
      <c r="F261" s="639"/>
      <c r="G261" s="639"/>
      <c r="H261" s="639"/>
      <c r="I261" s="162"/>
      <c r="J261" s="424"/>
      <c r="K261" s="11"/>
      <c r="L261" s="11"/>
    </row>
    <row r="262" spans="1:12" ht="29.25" hidden="1" customHeight="1" x14ac:dyDescent="0.25">
      <c r="A262" s="639"/>
      <c r="B262" s="1040"/>
      <c r="C262" s="1040"/>
      <c r="D262" s="1040"/>
      <c r="E262" s="639"/>
      <c r="F262" s="639"/>
      <c r="G262" s="639"/>
      <c r="H262" s="639"/>
      <c r="I262" s="163"/>
      <c r="J262" s="604"/>
      <c r="K262" s="11"/>
      <c r="L262" s="11"/>
    </row>
    <row r="263" spans="1:12" ht="23.25" hidden="1" customHeight="1" x14ac:dyDescent="0.25">
      <c r="A263" s="639"/>
      <c r="B263" s="1040"/>
      <c r="C263" s="1040"/>
      <c r="D263" s="1040"/>
      <c r="E263" s="639"/>
      <c r="F263" s="639"/>
      <c r="G263" s="639"/>
      <c r="H263" s="639"/>
      <c r="I263" s="163"/>
      <c r="J263" s="604"/>
      <c r="K263" s="11"/>
      <c r="L263" s="11"/>
    </row>
    <row r="264" spans="1:12" ht="46.5" hidden="1" customHeight="1" x14ac:dyDescent="0.25">
      <c r="A264" s="639"/>
      <c r="B264" s="1040"/>
      <c r="C264" s="1040"/>
      <c r="D264" s="1040"/>
      <c r="E264" s="639"/>
      <c r="F264" s="639"/>
      <c r="G264" s="639"/>
      <c r="H264" s="639"/>
      <c r="I264" s="163"/>
      <c r="J264" s="604"/>
    </row>
    <row r="265" spans="1:12" ht="25.5" hidden="1" customHeight="1" x14ac:dyDescent="0.25">
      <c r="A265" s="639"/>
      <c r="B265" s="1017"/>
      <c r="C265" s="1451"/>
      <c r="D265" s="1452"/>
      <c r="E265" s="639"/>
      <c r="F265" s="639"/>
      <c r="G265" s="639"/>
      <c r="H265" s="639"/>
      <c r="I265" s="163"/>
      <c r="J265" s="604"/>
    </row>
    <row r="266" spans="1:12" ht="38.25" hidden="1" customHeight="1" x14ac:dyDescent="0.25">
      <c r="A266" s="639"/>
      <c r="B266" s="1040"/>
      <c r="C266" s="1040"/>
      <c r="D266" s="1040"/>
      <c r="E266" s="639"/>
      <c r="F266" s="639"/>
      <c r="G266" s="639"/>
      <c r="H266" s="639"/>
      <c r="I266" s="163"/>
      <c r="J266" s="604"/>
    </row>
    <row r="267" spans="1:12" ht="38.25" hidden="1" customHeight="1" x14ac:dyDescent="0.25">
      <c r="A267" s="639"/>
      <c r="B267" s="1017"/>
      <c r="C267" s="1018"/>
      <c r="D267" s="1019"/>
      <c r="E267" s="639"/>
      <c r="F267" s="639"/>
      <c r="G267" s="639"/>
      <c r="H267" s="639"/>
      <c r="I267" s="163"/>
      <c r="J267" s="604"/>
    </row>
    <row r="268" spans="1:12" ht="38.25" hidden="1" customHeight="1" x14ac:dyDescent="0.25">
      <c r="A268" s="639"/>
      <c r="B268" s="1017"/>
      <c r="C268" s="1018"/>
      <c r="D268" s="1019"/>
      <c r="E268" s="639"/>
      <c r="F268" s="639"/>
      <c r="G268" s="639"/>
      <c r="H268" s="639"/>
      <c r="I268" s="163"/>
      <c r="J268" s="604"/>
    </row>
    <row r="269" spans="1:12" ht="38.25" hidden="1" customHeight="1" x14ac:dyDescent="0.25">
      <c r="A269" s="639"/>
      <c r="B269" s="1026"/>
      <c r="C269" s="1052"/>
      <c r="D269" s="1027"/>
      <c r="E269" s="639"/>
      <c r="F269" s="639"/>
      <c r="G269" s="639"/>
      <c r="H269" s="639"/>
      <c r="I269" s="163"/>
      <c r="J269" s="604"/>
    </row>
    <row r="270" spans="1:12" ht="38.25" hidden="1" customHeight="1" x14ac:dyDescent="0.25">
      <c r="A270" s="639"/>
      <c r="B270" s="1026"/>
      <c r="C270" s="1052"/>
      <c r="D270" s="1027"/>
      <c r="E270" s="639"/>
      <c r="F270" s="639"/>
      <c r="G270" s="639"/>
      <c r="H270" s="639"/>
      <c r="I270" s="163"/>
      <c r="J270" s="604"/>
    </row>
    <row r="271" spans="1:12" hidden="1" x14ac:dyDescent="0.25">
      <c r="A271" s="635"/>
      <c r="B271" s="1338" t="s">
        <v>13</v>
      </c>
      <c r="C271" s="1338"/>
      <c r="D271" s="1338"/>
      <c r="E271" s="635" t="s">
        <v>14</v>
      </c>
      <c r="F271" s="635" t="s">
        <v>14</v>
      </c>
      <c r="G271" s="1396">
        <f>J257+J254+J253+J255</f>
        <v>0</v>
      </c>
      <c r="H271" s="1397"/>
      <c r="I271" s="1397"/>
      <c r="J271" s="1397"/>
    </row>
    <row r="272" spans="1:12" ht="17.25" hidden="1" customHeight="1" x14ac:dyDescent="0.25">
      <c r="A272" s="1446" t="s">
        <v>280</v>
      </c>
      <c r="B272" s="1446"/>
      <c r="C272" s="1446"/>
      <c r="D272" s="1446"/>
      <c r="E272" s="1446"/>
      <c r="F272" s="1446"/>
      <c r="G272" s="1446"/>
      <c r="H272" s="1446"/>
      <c r="I272" s="1446"/>
      <c r="J272" s="1446"/>
    </row>
    <row r="273" spans="1:11" ht="17.25" hidden="1" customHeight="1" x14ac:dyDescent="0.25">
      <c r="A273" s="1414" t="s">
        <v>1</v>
      </c>
      <c r="B273" s="1416" t="s">
        <v>15</v>
      </c>
      <c r="C273" s="1417"/>
      <c r="D273" s="1418"/>
      <c r="E273" s="1416" t="s">
        <v>64</v>
      </c>
      <c r="F273" s="1418"/>
      <c r="G273" s="1346" t="s">
        <v>65</v>
      </c>
      <c r="H273" s="1346"/>
      <c r="I273" s="1346"/>
      <c r="J273" s="1346"/>
    </row>
    <row r="274" spans="1:11" ht="27.75" hidden="1" customHeight="1" x14ac:dyDescent="0.25">
      <c r="A274" s="1415"/>
      <c r="B274" s="1419"/>
      <c r="C274" s="1420"/>
      <c r="D274" s="1421"/>
      <c r="E274" s="1419"/>
      <c r="F274" s="1421"/>
      <c r="G274" s="638" t="s">
        <v>298</v>
      </c>
      <c r="H274" s="638" t="s">
        <v>295</v>
      </c>
      <c r="I274" s="638" t="s">
        <v>296</v>
      </c>
      <c r="J274" s="638" t="s">
        <v>297</v>
      </c>
    </row>
    <row r="275" spans="1:11" ht="14.25" hidden="1" customHeight="1" x14ac:dyDescent="0.25">
      <c r="A275" s="638">
        <v>1</v>
      </c>
      <c r="B275" s="1346">
        <v>2</v>
      </c>
      <c r="C275" s="1346"/>
      <c r="D275" s="1346"/>
      <c r="E275" s="1344">
        <v>3</v>
      </c>
      <c r="F275" s="1345"/>
      <c r="G275" s="1346">
        <v>4</v>
      </c>
      <c r="H275" s="1346"/>
      <c r="I275" s="1346"/>
      <c r="J275" s="1346"/>
    </row>
    <row r="276" spans="1:11" ht="51.75" hidden="1" customHeight="1" x14ac:dyDescent="0.25">
      <c r="A276" s="1453" t="s">
        <v>509</v>
      </c>
      <c r="B276" s="1454"/>
      <c r="C276" s="1454"/>
      <c r="D276" s="1454"/>
      <c r="E276" s="1454"/>
      <c r="F276" s="1454"/>
      <c r="G276" s="1454"/>
      <c r="H276" s="1454"/>
      <c r="I276" s="1454"/>
      <c r="J276" s="1455"/>
    </row>
    <row r="277" spans="1:11" ht="24" hidden="1" customHeight="1" x14ac:dyDescent="0.25">
      <c r="A277" s="639">
        <v>1</v>
      </c>
      <c r="B277" s="1322" t="s">
        <v>514</v>
      </c>
      <c r="C277" s="1322"/>
      <c r="D277" s="1322"/>
      <c r="E277" s="1387">
        <v>1</v>
      </c>
      <c r="F277" s="1388"/>
      <c r="G277" s="639"/>
      <c r="H277" s="639">
        <v>1</v>
      </c>
      <c r="I277" s="161">
        <v>0</v>
      </c>
      <c r="J277" s="604">
        <f t="shared" ref="J277" si="14">H277*I277</f>
        <v>0</v>
      </c>
    </row>
    <row r="278" spans="1:11" ht="33.75" hidden="1" customHeight="1" x14ac:dyDescent="0.25">
      <c r="A278" s="1333" t="s">
        <v>746</v>
      </c>
      <c r="B278" s="1334"/>
      <c r="C278" s="1334"/>
      <c r="D278" s="1334"/>
      <c r="E278" s="1334"/>
      <c r="F278" s="1334"/>
      <c r="G278" s="1334"/>
      <c r="H278" s="1334"/>
      <c r="I278" s="1334"/>
      <c r="J278" s="1335"/>
    </row>
    <row r="279" spans="1:11" ht="22.5" hidden="1" customHeight="1" x14ac:dyDescent="0.25">
      <c r="A279" s="639">
        <v>1</v>
      </c>
      <c r="B279" s="1447" t="s">
        <v>516</v>
      </c>
      <c r="C279" s="1448"/>
      <c r="D279" s="1449"/>
      <c r="E279" s="1387">
        <v>1</v>
      </c>
      <c r="F279" s="1388"/>
      <c r="G279" s="639"/>
      <c r="H279" s="639">
        <v>1</v>
      </c>
      <c r="I279" s="161">
        <v>0</v>
      </c>
      <c r="J279" s="101">
        <v>0</v>
      </c>
    </row>
    <row r="280" spans="1:11" ht="30" hidden="1" customHeight="1" x14ac:dyDescent="0.25">
      <c r="A280" s="639">
        <v>2</v>
      </c>
      <c r="B280" s="1367" t="s">
        <v>517</v>
      </c>
      <c r="C280" s="1367"/>
      <c r="D280" s="1367"/>
      <c r="E280" s="1387">
        <v>1</v>
      </c>
      <c r="F280" s="1388"/>
      <c r="G280" s="639"/>
      <c r="H280" s="639">
        <v>1</v>
      </c>
      <c r="I280" s="161">
        <v>0</v>
      </c>
      <c r="J280" s="101">
        <v>0</v>
      </c>
    </row>
    <row r="281" spans="1:11" ht="30" hidden="1" customHeight="1" x14ac:dyDescent="0.25">
      <c r="A281" s="639">
        <v>3</v>
      </c>
      <c r="B281" s="1367" t="s">
        <v>720</v>
      </c>
      <c r="C281" s="1367"/>
      <c r="D281" s="1367"/>
      <c r="E281" s="1026">
        <v>1</v>
      </c>
      <c r="F281" s="1027"/>
      <c r="G281" s="607"/>
      <c r="H281" s="607">
        <v>1</v>
      </c>
      <c r="I281" s="161">
        <v>0</v>
      </c>
      <c r="J281" s="101">
        <v>0</v>
      </c>
      <c r="K281" s="164"/>
    </row>
    <row r="282" spans="1:11" ht="24.75" hidden="1" customHeight="1" x14ac:dyDescent="0.25">
      <c r="A282" s="639">
        <v>4</v>
      </c>
      <c r="B282" s="1447" t="s">
        <v>1178</v>
      </c>
      <c r="C282" s="1448"/>
      <c r="D282" s="1449"/>
      <c r="E282" s="1387">
        <v>1</v>
      </c>
      <c r="F282" s="1388"/>
      <c r="G282" s="639"/>
      <c r="H282" s="639">
        <v>1</v>
      </c>
      <c r="I282" s="161">
        <f>6000-6000</f>
        <v>0</v>
      </c>
      <c r="J282" s="101">
        <v>0</v>
      </c>
    </row>
    <row r="283" spans="1:11" ht="48" hidden="1" customHeight="1" x14ac:dyDescent="0.25">
      <c r="A283" s="639"/>
      <c r="B283" s="1386"/>
      <c r="C283" s="1386"/>
      <c r="D283" s="1386"/>
      <c r="E283" s="1387"/>
      <c r="F283" s="1388"/>
      <c r="G283" s="639"/>
      <c r="H283" s="639"/>
      <c r="I283" s="161"/>
      <c r="J283" s="101"/>
    </row>
    <row r="284" spans="1:11" ht="30" hidden="1" customHeight="1" x14ac:dyDescent="0.25">
      <c r="A284" s="639"/>
      <c r="B284" s="1386"/>
      <c r="C284" s="1386"/>
      <c r="D284" s="1386"/>
      <c r="E284" s="1387"/>
      <c r="F284" s="1388"/>
      <c r="G284" s="639"/>
      <c r="H284" s="643"/>
      <c r="I284" s="161"/>
      <c r="J284" s="101"/>
    </row>
    <row r="285" spans="1:11" ht="30" hidden="1" customHeight="1" x14ac:dyDescent="0.25">
      <c r="A285" s="639"/>
      <c r="B285" s="1040"/>
      <c r="C285" s="1040"/>
      <c r="D285" s="1040"/>
      <c r="E285" s="1387"/>
      <c r="F285" s="1388"/>
      <c r="G285" s="639"/>
      <c r="H285" s="639"/>
      <c r="I285" s="161"/>
      <c r="J285" s="101"/>
    </row>
    <row r="286" spans="1:11" ht="30" hidden="1" customHeight="1" x14ac:dyDescent="0.25">
      <c r="A286" s="1333" t="s">
        <v>747</v>
      </c>
      <c r="B286" s="1334"/>
      <c r="C286" s="1334"/>
      <c r="D286" s="1334"/>
      <c r="E286" s="1334"/>
      <c r="F286" s="1334"/>
      <c r="G286" s="1334"/>
      <c r="H286" s="1334"/>
      <c r="I286" s="1334"/>
      <c r="J286" s="1335"/>
    </row>
    <row r="287" spans="1:11" ht="30" hidden="1" customHeight="1" x14ac:dyDescent="0.25">
      <c r="A287" s="639">
        <v>5</v>
      </c>
      <c r="B287" s="1386" t="s">
        <v>721</v>
      </c>
      <c r="C287" s="1386"/>
      <c r="D287" s="1386"/>
      <c r="E287" s="1387">
        <v>1</v>
      </c>
      <c r="F287" s="1388"/>
      <c r="G287" s="639"/>
      <c r="H287" s="639">
        <v>1</v>
      </c>
      <c r="I287" s="92">
        <v>0</v>
      </c>
      <c r="J287" s="101">
        <v>0</v>
      </c>
    </row>
    <row r="288" spans="1:11" ht="30" hidden="1" customHeight="1" x14ac:dyDescent="0.25">
      <c r="A288" s="639">
        <v>5</v>
      </c>
      <c r="B288" s="1386"/>
      <c r="C288" s="1386"/>
      <c r="D288" s="1386"/>
      <c r="E288" s="1387"/>
      <c r="F288" s="1388"/>
      <c r="G288" s="639"/>
      <c r="H288" s="639"/>
      <c r="I288" s="92"/>
      <c r="J288" s="101"/>
    </row>
    <row r="289" spans="1:11" ht="30" hidden="1" customHeight="1" x14ac:dyDescent="0.25">
      <c r="A289" s="633" t="s">
        <v>86</v>
      </c>
      <c r="B289" s="1357" t="s">
        <v>349</v>
      </c>
      <c r="C289" s="1358"/>
      <c r="D289" s="1359"/>
      <c r="E289" s="1349" t="s">
        <v>74</v>
      </c>
      <c r="F289" s="1350"/>
      <c r="G289" s="146" t="s">
        <v>74</v>
      </c>
      <c r="H289" s="146" t="s">
        <v>74</v>
      </c>
      <c r="I289" s="316" t="s">
        <v>74</v>
      </c>
      <c r="J289" s="319">
        <f>J290+J291</f>
        <v>0</v>
      </c>
      <c r="K289" s="1" t="s">
        <v>478</v>
      </c>
    </row>
    <row r="290" spans="1:11" ht="30" hidden="1" customHeight="1" x14ac:dyDescent="0.25">
      <c r="A290" s="607" t="s">
        <v>473</v>
      </c>
      <c r="B290" s="1017"/>
      <c r="C290" s="1018"/>
      <c r="D290" s="1019"/>
      <c r="E290" s="1034"/>
      <c r="F290" s="1035"/>
      <c r="G290" s="616"/>
      <c r="H290" s="616"/>
      <c r="I290" s="223"/>
      <c r="J290" s="604"/>
    </row>
    <row r="291" spans="1:11" ht="30" hidden="1" customHeight="1" x14ac:dyDescent="0.25">
      <c r="A291" s="607" t="s">
        <v>474</v>
      </c>
      <c r="B291" s="1017"/>
      <c r="C291" s="1018"/>
      <c r="D291" s="1019"/>
      <c r="E291" s="608"/>
      <c r="F291" s="609"/>
      <c r="G291" s="616"/>
      <c r="H291" s="616"/>
      <c r="I291" s="223"/>
      <c r="J291" s="604"/>
    </row>
    <row r="292" spans="1:11" ht="55.5" hidden="1" customHeight="1" x14ac:dyDescent="0.25">
      <c r="A292" s="633" t="s">
        <v>87</v>
      </c>
      <c r="B292" s="1357" t="s">
        <v>475</v>
      </c>
      <c r="C292" s="1358"/>
      <c r="D292" s="1359"/>
      <c r="E292" s="1349" t="s">
        <v>74</v>
      </c>
      <c r="F292" s="1350"/>
      <c r="G292" s="146" t="s">
        <v>74</v>
      </c>
      <c r="H292" s="146" t="s">
        <v>74</v>
      </c>
      <c r="I292" s="316" t="s">
        <v>74</v>
      </c>
      <c r="J292" s="227">
        <f>J293</f>
        <v>0</v>
      </c>
    </row>
    <row r="293" spans="1:11" ht="30" hidden="1" customHeight="1" x14ac:dyDescent="0.25">
      <c r="A293" s="607" t="s">
        <v>476</v>
      </c>
      <c r="B293" s="1017"/>
      <c r="C293" s="1018"/>
      <c r="D293" s="1019"/>
      <c r="E293" s="1034"/>
      <c r="F293" s="1035"/>
      <c r="G293" s="616"/>
      <c r="H293" s="616"/>
      <c r="I293" s="223"/>
      <c r="J293" s="226"/>
    </row>
    <row r="294" spans="1:11" ht="54.75" hidden="1" customHeight="1" x14ac:dyDescent="0.25">
      <c r="A294" s="633" t="s">
        <v>97</v>
      </c>
      <c r="B294" s="1357" t="s">
        <v>479</v>
      </c>
      <c r="C294" s="1358"/>
      <c r="D294" s="1359"/>
      <c r="E294" s="1349" t="s">
        <v>74</v>
      </c>
      <c r="F294" s="1350"/>
      <c r="G294" s="146" t="s">
        <v>74</v>
      </c>
      <c r="H294" s="146" t="s">
        <v>74</v>
      </c>
      <c r="I294" s="316" t="s">
        <v>74</v>
      </c>
      <c r="J294" s="227">
        <f>J295+J296+J297+J298</f>
        <v>0</v>
      </c>
    </row>
    <row r="295" spans="1:11" ht="30" hidden="1" customHeight="1" x14ac:dyDescent="0.25">
      <c r="A295" s="607" t="s">
        <v>480</v>
      </c>
      <c r="B295" s="1099"/>
      <c r="C295" s="1100"/>
      <c r="D295" s="1101"/>
      <c r="E295" s="1034"/>
      <c r="F295" s="1035"/>
      <c r="G295" s="616"/>
      <c r="H295" s="616"/>
      <c r="I295" s="223"/>
      <c r="J295" s="604"/>
    </row>
    <row r="296" spans="1:11" ht="30" hidden="1" customHeight="1" x14ac:dyDescent="0.25">
      <c r="A296" s="607" t="s">
        <v>481</v>
      </c>
      <c r="B296" s="1099"/>
      <c r="C296" s="1100"/>
      <c r="D296" s="1101"/>
      <c r="E296" s="1034"/>
      <c r="F296" s="1035"/>
      <c r="G296" s="616"/>
      <c r="H296" s="616"/>
      <c r="I296" s="223"/>
      <c r="J296" s="604"/>
    </row>
    <row r="297" spans="1:11" ht="30" hidden="1" customHeight="1" x14ac:dyDescent="0.25">
      <c r="A297" s="607" t="s">
        <v>482</v>
      </c>
      <c r="B297" s="1099"/>
      <c r="C297" s="1100"/>
      <c r="D297" s="1101"/>
      <c r="E297" s="1034"/>
      <c r="F297" s="1035"/>
      <c r="G297" s="616"/>
      <c r="H297" s="616"/>
      <c r="I297" s="223"/>
      <c r="J297" s="604"/>
    </row>
    <row r="298" spans="1:11" ht="30" hidden="1" customHeight="1" x14ac:dyDescent="0.25">
      <c r="A298" s="607" t="s">
        <v>483</v>
      </c>
      <c r="B298" s="1367"/>
      <c r="C298" s="1367"/>
      <c r="D298" s="1367"/>
      <c r="E298" s="1387"/>
      <c r="F298" s="1388"/>
      <c r="G298" s="639"/>
      <c r="H298" s="639"/>
      <c r="I298" s="92"/>
      <c r="J298" s="101"/>
    </row>
    <row r="299" spans="1:11" ht="30" hidden="1" customHeight="1" x14ac:dyDescent="0.25">
      <c r="A299" s="1074" t="s">
        <v>375</v>
      </c>
      <c r="B299" s="1074"/>
      <c r="C299" s="1074"/>
      <c r="D299" s="1074"/>
      <c r="E299" s="1074"/>
      <c r="F299" s="1074"/>
      <c r="G299" s="1074"/>
      <c r="H299" s="1074"/>
      <c r="I299" s="1074"/>
      <c r="J299" s="1074"/>
    </row>
    <row r="300" spans="1:11" ht="30" hidden="1" customHeight="1" x14ac:dyDescent="0.25">
      <c r="A300" s="638" t="s">
        <v>1</v>
      </c>
      <c r="B300" s="1346" t="s">
        <v>44</v>
      </c>
      <c r="C300" s="1346"/>
      <c r="D300" s="1346"/>
      <c r="E300" s="1346" t="s">
        <v>58</v>
      </c>
      <c r="F300" s="1346"/>
      <c r="G300" s="1344" t="s">
        <v>66</v>
      </c>
      <c r="H300" s="1345"/>
      <c r="I300" s="1346" t="s">
        <v>60</v>
      </c>
      <c r="J300" s="1346"/>
    </row>
    <row r="301" spans="1:11" ht="18" hidden="1" customHeight="1" x14ac:dyDescent="0.25">
      <c r="A301" s="638">
        <v>1</v>
      </c>
      <c r="B301" s="1346">
        <v>2</v>
      </c>
      <c r="C301" s="1346"/>
      <c r="D301" s="1346"/>
      <c r="E301" s="1346">
        <v>3</v>
      </c>
      <c r="F301" s="1346"/>
      <c r="G301" s="1346">
        <v>4</v>
      </c>
      <c r="H301" s="1346"/>
      <c r="I301" s="1346">
        <v>5</v>
      </c>
      <c r="J301" s="1346"/>
    </row>
    <row r="302" spans="1:11" ht="36.75" hidden="1" customHeight="1" x14ac:dyDescent="0.25">
      <c r="A302" s="1333"/>
      <c r="B302" s="1334"/>
      <c r="C302" s="1334"/>
      <c r="D302" s="1334"/>
      <c r="E302" s="1334"/>
      <c r="F302" s="1334"/>
      <c r="G302" s="1334"/>
      <c r="H302" s="1334"/>
      <c r="I302" s="1334"/>
      <c r="J302" s="1335"/>
    </row>
    <row r="303" spans="1:11" ht="36.75" hidden="1" customHeight="1" x14ac:dyDescent="0.25">
      <c r="A303" s="645">
        <v>1</v>
      </c>
      <c r="B303" s="1257"/>
      <c r="C303" s="1257"/>
      <c r="D303" s="1257"/>
      <c r="E303" s="1353"/>
      <c r="F303" s="1354"/>
      <c r="G303" s="1355"/>
      <c r="H303" s="1356"/>
      <c r="I303" s="1355"/>
      <c r="J303" s="1356"/>
      <c r="K303" s="1">
        <v>57077</v>
      </c>
    </row>
    <row r="304" spans="1:11" ht="36.75" hidden="1" customHeight="1" x14ac:dyDescent="0.25">
      <c r="A304" s="645">
        <v>2</v>
      </c>
      <c r="B304" s="1257"/>
      <c r="C304" s="1257"/>
      <c r="D304" s="1257"/>
      <c r="E304" s="1353"/>
      <c r="F304" s="1354"/>
      <c r="G304" s="1355"/>
      <c r="H304" s="1356"/>
      <c r="I304" s="1355"/>
      <c r="J304" s="1356"/>
      <c r="K304" s="1">
        <v>50925</v>
      </c>
    </row>
    <row r="305" spans="1:10" s="267" customFormat="1" ht="36.75" hidden="1" customHeight="1" x14ac:dyDescent="0.25">
      <c r="A305" s="653">
        <v>3</v>
      </c>
      <c r="B305" s="1099"/>
      <c r="C305" s="1100"/>
      <c r="D305" s="1101"/>
      <c r="E305" s="1360"/>
      <c r="F305" s="1361"/>
      <c r="G305" s="1382"/>
      <c r="H305" s="1383"/>
      <c r="I305" s="1375"/>
      <c r="J305" s="1376"/>
    </row>
    <row r="306" spans="1:10" ht="30" hidden="1" customHeight="1" x14ac:dyDescent="0.25">
      <c r="A306" s="639"/>
      <c r="B306" s="1387"/>
      <c r="C306" s="1444"/>
      <c r="D306" s="1388"/>
      <c r="E306" s="1445"/>
      <c r="F306" s="1445"/>
      <c r="G306" s="1445"/>
      <c r="H306" s="1445"/>
      <c r="I306" s="1355"/>
      <c r="J306" s="1356"/>
    </row>
    <row r="307" spans="1:10" ht="30" hidden="1" customHeight="1" x14ac:dyDescent="0.25">
      <c r="A307" s="635"/>
      <c r="B307" s="1338" t="s">
        <v>13</v>
      </c>
      <c r="C307" s="1338"/>
      <c r="D307" s="1338"/>
      <c r="E307" s="1341" t="s">
        <v>14</v>
      </c>
      <c r="F307" s="1341"/>
      <c r="G307" s="1341" t="s">
        <v>14</v>
      </c>
      <c r="H307" s="1341"/>
      <c r="I307" s="1385">
        <f>SUM(I303:J306)</f>
        <v>0</v>
      </c>
      <c r="J307" s="1341"/>
    </row>
    <row r="308" spans="1:10" ht="108.75" hidden="1" customHeight="1" x14ac:dyDescent="0.25">
      <c r="A308" s="1443" t="s">
        <v>762</v>
      </c>
      <c r="B308" s="1443"/>
      <c r="C308" s="1443"/>
      <c r="D308" s="1443"/>
      <c r="E308" s="1443"/>
      <c r="F308" s="1443"/>
      <c r="G308" s="1443"/>
      <c r="H308" s="1443"/>
      <c r="I308" s="1443"/>
      <c r="J308" s="1443"/>
    </row>
    <row r="309" spans="1:10" ht="17.25" hidden="1" customHeight="1" x14ac:dyDescent="0.25">
      <c r="A309" s="639">
        <v>6</v>
      </c>
      <c r="B309" s="1377" t="s">
        <v>763</v>
      </c>
      <c r="C309" s="1378"/>
      <c r="D309" s="1379"/>
      <c r="E309" s="313" t="s">
        <v>299</v>
      </c>
      <c r="F309" s="313">
        <v>1</v>
      </c>
      <c r="G309" s="1373" t="s">
        <v>256</v>
      </c>
      <c r="H309" s="1374"/>
      <c r="I309" s="1430">
        <v>0</v>
      </c>
      <c r="J309" s="1381"/>
    </row>
    <row r="310" spans="1:10" ht="17.25" hidden="1" customHeight="1" x14ac:dyDescent="0.25">
      <c r="A310" s="381"/>
      <c r="B310" s="1393" t="s">
        <v>325</v>
      </c>
      <c r="C310" s="1393"/>
      <c r="D310" s="1393"/>
      <c r="E310" s="1394" t="s">
        <v>14</v>
      </c>
      <c r="F310" s="1395"/>
      <c r="G310" s="1396">
        <f>J279+J280+J281+J287+I309+J282</f>
        <v>0</v>
      </c>
      <c r="H310" s="1397"/>
      <c r="I310" s="1397"/>
      <c r="J310" s="1397"/>
    </row>
    <row r="311" spans="1:10" ht="17.25" hidden="1" customHeight="1" x14ac:dyDescent="0.25">
      <c r="A311" s="1442" t="s">
        <v>376</v>
      </c>
      <c r="B311" s="1442"/>
      <c r="C311" s="1442"/>
      <c r="D311" s="1442"/>
      <c r="E311" s="1442"/>
      <c r="F311" s="1442"/>
      <c r="G311" s="1442"/>
      <c r="H311" s="1442"/>
      <c r="I311" s="1442"/>
      <c r="J311" s="1442"/>
    </row>
    <row r="312" spans="1:10" ht="17.25" hidden="1" customHeight="1" x14ac:dyDescent="0.25">
      <c r="A312" s="638" t="s">
        <v>1</v>
      </c>
      <c r="B312" s="1344" t="s">
        <v>15</v>
      </c>
      <c r="C312" s="1392"/>
      <c r="D312" s="1345"/>
      <c r="E312" s="1344" t="s">
        <v>58</v>
      </c>
      <c r="F312" s="1345"/>
      <c r="G312" s="1344" t="s">
        <v>66</v>
      </c>
      <c r="H312" s="1345"/>
      <c r="I312" s="1344" t="s">
        <v>260</v>
      </c>
      <c r="J312" s="1345"/>
    </row>
    <row r="313" spans="1:10" ht="17.25" hidden="1" customHeight="1" x14ac:dyDescent="0.25">
      <c r="A313" s="638">
        <v>1</v>
      </c>
      <c r="B313" s="1344">
        <v>2</v>
      </c>
      <c r="C313" s="1392"/>
      <c r="D313" s="1345"/>
      <c r="E313" s="1344">
        <v>3</v>
      </c>
      <c r="F313" s="1345"/>
      <c r="G313" s="1344">
        <v>4</v>
      </c>
      <c r="H313" s="1345"/>
      <c r="I313" s="1344">
        <v>5</v>
      </c>
      <c r="J313" s="1345"/>
    </row>
    <row r="314" spans="1:10" ht="39" hidden="1" customHeight="1" x14ac:dyDescent="0.25">
      <c r="A314" s="1319" t="s">
        <v>745</v>
      </c>
      <c r="B314" s="1320"/>
      <c r="C314" s="1320"/>
      <c r="D314" s="1320"/>
      <c r="E314" s="1320"/>
      <c r="F314" s="1320"/>
      <c r="G314" s="1320"/>
      <c r="H314" s="1320"/>
      <c r="I314" s="1320"/>
      <c r="J314" s="1321"/>
    </row>
    <row r="315" spans="1:10" ht="17.25" hidden="1" customHeight="1" x14ac:dyDescent="0.25">
      <c r="A315" s="638">
        <v>1</v>
      </c>
      <c r="B315" s="1322" t="s">
        <v>1175</v>
      </c>
      <c r="C315" s="1322"/>
      <c r="D315" s="1322"/>
      <c r="E315" s="1323">
        <v>1</v>
      </c>
      <c r="F315" s="1323"/>
      <c r="G315" s="1324">
        <v>0</v>
      </c>
      <c r="H315" s="1324"/>
      <c r="I315" s="1324">
        <f>E315*G315</f>
        <v>0</v>
      </c>
      <c r="J315" s="1324"/>
    </row>
    <row r="316" spans="1:10" ht="17.25" hidden="1" customHeight="1" x14ac:dyDescent="0.25">
      <c r="A316" s="638">
        <v>2</v>
      </c>
      <c r="B316" s="1322" t="s">
        <v>1176</v>
      </c>
      <c r="C316" s="1322"/>
      <c r="D316" s="1322"/>
      <c r="E316" s="1323">
        <v>1</v>
      </c>
      <c r="F316" s="1323"/>
      <c r="G316" s="1324">
        <v>0</v>
      </c>
      <c r="H316" s="1324"/>
      <c r="I316" s="1324">
        <f>E316*G316</f>
        <v>0</v>
      </c>
      <c r="J316" s="1324"/>
    </row>
    <row r="317" spans="1:10" ht="17.25" hidden="1" customHeight="1" x14ac:dyDescent="0.25">
      <c r="A317" s="638"/>
      <c r="B317" s="1323"/>
      <c r="C317" s="1323"/>
      <c r="D317" s="1323"/>
      <c r="E317" s="1323"/>
      <c r="F317" s="1323"/>
      <c r="G317" s="1323"/>
      <c r="H317" s="1323"/>
      <c r="I317" s="1323"/>
      <c r="J317" s="1323"/>
    </row>
    <row r="318" spans="1:10" ht="48.75" hidden="1" customHeight="1" x14ac:dyDescent="0.25">
      <c r="A318" s="1333" t="s">
        <v>748</v>
      </c>
      <c r="B318" s="1334"/>
      <c r="C318" s="1334"/>
      <c r="D318" s="1334"/>
      <c r="E318" s="1334"/>
      <c r="F318" s="1334"/>
      <c r="G318" s="1334"/>
      <c r="H318" s="1334"/>
      <c r="I318" s="1334"/>
      <c r="J318" s="1335"/>
    </row>
    <row r="319" spans="1:10" ht="17.25" hidden="1" customHeight="1" x14ac:dyDescent="0.25">
      <c r="A319" s="639">
        <v>1</v>
      </c>
      <c r="B319" s="1257" t="s">
        <v>715</v>
      </c>
      <c r="C319" s="1257"/>
      <c r="D319" s="1257"/>
      <c r="E319" s="1353">
        <v>1</v>
      </c>
      <c r="F319" s="1354"/>
      <c r="G319" s="1355">
        <v>0</v>
      </c>
      <c r="H319" s="1356"/>
      <c r="I319" s="1355">
        <f>E319*G319</f>
        <v>0</v>
      </c>
      <c r="J319" s="1356"/>
    </row>
    <row r="320" spans="1:10" ht="17.25" hidden="1" customHeight="1" x14ac:dyDescent="0.25">
      <c r="A320" s="621">
        <v>2</v>
      </c>
      <c r="B320" s="1257" t="s">
        <v>716</v>
      </c>
      <c r="C320" s="1257"/>
      <c r="D320" s="1257"/>
      <c r="E320" s="1353">
        <v>1</v>
      </c>
      <c r="F320" s="1354"/>
      <c r="G320" s="1355">
        <v>0</v>
      </c>
      <c r="H320" s="1356"/>
      <c r="I320" s="1355">
        <f t="shared" ref="I320" si="15">E320*G320</f>
        <v>0</v>
      </c>
      <c r="J320" s="1356"/>
    </row>
    <row r="321" spans="1:12" ht="17.25" hidden="1" customHeight="1" x14ac:dyDescent="0.25">
      <c r="A321" s="639"/>
      <c r="B321" s="1338" t="s">
        <v>13</v>
      </c>
      <c r="C321" s="1338"/>
      <c r="D321" s="1338"/>
      <c r="E321" s="1339" t="s">
        <v>74</v>
      </c>
      <c r="F321" s="1340"/>
      <c r="G321" s="1341" t="s">
        <v>14</v>
      </c>
      <c r="H321" s="1341"/>
      <c r="I321" s="1385">
        <f>I319+I320+I315+I316</f>
        <v>0</v>
      </c>
      <c r="J321" s="1385"/>
    </row>
    <row r="322" spans="1:12" ht="21.75" hidden="1" customHeight="1" x14ac:dyDescent="0.25">
      <c r="A322" s="1391" t="s">
        <v>377</v>
      </c>
      <c r="B322" s="1391"/>
      <c r="C322" s="1391"/>
      <c r="D322" s="1391"/>
      <c r="E322" s="1391"/>
      <c r="F322" s="1391"/>
      <c r="G322" s="1391"/>
      <c r="H322" s="1391"/>
      <c r="I322" s="1391"/>
      <c r="J322" s="1391"/>
    </row>
    <row r="323" spans="1:12" ht="21.75" hidden="1" customHeight="1" x14ac:dyDescent="0.25">
      <c r="A323" s="1055" t="s">
        <v>489</v>
      </c>
      <c r="B323" s="1055"/>
      <c r="C323" s="1055"/>
      <c r="D323" s="1055"/>
      <c r="E323" s="1055"/>
      <c r="F323" s="1055"/>
      <c r="G323" s="1055"/>
      <c r="H323" s="1055"/>
      <c r="I323" s="1055"/>
      <c r="J323" s="1055"/>
    </row>
    <row r="324" spans="1:12" ht="21.75" hidden="1" customHeight="1" x14ac:dyDescent="0.25">
      <c r="A324" s="638" t="s">
        <v>1</v>
      </c>
      <c r="B324" s="1344" t="s">
        <v>15</v>
      </c>
      <c r="C324" s="1392"/>
      <c r="D324" s="1345"/>
      <c r="E324" s="1344" t="s">
        <v>58</v>
      </c>
      <c r="F324" s="1345"/>
      <c r="G324" s="1344" t="s">
        <v>66</v>
      </c>
      <c r="H324" s="1345"/>
      <c r="I324" s="1344" t="s">
        <v>260</v>
      </c>
      <c r="J324" s="1345"/>
    </row>
    <row r="325" spans="1:12" ht="21.75" hidden="1" customHeight="1" x14ac:dyDescent="0.25">
      <c r="A325" s="638">
        <v>1</v>
      </c>
      <c r="B325" s="1344">
        <v>2</v>
      </c>
      <c r="C325" s="1392"/>
      <c r="D325" s="1345"/>
      <c r="E325" s="1344">
        <v>3</v>
      </c>
      <c r="F325" s="1345"/>
      <c r="G325" s="1344">
        <v>4</v>
      </c>
      <c r="H325" s="1345"/>
      <c r="I325" s="1344">
        <v>5</v>
      </c>
      <c r="J325" s="1345"/>
    </row>
    <row r="326" spans="1:12" ht="63.75" hidden="1" customHeight="1" x14ac:dyDescent="0.25">
      <c r="A326" s="1319" t="s">
        <v>569</v>
      </c>
      <c r="B326" s="1320"/>
      <c r="C326" s="1320"/>
      <c r="D326" s="1320"/>
      <c r="E326" s="1320"/>
      <c r="F326" s="1320"/>
      <c r="G326" s="1320"/>
      <c r="H326" s="1320"/>
      <c r="I326" s="1320"/>
      <c r="J326" s="1321"/>
    </row>
    <row r="327" spans="1:12" ht="39.75" hidden="1" customHeight="1" x14ac:dyDescent="0.25">
      <c r="A327" s="633" t="s">
        <v>70</v>
      </c>
      <c r="B327" s="1357" t="s">
        <v>172</v>
      </c>
      <c r="C327" s="1358"/>
      <c r="D327" s="1359"/>
      <c r="E327" s="93"/>
      <c r="F327" s="93"/>
      <c r="G327" s="1362"/>
      <c r="H327" s="1363"/>
      <c r="I327" s="1401">
        <f>SUM(I328:J330)</f>
        <v>0</v>
      </c>
      <c r="J327" s="1390"/>
    </row>
    <row r="328" spans="1:12" ht="22.5" hidden="1" customHeight="1" x14ac:dyDescent="0.25">
      <c r="A328" s="639"/>
      <c r="B328" s="1099" t="s">
        <v>550</v>
      </c>
      <c r="C328" s="1100"/>
      <c r="D328" s="1101"/>
      <c r="E328" s="313" t="s">
        <v>301</v>
      </c>
      <c r="F328" s="610"/>
      <c r="G328" s="1373" t="s">
        <v>256</v>
      </c>
      <c r="H328" s="1374"/>
      <c r="I328" s="1261">
        <v>0</v>
      </c>
      <c r="J328" s="1262"/>
    </row>
    <row r="329" spans="1:12" ht="22.5" hidden="1" customHeight="1" x14ac:dyDescent="0.25">
      <c r="A329" s="95"/>
      <c r="B329" s="1402" t="s">
        <v>195</v>
      </c>
      <c r="C329" s="1403"/>
      <c r="D329" s="1404"/>
      <c r="E329" s="313" t="s">
        <v>301</v>
      </c>
      <c r="F329" s="643"/>
      <c r="G329" s="1373" t="s">
        <v>256</v>
      </c>
      <c r="H329" s="1374"/>
      <c r="I329" s="1405">
        <v>0</v>
      </c>
      <c r="J329" s="1365"/>
    </row>
    <row r="330" spans="1:12" ht="21.75" hidden="1" customHeight="1" x14ac:dyDescent="0.25">
      <c r="A330" s="95"/>
      <c r="B330" s="1402" t="s">
        <v>82</v>
      </c>
      <c r="C330" s="1403"/>
      <c r="D330" s="1404"/>
      <c r="E330" s="313" t="s">
        <v>301</v>
      </c>
      <c r="F330" s="138"/>
      <c r="G330" s="1373" t="s">
        <v>256</v>
      </c>
      <c r="H330" s="1374"/>
      <c r="I330" s="1430">
        <v>0</v>
      </c>
      <c r="J330" s="1381"/>
    </row>
    <row r="331" spans="1:12" ht="21.75" hidden="1" customHeight="1" x14ac:dyDescent="0.25">
      <c r="A331" s="639"/>
      <c r="B331" s="1431" t="s">
        <v>13</v>
      </c>
      <c r="C331" s="1432"/>
      <c r="D331" s="1433"/>
      <c r="E331" s="1342" t="s">
        <v>74</v>
      </c>
      <c r="F331" s="1343"/>
      <c r="G331" s="1406" t="s">
        <v>14</v>
      </c>
      <c r="H331" s="1407"/>
      <c r="I331" s="1408">
        <f>I327</f>
        <v>0</v>
      </c>
      <c r="J331" s="1409"/>
    </row>
    <row r="332" spans="1:12" ht="15.75" hidden="1" x14ac:dyDescent="0.25">
      <c r="A332" s="1055" t="s">
        <v>490</v>
      </c>
      <c r="B332" s="1055"/>
      <c r="C332" s="1055"/>
      <c r="D332" s="1055"/>
      <c r="E332" s="1055"/>
      <c r="F332" s="1055"/>
      <c r="G332" s="1055"/>
      <c r="H332" s="1055"/>
      <c r="I332" s="1055"/>
      <c r="J332" s="1055"/>
    </row>
    <row r="333" spans="1:12" ht="15" hidden="1" customHeight="1" x14ac:dyDescent="0.25">
      <c r="A333" s="638" t="s">
        <v>1</v>
      </c>
      <c r="B333" s="1346" t="s">
        <v>15</v>
      </c>
      <c r="C333" s="1346"/>
      <c r="D333" s="1346"/>
      <c r="E333" s="1346" t="s">
        <v>58</v>
      </c>
      <c r="F333" s="1346"/>
      <c r="G333" s="1346" t="s">
        <v>66</v>
      </c>
      <c r="H333" s="1346"/>
      <c r="I333" s="1346" t="s">
        <v>260</v>
      </c>
      <c r="J333" s="1346"/>
    </row>
    <row r="334" spans="1:12" hidden="1" x14ac:dyDescent="0.25">
      <c r="A334" s="638">
        <v>1</v>
      </c>
      <c r="B334" s="1346">
        <v>2</v>
      </c>
      <c r="C334" s="1346"/>
      <c r="D334" s="1346"/>
      <c r="E334" s="1346">
        <v>3</v>
      </c>
      <c r="F334" s="1346"/>
      <c r="G334" s="1346">
        <v>4</v>
      </c>
      <c r="H334" s="1346"/>
      <c r="I334" s="1346">
        <v>5</v>
      </c>
      <c r="J334" s="1346"/>
    </row>
    <row r="335" spans="1:12" ht="47.25" hidden="1" customHeight="1" x14ac:dyDescent="0.25">
      <c r="A335" s="1333" t="s">
        <v>515</v>
      </c>
      <c r="B335" s="1334"/>
      <c r="C335" s="1334"/>
      <c r="D335" s="1334"/>
      <c r="E335" s="1334"/>
      <c r="F335" s="1334"/>
      <c r="G335" s="1334"/>
      <c r="H335" s="1334"/>
      <c r="I335" s="1334"/>
      <c r="J335" s="1335"/>
      <c r="K335" s="139"/>
      <c r="L335" s="140"/>
    </row>
    <row r="336" spans="1:12" ht="37.5" hidden="1" customHeight="1" x14ac:dyDescent="0.25">
      <c r="A336" s="639">
        <v>1</v>
      </c>
      <c r="B336" s="1322" t="s">
        <v>519</v>
      </c>
      <c r="C336" s="1322"/>
      <c r="D336" s="1322"/>
      <c r="E336" s="313" t="s">
        <v>301</v>
      </c>
      <c r="F336" s="643"/>
      <c r="G336" s="1372" t="s">
        <v>256</v>
      </c>
      <c r="H336" s="1372"/>
      <c r="I336" s="1364">
        <f>3300-3300</f>
        <v>0</v>
      </c>
      <c r="J336" s="1365"/>
      <c r="K336" s="139"/>
      <c r="L336" s="140"/>
    </row>
    <row r="337" spans="1:10" hidden="1" x14ac:dyDescent="0.25">
      <c r="A337" s="95"/>
      <c r="B337" s="1377"/>
      <c r="C337" s="1378"/>
      <c r="D337" s="1379"/>
      <c r="E337" s="313"/>
      <c r="F337" s="138"/>
      <c r="G337" s="1372"/>
      <c r="H337" s="1372"/>
      <c r="I337" s="1380"/>
      <c r="J337" s="1381"/>
    </row>
    <row r="338" spans="1:10" s="44" customFormat="1" ht="15" hidden="1" customHeight="1" x14ac:dyDescent="0.25">
      <c r="A338" s="639"/>
      <c r="B338" s="1338" t="s">
        <v>13</v>
      </c>
      <c r="C338" s="1338"/>
      <c r="D338" s="1338"/>
      <c r="E338" s="1342" t="s">
        <v>74</v>
      </c>
      <c r="F338" s="1343"/>
      <c r="G338" s="1341" t="s">
        <v>14</v>
      </c>
      <c r="H338" s="1341"/>
      <c r="I338" s="1347">
        <f>I336+I337</f>
        <v>0</v>
      </c>
      <c r="J338" s="1341"/>
    </row>
    <row r="339" spans="1:10" s="44" customFormat="1" ht="15" hidden="1" customHeight="1" x14ac:dyDescent="0.25">
      <c r="A339" s="1055" t="s">
        <v>491</v>
      </c>
      <c r="B339" s="1055"/>
      <c r="C339" s="1055"/>
      <c r="D339" s="1055"/>
      <c r="E339" s="1055"/>
      <c r="F339" s="1055"/>
      <c r="G339" s="1055"/>
      <c r="H339" s="1055"/>
      <c r="I339" s="1055"/>
      <c r="J339" s="1055"/>
    </row>
    <row r="340" spans="1:10" s="44" customFormat="1" ht="15" hidden="1" customHeight="1" x14ac:dyDescent="0.2">
      <c r="A340" s="638" t="s">
        <v>1</v>
      </c>
      <c r="B340" s="1346" t="s">
        <v>15</v>
      </c>
      <c r="C340" s="1346"/>
      <c r="D340" s="1346"/>
      <c r="E340" s="1346" t="s">
        <v>58</v>
      </c>
      <c r="F340" s="1346"/>
      <c r="G340" s="1346" t="s">
        <v>66</v>
      </c>
      <c r="H340" s="1346"/>
      <c r="I340" s="1346" t="s">
        <v>260</v>
      </c>
      <c r="J340" s="1346"/>
    </row>
    <row r="341" spans="1:10" s="44" customFormat="1" ht="15" hidden="1" customHeight="1" x14ac:dyDescent="0.2">
      <c r="A341" s="638">
        <v>1</v>
      </c>
      <c r="B341" s="1346">
        <v>2</v>
      </c>
      <c r="C341" s="1346"/>
      <c r="D341" s="1346"/>
      <c r="E341" s="1346">
        <v>3</v>
      </c>
      <c r="F341" s="1346"/>
      <c r="G341" s="1346">
        <v>4</v>
      </c>
      <c r="H341" s="1346"/>
      <c r="I341" s="1346">
        <v>5</v>
      </c>
      <c r="J341" s="1346"/>
    </row>
    <row r="342" spans="1:10" s="44" customFormat="1" ht="39.75" hidden="1" customHeight="1" x14ac:dyDescent="0.25">
      <c r="A342" s="633" t="s">
        <v>70</v>
      </c>
      <c r="B342" s="1357" t="s">
        <v>172</v>
      </c>
      <c r="C342" s="1358"/>
      <c r="D342" s="1359"/>
      <c r="E342" s="93"/>
      <c r="F342" s="93"/>
      <c r="G342" s="1362"/>
      <c r="H342" s="1363"/>
      <c r="I342" s="1389">
        <f>SUM(I343:J344)</f>
        <v>0</v>
      </c>
      <c r="J342" s="1390"/>
    </row>
    <row r="343" spans="1:10" s="44" customFormat="1" ht="15" hidden="1" customHeight="1" x14ac:dyDescent="0.25">
      <c r="A343" s="639" t="s">
        <v>27</v>
      </c>
      <c r="B343" s="1371" t="s">
        <v>493</v>
      </c>
      <c r="C343" s="1371"/>
      <c r="D343" s="1371"/>
      <c r="E343" s="313"/>
      <c r="F343" s="643"/>
      <c r="G343" s="1372" t="s">
        <v>256</v>
      </c>
      <c r="H343" s="1372"/>
      <c r="I343" s="1364">
        <v>0</v>
      </c>
      <c r="J343" s="1365"/>
    </row>
    <row r="344" spans="1:10" s="45" customFormat="1" ht="15" hidden="1" customHeight="1" x14ac:dyDescent="0.25">
      <c r="A344" s="95" t="s">
        <v>27</v>
      </c>
      <c r="B344" s="1377"/>
      <c r="C344" s="1378"/>
      <c r="D344" s="1379"/>
      <c r="E344" s="313"/>
      <c r="F344" s="138"/>
      <c r="G344" s="1372"/>
      <c r="H344" s="1372"/>
      <c r="I344" s="1380"/>
      <c r="J344" s="1381"/>
    </row>
    <row r="345" spans="1:10" s="44" customFormat="1" ht="33" hidden="1" customHeight="1" x14ac:dyDescent="0.25">
      <c r="A345" s="639"/>
      <c r="B345" s="1338" t="s">
        <v>13</v>
      </c>
      <c r="C345" s="1338"/>
      <c r="D345" s="1338"/>
      <c r="E345" s="1342" t="s">
        <v>74</v>
      </c>
      <c r="F345" s="1343"/>
      <c r="G345" s="1341" t="s">
        <v>14</v>
      </c>
      <c r="H345" s="1341"/>
      <c r="I345" s="1347">
        <f>I342</f>
        <v>0</v>
      </c>
      <c r="J345" s="1341"/>
    </row>
    <row r="346" spans="1:10" s="45" customFormat="1" ht="15" hidden="1" customHeight="1" x14ac:dyDescent="0.25">
      <c r="A346" s="1055" t="s">
        <v>492</v>
      </c>
      <c r="B346" s="1055"/>
      <c r="C346" s="1055"/>
      <c r="D346" s="1055"/>
      <c r="E346" s="1055"/>
      <c r="F346" s="1055"/>
      <c r="G346" s="1055"/>
      <c r="H346" s="1055"/>
      <c r="I346" s="1055"/>
      <c r="J346" s="1055"/>
    </row>
    <row r="347" spans="1:10" s="45" customFormat="1" ht="15" hidden="1" customHeight="1" x14ac:dyDescent="0.25">
      <c r="A347" s="638" t="s">
        <v>1</v>
      </c>
      <c r="B347" s="1346" t="s">
        <v>15</v>
      </c>
      <c r="C347" s="1346"/>
      <c r="D347" s="1346"/>
      <c r="E347" s="1346" t="s">
        <v>58</v>
      </c>
      <c r="F347" s="1346"/>
      <c r="G347" s="1346" t="s">
        <v>66</v>
      </c>
      <c r="H347" s="1346"/>
      <c r="I347" s="1346" t="s">
        <v>260</v>
      </c>
      <c r="J347" s="1346"/>
    </row>
    <row r="348" spans="1:10" s="45" customFormat="1" ht="15" hidden="1" customHeight="1" x14ac:dyDescent="0.25">
      <c r="A348" s="638">
        <v>1</v>
      </c>
      <c r="B348" s="1346">
        <v>2</v>
      </c>
      <c r="C348" s="1346"/>
      <c r="D348" s="1346"/>
      <c r="E348" s="1346">
        <v>3</v>
      </c>
      <c r="F348" s="1346"/>
      <c r="G348" s="1346">
        <v>4</v>
      </c>
      <c r="H348" s="1346"/>
      <c r="I348" s="1346">
        <v>5</v>
      </c>
      <c r="J348" s="1346"/>
    </row>
    <row r="349" spans="1:10" s="45" customFormat="1" ht="38.25" hidden="1" customHeight="1" x14ac:dyDescent="0.25">
      <c r="A349" s="633" t="s">
        <v>70</v>
      </c>
      <c r="B349" s="1357" t="s">
        <v>172</v>
      </c>
      <c r="C349" s="1358"/>
      <c r="D349" s="1359"/>
      <c r="E349" s="93"/>
      <c r="F349" s="93"/>
      <c r="G349" s="1362"/>
      <c r="H349" s="1363"/>
      <c r="I349" s="1389">
        <f>SUM(I350:J351)</f>
        <v>0</v>
      </c>
      <c r="J349" s="1390"/>
    </row>
    <row r="350" spans="1:10" s="45" customFormat="1" ht="15" hidden="1" customHeight="1" x14ac:dyDescent="0.25">
      <c r="A350" s="639" t="s">
        <v>27</v>
      </c>
      <c r="B350" s="1371"/>
      <c r="C350" s="1371"/>
      <c r="D350" s="1371"/>
      <c r="E350" s="313" t="s">
        <v>301</v>
      </c>
      <c r="F350" s="643"/>
      <c r="G350" s="1372" t="s">
        <v>256</v>
      </c>
      <c r="H350" s="1372"/>
      <c r="I350" s="1364"/>
      <c r="J350" s="1365"/>
    </row>
    <row r="351" spans="1:10" s="45" customFormat="1" ht="15" hidden="1" customHeight="1" x14ac:dyDescent="0.25">
      <c r="A351" s="95" t="s">
        <v>27</v>
      </c>
      <c r="B351" s="1377"/>
      <c r="C351" s="1378"/>
      <c r="D351" s="1379"/>
      <c r="E351" s="313"/>
      <c r="F351" s="138"/>
      <c r="G351" s="1372"/>
      <c r="H351" s="1372"/>
      <c r="I351" s="1380"/>
      <c r="J351" s="1381"/>
    </row>
    <row r="352" spans="1:10" s="45" customFormat="1" ht="15" hidden="1" customHeight="1" x14ac:dyDescent="0.25">
      <c r="A352" s="639"/>
      <c r="B352" s="1338" t="s">
        <v>13</v>
      </c>
      <c r="C352" s="1338"/>
      <c r="D352" s="1338"/>
      <c r="E352" s="1342" t="s">
        <v>74</v>
      </c>
      <c r="F352" s="1343"/>
      <c r="G352" s="1341" t="s">
        <v>14</v>
      </c>
      <c r="H352" s="1341"/>
      <c r="I352" s="1347">
        <f>I349</f>
        <v>0</v>
      </c>
      <c r="J352" s="1341"/>
    </row>
    <row r="353" spans="1:10" s="45" customFormat="1" ht="15" hidden="1" customHeight="1" x14ac:dyDescent="0.25">
      <c r="A353" s="1384" t="s">
        <v>495</v>
      </c>
      <c r="B353" s="1384"/>
      <c r="C353" s="1384"/>
      <c r="D353" s="1384"/>
      <c r="E353" s="1384"/>
      <c r="F353" s="1384"/>
      <c r="G353" s="1384"/>
      <c r="H353" s="1384"/>
      <c r="I353" s="1384"/>
      <c r="J353" s="1384"/>
    </row>
    <row r="354" spans="1:10" s="45" customFormat="1" ht="15" hidden="1" customHeight="1" x14ac:dyDescent="0.25">
      <c r="A354" s="638" t="s">
        <v>1</v>
      </c>
      <c r="B354" s="1346" t="s">
        <v>15</v>
      </c>
      <c r="C354" s="1346"/>
      <c r="D354" s="1346"/>
      <c r="E354" s="1346" t="s">
        <v>58</v>
      </c>
      <c r="F354" s="1346"/>
      <c r="G354" s="1346" t="s">
        <v>66</v>
      </c>
      <c r="H354" s="1346"/>
      <c r="I354" s="1346" t="s">
        <v>260</v>
      </c>
      <c r="J354" s="1346"/>
    </row>
    <row r="355" spans="1:10" s="45" customFormat="1" ht="15" hidden="1" customHeight="1" x14ac:dyDescent="0.25">
      <c r="A355" s="638">
        <v>1</v>
      </c>
      <c r="B355" s="1346">
        <v>2</v>
      </c>
      <c r="C355" s="1346"/>
      <c r="D355" s="1346"/>
      <c r="E355" s="1346">
        <v>3</v>
      </c>
      <c r="F355" s="1346"/>
      <c r="G355" s="1346">
        <v>4</v>
      </c>
      <c r="H355" s="1346"/>
      <c r="I355" s="1346">
        <v>5</v>
      </c>
      <c r="J355" s="1346"/>
    </row>
    <row r="356" spans="1:10" s="45" customFormat="1" ht="36" hidden="1" customHeight="1" x14ac:dyDescent="0.25">
      <c r="A356" s="1333" t="s">
        <v>748</v>
      </c>
      <c r="B356" s="1334"/>
      <c r="C356" s="1334"/>
      <c r="D356" s="1334"/>
      <c r="E356" s="1334"/>
      <c r="F356" s="1334"/>
      <c r="G356" s="1334"/>
      <c r="H356" s="1334"/>
      <c r="I356" s="1334"/>
      <c r="J356" s="1335"/>
    </row>
    <row r="357" spans="1:10" s="45" customFormat="1" ht="15" hidden="1" customHeight="1" x14ac:dyDescent="0.25">
      <c r="A357" s="639">
        <v>1</v>
      </c>
      <c r="B357" s="1322" t="s">
        <v>520</v>
      </c>
      <c r="C357" s="1322"/>
      <c r="D357" s="1322"/>
      <c r="E357" s="313" t="s">
        <v>301</v>
      </c>
      <c r="F357" s="643"/>
      <c r="G357" s="1372" t="s">
        <v>256</v>
      </c>
      <c r="H357" s="1372"/>
      <c r="I357" s="1364">
        <v>0</v>
      </c>
      <c r="J357" s="1365"/>
    </row>
    <row r="358" spans="1:10" s="45" customFormat="1" ht="15" hidden="1" customHeight="1" x14ac:dyDescent="0.25">
      <c r="A358" s="639">
        <v>2</v>
      </c>
      <c r="B358" s="1330"/>
      <c r="C358" s="1331"/>
      <c r="D358" s="1332"/>
      <c r="E358" s="313" t="s">
        <v>301</v>
      </c>
      <c r="F358" s="656"/>
      <c r="G358" s="1373" t="s">
        <v>256</v>
      </c>
      <c r="H358" s="1374"/>
      <c r="I358" s="1369">
        <v>0</v>
      </c>
      <c r="J358" s="1370"/>
    </row>
    <row r="359" spans="1:10" s="45" customFormat="1" ht="15" hidden="1" customHeight="1" x14ac:dyDescent="0.25">
      <c r="A359" s="95"/>
      <c r="B359" s="1338" t="s">
        <v>13</v>
      </c>
      <c r="C359" s="1338"/>
      <c r="D359" s="1338"/>
      <c r="E359" s="1342" t="s">
        <v>74</v>
      </c>
      <c r="F359" s="1343"/>
      <c r="G359" s="1341" t="s">
        <v>14</v>
      </c>
      <c r="H359" s="1341"/>
      <c r="I359" s="1347">
        <f>I357+I358</f>
        <v>0</v>
      </c>
      <c r="J359" s="1341"/>
    </row>
    <row r="360" spans="1:10" s="45" customFormat="1" ht="71.25" hidden="1" customHeight="1" x14ac:dyDescent="0.25">
      <c r="A360" s="1319" t="s">
        <v>569</v>
      </c>
      <c r="B360" s="1320"/>
      <c r="C360" s="1320"/>
      <c r="D360" s="1320"/>
      <c r="E360" s="1320"/>
      <c r="F360" s="1320"/>
      <c r="G360" s="1320"/>
      <c r="H360" s="1320"/>
      <c r="I360" s="1320"/>
      <c r="J360" s="1321"/>
    </row>
    <row r="361" spans="1:10" s="45" customFormat="1" ht="15" hidden="1" customHeight="1" x14ac:dyDescent="0.25">
      <c r="A361" s="638"/>
      <c r="B361" s="1330"/>
      <c r="C361" s="1331"/>
      <c r="D361" s="1332"/>
      <c r="E361" s="610"/>
      <c r="F361" s="612"/>
      <c r="G361" s="1196"/>
      <c r="H361" s="1196"/>
      <c r="I361" s="1240"/>
      <c r="J361" s="1133"/>
    </row>
    <row r="362" spans="1:10" s="45" customFormat="1" ht="15" hidden="1" customHeight="1" x14ac:dyDescent="0.25">
      <c r="A362" s="638"/>
      <c r="B362" s="1330"/>
      <c r="C362" s="1331"/>
      <c r="D362" s="1332"/>
      <c r="E362" s="610"/>
      <c r="F362" s="612"/>
      <c r="G362" s="600"/>
      <c r="H362" s="601"/>
      <c r="I362" s="1261"/>
      <c r="J362" s="1262"/>
    </row>
    <row r="363" spans="1:10" s="45" customFormat="1" ht="15" hidden="1" customHeight="1" x14ac:dyDescent="0.25">
      <c r="A363" s="638"/>
      <c r="B363" s="1330"/>
      <c r="C363" s="1331"/>
      <c r="D363" s="1332"/>
      <c r="E363" s="610"/>
      <c r="F363" s="612"/>
      <c r="G363" s="600"/>
      <c r="H363" s="601"/>
      <c r="I363" s="1261"/>
      <c r="J363" s="1262"/>
    </row>
    <row r="364" spans="1:10" s="45" customFormat="1" ht="15" hidden="1" customHeight="1" x14ac:dyDescent="0.25">
      <c r="A364" s="638"/>
      <c r="B364" s="1330"/>
      <c r="C364" s="1331"/>
      <c r="D364" s="1332"/>
      <c r="E364" s="610"/>
      <c r="F364" s="612"/>
      <c r="G364" s="600"/>
      <c r="H364" s="601"/>
      <c r="I364" s="1261"/>
      <c r="J364" s="1262"/>
    </row>
    <row r="365" spans="1:10" s="45" customFormat="1" ht="15" hidden="1" customHeight="1" x14ac:dyDescent="0.25">
      <c r="A365" s="95"/>
      <c r="B365" s="1338" t="s">
        <v>13</v>
      </c>
      <c r="C365" s="1338"/>
      <c r="D365" s="1338"/>
      <c r="E365" s="1348" t="s">
        <v>74</v>
      </c>
      <c r="F365" s="1348"/>
      <c r="G365" s="1341" t="s">
        <v>14</v>
      </c>
      <c r="H365" s="1341"/>
      <c r="I365" s="1347">
        <f>I361+I362+I363</f>
        <v>0</v>
      </c>
      <c r="J365" s="1341"/>
    </row>
    <row r="366" spans="1:10" s="45" customFormat="1" ht="15" hidden="1" customHeight="1" x14ac:dyDescent="0.25">
      <c r="A366" s="95"/>
      <c r="B366" s="1341" t="s">
        <v>563</v>
      </c>
      <c r="C366" s="1341"/>
      <c r="D366" s="1341"/>
      <c r="E366" s="1348"/>
      <c r="F366" s="1348"/>
      <c r="G366" s="1341"/>
      <c r="H366" s="1341"/>
      <c r="I366" s="1347">
        <f>I365+I359</f>
        <v>0</v>
      </c>
      <c r="J366" s="1347"/>
    </row>
    <row r="367" spans="1:10" s="44" customFormat="1" ht="15.75" hidden="1" x14ac:dyDescent="0.25">
      <c r="A367" s="1368" t="s">
        <v>496</v>
      </c>
      <c r="B367" s="1368"/>
      <c r="C367" s="1368"/>
      <c r="D367" s="1368"/>
      <c r="E367" s="1368"/>
      <c r="F367" s="1368"/>
      <c r="G367" s="1368"/>
      <c r="H367" s="1368"/>
      <c r="I367" s="1368"/>
      <c r="J367" s="1368"/>
    </row>
    <row r="368" spans="1:10" s="44" customFormat="1" ht="25.5" hidden="1" x14ac:dyDescent="0.2">
      <c r="A368" s="638" t="s">
        <v>1</v>
      </c>
      <c r="B368" s="1346" t="s">
        <v>15</v>
      </c>
      <c r="C368" s="1346"/>
      <c r="D368" s="1346"/>
      <c r="E368" s="1346" t="s">
        <v>58</v>
      </c>
      <c r="F368" s="1346"/>
      <c r="G368" s="1346" t="s">
        <v>66</v>
      </c>
      <c r="H368" s="1346"/>
      <c r="I368" s="1346" t="s">
        <v>260</v>
      </c>
      <c r="J368" s="1346"/>
    </row>
    <row r="369" spans="1:12" s="44" customFormat="1" ht="12.75" hidden="1" x14ac:dyDescent="0.2">
      <c r="A369" s="638">
        <v>1</v>
      </c>
      <c r="B369" s="1346">
        <v>2</v>
      </c>
      <c r="C369" s="1346"/>
      <c r="D369" s="1346"/>
      <c r="E369" s="1346">
        <v>3</v>
      </c>
      <c r="F369" s="1346"/>
      <c r="G369" s="1346">
        <v>4</v>
      </c>
      <c r="H369" s="1346"/>
      <c r="I369" s="1346">
        <v>5</v>
      </c>
      <c r="J369" s="1346"/>
    </row>
    <row r="370" spans="1:12" s="44" customFormat="1" ht="33.75" hidden="1" customHeight="1" x14ac:dyDescent="0.2">
      <c r="A370" s="1333" t="s">
        <v>748</v>
      </c>
      <c r="B370" s="1334"/>
      <c r="C370" s="1334"/>
      <c r="D370" s="1334"/>
      <c r="E370" s="1334"/>
      <c r="F370" s="1334"/>
      <c r="G370" s="1334"/>
      <c r="H370" s="1334"/>
      <c r="I370" s="1334"/>
      <c r="J370" s="1335"/>
    </row>
    <row r="371" spans="1:12" s="44" customFormat="1" ht="15" hidden="1" customHeight="1" x14ac:dyDescent="0.25">
      <c r="A371" s="638">
        <v>1</v>
      </c>
      <c r="B371" s="1330" t="s">
        <v>776</v>
      </c>
      <c r="C371" s="1331"/>
      <c r="D371" s="1332"/>
      <c r="E371" s="610"/>
      <c r="F371" s="612"/>
      <c r="G371" s="1196"/>
      <c r="H371" s="1196"/>
      <c r="I371" s="1240">
        <v>0</v>
      </c>
      <c r="J371" s="1133"/>
      <c r="K371" s="1240">
        <v>4000</v>
      </c>
      <c r="L371" s="1133"/>
    </row>
    <row r="372" spans="1:12" s="44" customFormat="1" ht="15.75" hidden="1" x14ac:dyDescent="0.25">
      <c r="A372" s="638">
        <v>2</v>
      </c>
      <c r="B372" s="1330" t="s">
        <v>777</v>
      </c>
      <c r="C372" s="1331"/>
      <c r="D372" s="1332"/>
      <c r="E372" s="610"/>
      <c r="F372" s="612"/>
      <c r="G372" s="600"/>
      <c r="H372" s="601"/>
      <c r="I372" s="1261">
        <v>0</v>
      </c>
      <c r="J372" s="1262"/>
      <c r="K372" s="1261">
        <v>3000</v>
      </c>
      <c r="L372" s="1262"/>
    </row>
    <row r="373" spans="1:12" s="44" customFormat="1" ht="15.75" hidden="1" x14ac:dyDescent="0.25">
      <c r="A373" s="638">
        <v>3</v>
      </c>
      <c r="B373" s="1330" t="s">
        <v>778</v>
      </c>
      <c r="C373" s="1331"/>
      <c r="D373" s="1332"/>
      <c r="E373" s="610"/>
      <c r="F373" s="612"/>
      <c r="G373" s="600"/>
      <c r="H373" s="601"/>
      <c r="I373" s="1261">
        <v>0</v>
      </c>
      <c r="J373" s="1262"/>
      <c r="K373" s="1261">
        <v>520</v>
      </c>
      <c r="L373" s="1262"/>
    </row>
    <row r="374" spans="1:12" s="44" customFormat="1" ht="15.75" hidden="1" x14ac:dyDescent="0.25">
      <c r="A374" s="638">
        <v>4</v>
      </c>
      <c r="B374" s="1330" t="s">
        <v>779</v>
      </c>
      <c r="C374" s="1331"/>
      <c r="D374" s="1332"/>
      <c r="E374" s="610"/>
      <c r="F374" s="612"/>
      <c r="G374" s="600"/>
      <c r="H374" s="601"/>
      <c r="I374" s="1261">
        <v>0</v>
      </c>
      <c r="J374" s="1262"/>
      <c r="K374" s="1261">
        <v>1345</v>
      </c>
      <c r="L374" s="1262"/>
    </row>
    <row r="375" spans="1:12" s="44" customFormat="1" ht="15.75" hidden="1" x14ac:dyDescent="0.25">
      <c r="A375" s="638"/>
      <c r="B375" s="1327"/>
      <c r="C375" s="1328"/>
      <c r="D375" s="1329"/>
      <c r="E375" s="610"/>
      <c r="F375" s="612"/>
      <c r="G375" s="600"/>
      <c r="H375" s="601"/>
      <c r="I375" s="1261">
        <v>0</v>
      </c>
      <c r="J375" s="1262"/>
      <c r="K375" s="511"/>
      <c r="L375" s="511"/>
    </row>
    <row r="376" spans="1:12" s="44" customFormat="1" ht="15.75" hidden="1" x14ac:dyDescent="0.25">
      <c r="A376" s="638">
        <v>5</v>
      </c>
      <c r="B376" s="1330" t="s">
        <v>780</v>
      </c>
      <c r="C376" s="1331"/>
      <c r="D376" s="1332"/>
      <c r="E376" s="610"/>
      <c r="F376" s="612"/>
      <c r="G376" s="600"/>
      <c r="H376" s="601"/>
      <c r="I376" s="1261">
        <v>0</v>
      </c>
      <c r="J376" s="1262"/>
    </row>
    <row r="377" spans="1:12" s="44" customFormat="1" ht="15" hidden="1" customHeight="1" x14ac:dyDescent="0.25">
      <c r="A377" s="95"/>
      <c r="B377" s="1338" t="s">
        <v>13</v>
      </c>
      <c r="C377" s="1338"/>
      <c r="D377" s="1338"/>
      <c r="E377" s="1348" t="s">
        <v>74</v>
      </c>
      <c r="F377" s="1348"/>
      <c r="G377" s="1341" t="s">
        <v>14</v>
      </c>
      <c r="H377" s="1341"/>
      <c r="I377" s="1347">
        <f>I371+I372+I373+I374+I376+I375</f>
        <v>0</v>
      </c>
      <c r="J377" s="1341"/>
    </row>
    <row r="378" spans="1:12" s="44" customFormat="1" ht="18.75" hidden="1" customHeight="1" x14ac:dyDescent="0.25">
      <c r="A378" s="95"/>
      <c r="B378" s="1341" t="s">
        <v>563</v>
      </c>
      <c r="C378" s="1341"/>
      <c r="D378" s="1341"/>
      <c r="E378" s="1348"/>
      <c r="F378" s="1348"/>
      <c r="G378" s="1341"/>
      <c r="H378" s="1341"/>
      <c r="I378" s="1347">
        <f>I377</f>
        <v>0</v>
      </c>
      <c r="J378" s="1347"/>
    </row>
    <row r="379" spans="1:12" s="44" customFormat="1" ht="48" hidden="1" customHeight="1" x14ac:dyDescent="0.25">
      <c r="A379" s="95" t="s">
        <v>36</v>
      </c>
      <c r="B379" s="1099" t="s">
        <v>500</v>
      </c>
      <c r="C379" s="1100"/>
      <c r="D379" s="1101"/>
      <c r="E379" s="610"/>
      <c r="F379" s="612"/>
      <c r="G379" s="1196"/>
      <c r="H379" s="1196"/>
      <c r="I379" s="1240"/>
      <c r="J379" s="1133"/>
    </row>
    <row r="380" spans="1:12" s="44" customFormat="1" ht="48" hidden="1" customHeight="1" x14ac:dyDescent="0.25">
      <c r="A380" s="633" t="s">
        <v>77</v>
      </c>
      <c r="B380" s="1357" t="s">
        <v>479</v>
      </c>
      <c r="C380" s="1358"/>
      <c r="D380" s="1359"/>
      <c r="E380" s="1349"/>
      <c r="F380" s="1350"/>
      <c r="G380" s="1349"/>
      <c r="H380" s="1350"/>
      <c r="I380" s="1351">
        <f>I381+I382</f>
        <v>0</v>
      </c>
      <c r="J380" s="1352"/>
    </row>
    <row r="381" spans="1:12" s="44" customFormat="1" ht="30" hidden="1" customHeight="1" x14ac:dyDescent="0.25">
      <c r="A381" s="95" t="s">
        <v>374</v>
      </c>
      <c r="B381" s="1099" t="s">
        <v>504</v>
      </c>
      <c r="C381" s="1100"/>
      <c r="D381" s="1101"/>
      <c r="E381" s="610"/>
      <c r="F381" s="612"/>
      <c r="G381" s="1044"/>
      <c r="H381" s="1045"/>
      <c r="I381" s="1261"/>
      <c r="J381" s="1262"/>
    </row>
    <row r="382" spans="1:12" ht="16.5" hidden="1" customHeight="1" x14ac:dyDescent="0.25">
      <c r="A382" s="95" t="s">
        <v>503</v>
      </c>
      <c r="B382" s="1245"/>
      <c r="C382" s="1245"/>
      <c r="D382" s="1245"/>
      <c r="E382" s="610"/>
      <c r="F382" s="612"/>
      <c r="G382" s="1196"/>
      <c r="H382" s="1196"/>
      <c r="I382" s="1240"/>
      <c r="J382" s="1133"/>
    </row>
    <row r="383" spans="1:12" hidden="1" x14ac:dyDescent="0.25">
      <c r="A383" s="95"/>
      <c r="B383" s="1338" t="s">
        <v>13</v>
      </c>
      <c r="C383" s="1338"/>
      <c r="D383" s="1338"/>
      <c r="E383" s="1342" t="s">
        <v>74</v>
      </c>
      <c r="F383" s="1343"/>
      <c r="G383" s="1341" t="s">
        <v>14</v>
      </c>
      <c r="H383" s="1341"/>
      <c r="I383" s="1347">
        <f>SUM(I371:J376)</f>
        <v>0</v>
      </c>
      <c r="J383" s="1341"/>
    </row>
    <row r="384" spans="1:12" ht="56.25" hidden="1" customHeight="1" x14ac:dyDescent="0.25">
      <c r="A384" s="1333" t="s">
        <v>572</v>
      </c>
      <c r="B384" s="1334"/>
      <c r="C384" s="1334"/>
      <c r="D384" s="1334"/>
      <c r="E384" s="1334"/>
      <c r="F384" s="1334"/>
      <c r="G384" s="1334"/>
      <c r="H384" s="1334"/>
      <c r="I384" s="1334"/>
      <c r="J384" s="1335"/>
    </row>
    <row r="385" spans="1:11" ht="15.75" hidden="1" x14ac:dyDescent="0.25">
      <c r="A385" s="639">
        <v>1</v>
      </c>
      <c r="B385" s="1367" t="s">
        <v>570</v>
      </c>
      <c r="C385" s="1367"/>
      <c r="D385" s="1367"/>
      <c r="E385" s="652"/>
      <c r="F385" s="652"/>
      <c r="G385" s="1341"/>
      <c r="H385" s="1341"/>
      <c r="I385" s="1366">
        <v>0</v>
      </c>
      <c r="J385" s="1366"/>
    </row>
    <row r="386" spans="1:11" hidden="1" x14ac:dyDescent="0.25">
      <c r="A386" s="95"/>
      <c r="B386" s="1341"/>
      <c r="C386" s="1341"/>
      <c r="D386" s="1341"/>
      <c r="E386" s="652"/>
      <c r="F386" s="652"/>
      <c r="G386" s="1341"/>
      <c r="H386" s="1341"/>
      <c r="I386" s="1347">
        <f>I385</f>
        <v>0</v>
      </c>
      <c r="J386" s="1347"/>
    </row>
    <row r="387" spans="1:11" ht="15.75" hidden="1" x14ac:dyDescent="0.25">
      <c r="A387" s="1368" t="s">
        <v>501</v>
      </c>
      <c r="B387" s="1368"/>
      <c r="C387" s="1368"/>
      <c r="D387" s="1368"/>
      <c r="E387" s="1368"/>
      <c r="F387" s="1368"/>
      <c r="G387" s="1368"/>
      <c r="H387" s="1368"/>
      <c r="I387" s="1368"/>
      <c r="J387" s="1368"/>
    </row>
    <row r="388" spans="1:11" ht="25.5" hidden="1" x14ac:dyDescent="0.25">
      <c r="A388" s="638" t="s">
        <v>1</v>
      </c>
      <c r="B388" s="1346" t="s">
        <v>15</v>
      </c>
      <c r="C388" s="1346"/>
      <c r="D388" s="1346"/>
      <c r="E388" s="1346" t="s">
        <v>58</v>
      </c>
      <c r="F388" s="1346"/>
      <c r="G388" s="1346" t="s">
        <v>66</v>
      </c>
      <c r="H388" s="1346"/>
      <c r="I388" s="1346" t="s">
        <v>260</v>
      </c>
      <c r="J388" s="1346"/>
    </row>
    <row r="389" spans="1:11" hidden="1" x14ac:dyDescent="0.25">
      <c r="A389" s="638">
        <v>1</v>
      </c>
      <c r="B389" s="1346">
        <v>2</v>
      </c>
      <c r="C389" s="1346"/>
      <c r="D389" s="1346"/>
      <c r="E389" s="1346">
        <v>3</v>
      </c>
      <c r="F389" s="1346"/>
      <c r="G389" s="1346">
        <v>4</v>
      </c>
      <c r="H389" s="1346"/>
      <c r="I389" s="1346">
        <v>5</v>
      </c>
      <c r="J389" s="1346"/>
    </row>
    <row r="390" spans="1:11" ht="46.5" hidden="1" customHeight="1" x14ac:dyDescent="0.25">
      <c r="A390" s="1333" t="s">
        <v>748</v>
      </c>
      <c r="B390" s="1334"/>
      <c r="C390" s="1334"/>
      <c r="D390" s="1334"/>
      <c r="E390" s="1334"/>
      <c r="F390" s="1334"/>
      <c r="G390" s="1334"/>
      <c r="H390" s="1334"/>
      <c r="I390" s="1334"/>
      <c r="J390" s="1335"/>
    </row>
    <row r="391" spans="1:11" ht="21.75" hidden="1" customHeight="1" x14ac:dyDescent="0.25">
      <c r="A391" s="638">
        <v>1</v>
      </c>
      <c r="B391" s="1330" t="s">
        <v>773</v>
      </c>
      <c r="C391" s="1331"/>
      <c r="D391" s="1332"/>
      <c r="E391" s="610"/>
      <c r="F391" s="612"/>
      <c r="G391" s="1196"/>
      <c r="H391" s="1196"/>
      <c r="I391" s="1240">
        <v>0</v>
      </c>
      <c r="J391" s="1133"/>
    </row>
    <row r="392" spans="1:11" ht="19.5" hidden="1" customHeight="1" x14ac:dyDescent="0.25">
      <c r="A392" s="638">
        <v>2</v>
      </c>
      <c r="B392" s="1322" t="s">
        <v>774</v>
      </c>
      <c r="C392" s="1322"/>
      <c r="D392" s="1322"/>
      <c r="E392" s="610"/>
      <c r="F392" s="612"/>
      <c r="G392" s="1044"/>
      <c r="H392" s="1045"/>
      <c r="I392" s="1291">
        <v>0</v>
      </c>
      <c r="J392" s="1291"/>
    </row>
    <row r="393" spans="1:11" ht="19.5" hidden="1" customHeight="1" x14ac:dyDescent="0.25">
      <c r="A393" s="638">
        <v>3</v>
      </c>
      <c r="B393" s="1322" t="s">
        <v>775</v>
      </c>
      <c r="C393" s="1322"/>
      <c r="D393" s="1322"/>
      <c r="E393" s="610"/>
      <c r="F393" s="612"/>
      <c r="G393" s="1196"/>
      <c r="H393" s="1196"/>
      <c r="I393" s="1291">
        <v>0</v>
      </c>
      <c r="J393" s="1291"/>
    </row>
    <row r="394" spans="1:11" ht="37.5" hidden="1" customHeight="1" x14ac:dyDescent="0.25">
      <c r="A394" s="1333" t="s">
        <v>747</v>
      </c>
      <c r="B394" s="1334"/>
      <c r="C394" s="1334"/>
      <c r="D394" s="1334"/>
      <c r="E394" s="1334"/>
      <c r="F394" s="1334"/>
      <c r="G394" s="1334"/>
      <c r="H394" s="1334"/>
      <c r="I394" s="1334"/>
      <c r="J394" s="1335"/>
    </row>
    <row r="395" spans="1:11" ht="15.75" hidden="1" x14ac:dyDescent="0.25">
      <c r="A395" s="638">
        <v>4</v>
      </c>
      <c r="B395" s="1330" t="s">
        <v>722</v>
      </c>
      <c r="C395" s="1331"/>
      <c r="D395" s="1332"/>
      <c r="E395" s="610"/>
      <c r="F395" s="612"/>
      <c r="G395" s="600"/>
      <c r="H395" s="601"/>
      <c r="I395" s="1261">
        <v>0</v>
      </c>
      <c r="J395" s="1262"/>
    </row>
    <row r="396" spans="1:11" ht="34.5" hidden="1" customHeight="1" x14ac:dyDescent="0.25">
      <c r="A396" s="1333" t="s">
        <v>749</v>
      </c>
      <c r="B396" s="1334"/>
      <c r="C396" s="1334"/>
      <c r="D396" s="1334"/>
      <c r="E396" s="1334"/>
      <c r="F396" s="1334"/>
      <c r="G396" s="1334"/>
      <c r="H396" s="1334"/>
      <c r="I396" s="1334"/>
      <c r="J396" s="1335"/>
    </row>
    <row r="397" spans="1:11" ht="31.5" hidden="1" customHeight="1" x14ac:dyDescent="0.25">
      <c r="A397" s="638">
        <v>5</v>
      </c>
      <c r="B397" s="1330" t="s">
        <v>723</v>
      </c>
      <c r="C397" s="1331"/>
      <c r="D397" s="1332"/>
      <c r="E397" s="611"/>
      <c r="F397" s="615"/>
      <c r="G397" s="600"/>
      <c r="H397" s="601"/>
      <c r="I397" s="1261">
        <v>0</v>
      </c>
      <c r="J397" s="1262"/>
    </row>
    <row r="398" spans="1:11" hidden="1" x14ac:dyDescent="0.25">
      <c r="A398" s="95"/>
      <c r="B398" s="1338" t="s">
        <v>13</v>
      </c>
      <c r="C398" s="1338"/>
      <c r="D398" s="1338"/>
      <c r="E398" s="1342" t="s">
        <v>74</v>
      </c>
      <c r="F398" s="1343"/>
      <c r="G398" s="1341" t="s">
        <v>14</v>
      </c>
      <c r="H398" s="1341"/>
      <c r="I398" s="1347">
        <f>I391+I392+I395+I397+I393</f>
        <v>0</v>
      </c>
      <c r="J398" s="1341"/>
    </row>
    <row r="399" spans="1:11" ht="23.25" hidden="1" customHeight="1" x14ac:dyDescent="0.25">
      <c r="A399" s="95"/>
      <c r="B399" s="1338" t="s">
        <v>13</v>
      </c>
      <c r="C399" s="1338"/>
      <c r="D399" s="1338"/>
      <c r="E399" s="1325"/>
      <c r="F399" s="1326"/>
      <c r="G399" s="1372"/>
      <c r="H399" s="1372"/>
      <c r="I399" s="1336">
        <f>I338+I383+I398+I366+I331+I386+I345+I352</f>
        <v>0</v>
      </c>
      <c r="J399" s="1337"/>
      <c r="K399" s="166">
        <f>I398+I383+I366+I331</f>
        <v>0</v>
      </c>
    </row>
    <row r="400" spans="1:11" ht="15.75" hidden="1" x14ac:dyDescent="0.25">
      <c r="A400" s="1413" t="s">
        <v>378</v>
      </c>
      <c r="B400" s="1413"/>
      <c r="C400" s="1413"/>
      <c r="D400" s="1413"/>
      <c r="E400" s="1413"/>
      <c r="F400" s="1413"/>
      <c r="G400" s="1413"/>
      <c r="H400" s="1413"/>
      <c r="I400" s="1413"/>
      <c r="J400" s="1413"/>
    </row>
    <row r="401" spans="1:10" hidden="1" x14ac:dyDescent="0.25">
      <c r="A401" s="1414" t="s">
        <v>1</v>
      </c>
      <c r="B401" s="1416" t="s">
        <v>15</v>
      </c>
      <c r="C401" s="1417"/>
      <c r="D401" s="1418"/>
      <c r="E401" s="1416" t="s">
        <v>64</v>
      </c>
      <c r="F401" s="1418"/>
      <c r="G401" s="1346" t="s">
        <v>65</v>
      </c>
      <c r="H401" s="1346"/>
      <c r="I401" s="1346"/>
      <c r="J401" s="1346"/>
    </row>
    <row r="402" spans="1:10" ht="25.5" hidden="1" x14ac:dyDescent="0.25">
      <c r="A402" s="1415"/>
      <c r="B402" s="1419"/>
      <c r="C402" s="1420"/>
      <c r="D402" s="1421"/>
      <c r="E402" s="1419"/>
      <c r="F402" s="1421"/>
      <c r="G402" s="638" t="s">
        <v>298</v>
      </c>
      <c r="H402" s="638" t="s">
        <v>295</v>
      </c>
      <c r="I402" s="638" t="s">
        <v>296</v>
      </c>
      <c r="J402" s="638" t="s">
        <v>297</v>
      </c>
    </row>
    <row r="403" spans="1:10" hidden="1" x14ac:dyDescent="0.25">
      <c r="A403" s="638">
        <v>1</v>
      </c>
      <c r="B403" s="1346">
        <v>2</v>
      </c>
      <c r="C403" s="1346"/>
      <c r="D403" s="1346"/>
      <c r="E403" s="1344">
        <v>3</v>
      </c>
      <c r="F403" s="1345"/>
      <c r="G403" s="1346">
        <v>4</v>
      </c>
      <c r="H403" s="1346"/>
      <c r="I403" s="1346"/>
      <c r="J403" s="1346"/>
    </row>
    <row r="404" spans="1:10" hidden="1" x14ac:dyDescent="0.25">
      <c r="A404" s="639" t="s">
        <v>70</v>
      </c>
      <c r="B404" s="1386" t="s">
        <v>339</v>
      </c>
      <c r="C404" s="1386"/>
      <c r="D404" s="1386"/>
      <c r="E404" s="1387">
        <v>1</v>
      </c>
      <c r="F404" s="1388"/>
      <c r="G404" s="639" t="s">
        <v>299</v>
      </c>
      <c r="H404" s="639">
        <v>1</v>
      </c>
      <c r="I404" s="92"/>
      <c r="J404" s="101">
        <v>0</v>
      </c>
    </row>
    <row r="405" spans="1:10" hidden="1" x14ac:dyDescent="0.25">
      <c r="A405" s="639" t="s">
        <v>75</v>
      </c>
      <c r="B405" s="1386" t="s">
        <v>340</v>
      </c>
      <c r="C405" s="1386"/>
      <c r="D405" s="1386"/>
      <c r="E405" s="1387">
        <v>1</v>
      </c>
      <c r="F405" s="1388"/>
      <c r="G405" s="639" t="s">
        <v>299</v>
      </c>
      <c r="H405" s="639">
        <v>1</v>
      </c>
      <c r="I405" s="92"/>
      <c r="J405" s="101">
        <f t="shared" ref="J405:J406" si="16">H405*I405</f>
        <v>0</v>
      </c>
    </row>
    <row r="406" spans="1:10" hidden="1" x14ac:dyDescent="0.25">
      <c r="A406" s="639" t="s">
        <v>77</v>
      </c>
      <c r="B406" s="1386" t="s">
        <v>335</v>
      </c>
      <c r="C406" s="1386"/>
      <c r="D406" s="1386"/>
      <c r="E406" s="1387">
        <v>1</v>
      </c>
      <c r="F406" s="1388"/>
      <c r="G406" s="639" t="s">
        <v>299</v>
      </c>
      <c r="H406" s="643">
        <v>1</v>
      </c>
      <c r="I406" s="92"/>
      <c r="J406" s="101">
        <f t="shared" si="16"/>
        <v>0</v>
      </c>
    </row>
    <row r="407" spans="1:10" ht="15.75" hidden="1" x14ac:dyDescent="0.25">
      <c r="A407" s="381"/>
      <c r="B407" s="1393" t="s">
        <v>13</v>
      </c>
      <c r="C407" s="1393"/>
      <c r="D407" s="1393"/>
      <c r="E407" s="1394" t="s">
        <v>14</v>
      </c>
      <c r="F407" s="1395"/>
      <c r="G407" s="1396">
        <f>SUM(J404:J406)</f>
        <v>0</v>
      </c>
      <c r="H407" s="1397"/>
      <c r="I407" s="1397"/>
      <c r="J407" s="1397"/>
    </row>
    <row r="408" spans="1:10" hidden="1" x14ac:dyDescent="0.25">
      <c r="A408" s="81"/>
      <c r="B408" s="81"/>
      <c r="C408" s="81"/>
      <c r="D408" s="81"/>
      <c r="E408" s="81"/>
      <c r="F408" s="81"/>
      <c r="G408" s="81"/>
      <c r="H408" s="81"/>
      <c r="I408" s="81"/>
      <c r="J408" s="81"/>
    </row>
    <row r="409" spans="1:10" ht="32.25" customHeight="1" x14ac:dyDescent="0.25">
      <c r="A409" s="81"/>
      <c r="B409" s="81"/>
      <c r="C409" s="81"/>
      <c r="D409" s="81"/>
      <c r="E409" s="81"/>
      <c r="F409" s="81"/>
      <c r="G409" s="81"/>
      <c r="H409" s="96" t="s">
        <v>212</v>
      </c>
      <c r="I409" s="1441">
        <f>J87+J94+I122+I162+I183+I199+I213+I241+G271+I307+I399+G407+I172+I321+G310</f>
        <v>5624639.9960000003</v>
      </c>
      <c r="J409" s="1441"/>
    </row>
    <row r="410" spans="1:10" x14ac:dyDescent="0.25">
      <c r="A410" s="81"/>
      <c r="B410" s="81"/>
      <c r="C410" s="81"/>
      <c r="D410" s="81"/>
      <c r="E410" s="81"/>
      <c r="F410" s="81"/>
      <c r="G410" s="81"/>
      <c r="H410" s="97" t="s">
        <v>248</v>
      </c>
      <c r="I410" s="81"/>
      <c r="J410" s="81"/>
    </row>
    <row r="411" spans="1:10" ht="17.25" x14ac:dyDescent="0.4">
      <c r="A411" s="81"/>
      <c r="B411" s="81"/>
      <c r="C411" s="81"/>
      <c r="D411" s="81"/>
      <c r="E411" s="81"/>
      <c r="F411" s="81"/>
      <c r="G411" s="81"/>
      <c r="H411" s="97" t="s">
        <v>724</v>
      </c>
      <c r="I411" s="1435">
        <f>I397</f>
        <v>0</v>
      </c>
      <c r="J411" s="1435"/>
    </row>
    <row r="412" spans="1:10" ht="17.25" x14ac:dyDescent="0.4">
      <c r="A412" s="81"/>
      <c r="B412" s="81"/>
      <c r="C412" s="81"/>
      <c r="D412" s="81"/>
      <c r="E412" s="81"/>
      <c r="F412" s="81"/>
      <c r="G412" s="81"/>
      <c r="H412" s="97" t="s">
        <v>521</v>
      </c>
      <c r="I412" s="1435">
        <f>I103+I120+I121+J279+J280+I357+I371+I372+I373+I374+I391+I392+J281+I319+I320+I393+I376+I375+J282</f>
        <v>0</v>
      </c>
      <c r="J412" s="1435"/>
    </row>
    <row r="413" spans="1:10" ht="15.75" customHeight="1" x14ac:dyDescent="0.4">
      <c r="A413" s="81"/>
      <c r="B413" s="81"/>
      <c r="C413" s="81"/>
      <c r="D413" s="81"/>
      <c r="E413" s="81"/>
      <c r="F413" s="81"/>
      <c r="G413" s="81"/>
      <c r="H413" s="97" t="s">
        <v>725</v>
      </c>
      <c r="I413" s="1435">
        <f>I395+J287</f>
        <v>0</v>
      </c>
      <c r="J413" s="1435"/>
    </row>
    <row r="414" spans="1:10" ht="17.25" x14ac:dyDescent="0.4">
      <c r="A414" s="81"/>
      <c r="B414" s="81"/>
      <c r="C414" s="81"/>
      <c r="D414" s="81"/>
      <c r="E414" s="81"/>
      <c r="F414" s="81"/>
      <c r="G414" s="81"/>
      <c r="H414" s="97" t="s">
        <v>522</v>
      </c>
      <c r="I414" s="1435">
        <f>J253+I315+I316</f>
        <v>0</v>
      </c>
      <c r="J414" s="1435"/>
    </row>
    <row r="415" spans="1:10" hidden="1" x14ac:dyDescent="0.25">
      <c r="A415" s="81"/>
      <c r="B415" s="81"/>
      <c r="C415" s="81"/>
      <c r="D415" s="81"/>
      <c r="E415" s="81"/>
      <c r="F415" s="81"/>
      <c r="G415" s="81"/>
      <c r="H415" s="97" t="s">
        <v>546</v>
      </c>
      <c r="I415" s="1436">
        <f>I172</f>
        <v>0</v>
      </c>
      <c r="J415" s="1436"/>
    </row>
    <row r="416" spans="1:10" hidden="1" x14ac:dyDescent="0.25">
      <c r="A416" s="233"/>
      <c r="B416" s="233"/>
      <c r="C416" s="233"/>
      <c r="D416" s="661"/>
      <c r="E416" s="661"/>
      <c r="F416" s="662"/>
      <c r="G416" s="1412" t="s">
        <v>551</v>
      </c>
      <c r="H416" s="1412"/>
      <c r="I416" s="1411">
        <v>0</v>
      </c>
      <c r="J416" s="1440"/>
    </row>
    <row r="417" spans="1:10" ht="14.25" hidden="1" customHeight="1" x14ac:dyDescent="0.25">
      <c r="A417" s="233"/>
      <c r="B417" s="233"/>
      <c r="C417" s="233"/>
      <c r="D417" s="1412" t="s">
        <v>561</v>
      </c>
      <c r="E417" s="1412"/>
      <c r="F417" s="1412"/>
      <c r="G417" s="1412"/>
      <c r="H417" s="1412"/>
      <c r="I417" s="1411">
        <f>J257</f>
        <v>0</v>
      </c>
      <c r="J417" s="1411"/>
    </row>
    <row r="418" spans="1:10" ht="16.5" hidden="1" customHeight="1" x14ac:dyDescent="0.25">
      <c r="A418" s="233"/>
      <c r="B418" s="233"/>
      <c r="C418" s="233"/>
      <c r="D418" s="661"/>
      <c r="E418" s="661"/>
      <c r="F418" s="1412" t="s">
        <v>553</v>
      </c>
      <c r="G418" s="1412"/>
      <c r="H418" s="1412"/>
      <c r="I418" s="1411" t="e">
        <f>#REF!</f>
        <v>#REF!</v>
      </c>
      <c r="J418" s="1411"/>
    </row>
    <row r="419" spans="1:10" x14ac:dyDescent="0.25">
      <c r="A419" s="233"/>
      <c r="B419" s="233"/>
      <c r="C419" s="233"/>
      <c r="D419" s="661"/>
      <c r="E419" s="661"/>
      <c r="F419" s="1438" t="s">
        <v>564</v>
      </c>
      <c r="G419" s="1438"/>
      <c r="H419" s="1438"/>
      <c r="I419" s="1439">
        <f>J68+I144+I93</f>
        <v>5624640</v>
      </c>
      <c r="J419" s="1439"/>
    </row>
    <row r="420" spans="1:10" hidden="1" x14ac:dyDescent="0.25">
      <c r="A420" s="233"/>
      <c r="B420" s="233"/>
      <c r="C420" s="233"/>
      <c r="D420" s="661"/>
      <c r="E420" s="661"/>
      <c r="F420" s="651"/>
      <c r="G420" s="651"/>
      <c r="H420" s="651" t="s">
        <v>571</v>
      </c>
      <c r="I420" s="1411">
        <f>I386</f>
        <v>0</v>
      </c>
      <c r="J420" s="1411"/>
    </row>
    <row r="421" spans="1:10" x14ac:dyDescent="0.25">
      <c r="A421" s="233"/>
      <c r="B421" s="233"/>
      <c r="C421" s="233"/>
      <c r="D421" s="661"/>
      <c r="E421" s="661"/>
      <c r="F421" s="651"/>
      <c r="G421" s="651"/>
      <c r="H421" s="97" t="s">
        <v>761</v>
      </c>
      <c r="I421" s="1439">
        <f>I100+I112+I113+I114+I115+I116+I170+I171</f>
        <v>0</v>
      </c>
      <c r="J421" s="1439"/>
    </row>
    <row r="422" spans="1:10" x14ac:dyDescent="0.25">
      <c r="A422" s="233"/>
      <c r="B422" s="233"/>
      <c r="C422" s="233"/>
      <c r="D422" s="661"/>
      <c r="E422" s="661"/>
      <c r="F422" s="651"/>
      <c r="G422" s="651"/>
      <c r="H422" s="97" t="s">
        <v>764</v>
      </c>
      <c r="I422" s="1439">
        <f>I309</f>
        <v>0</v>
      </c>
      <c r="J422" s="1439"/>
    </row>
    <row r="423" spans="1:10" x14ac:dyDescent="0.25">
      <c r="A423" s="1410" t="s">
        <v>258</v>
      </c>
      <c r="B423" s="1410"/>
      <c r="C423" s="1410"/>
      <c r="D423" s="141"/>
      <c r="E423" s="141"/>
      <c r="F423" s="142" t="s">
        <v>416</v>
      </c>
      <c r="G423" s="142"/>
      <c r="H423" s="142"/>
      <c r="I423" s="142"/>
      <c r="J423" s="45"/>
    </row>
    <row r="424" spans="1:10" x14ac:dyDescent="0.25">
      <c r="A424" s="650"/>
      <c r="B424" s="650"/>
      <c r="C424" s="650"/>
      <c r="D424" s="1236" t="s">
        <v>272</v>
      </c>
      <c r="E424" s="1236"/>
      <c r="F424" s="1237" t="s">
        <v>273</v>
      </c>
      <c r="G424" s="1237"/>
      <c r="H424" s="1237"/>
      <c r="I424" s="1237"/>
      <c r="J424" s="44"/>
    </row>
    <row r="425" spans="1:10" x14ac:dyDescent="0.25">
      <c r="A425" s="1410" t="s">
        <v>415</v>
      </c>
      <c r="B425" s="1410"/>
      <c r="C425" s="1410"/>
      <c r="D425" s="141"/>
      <c r="E425" s="141"/>
      <c r="F425" s="142" t="s">
        <v>417</v>
      </c>
      <c r="G425" s="142"/>
      <c r="H425" s="142"/>
      <c r="I425" s="142"/>
      <c r="J425" s="45"/>
    </row>
    <row r="426" spans="1:10" x14ac:dyDescent="0.25">
      <c r="A426" s="649"/>
      <c r="B426" s="649"/>
      <c r="C426" s="649"/>
      <c r="D426" s="1236" t="s">
        <v>272</v>
      </c>
      <c r="E426" s="1236"/>
      <c r="F426" s="1237" t="s">
        <v>273</v>
      </c>
      <c r="G426" s="1237"/>
      <c r="H426" s="1237"/>
      <c r="I426" s="1237"/>
      <c r="J426" s="44"/>
    </row>
    <row r="427" spans="1:10" x14ac:dyDescent="0.25">
      <c r="A427" s="649"/>
      <c r="B427" s="649"/>
      <c r="C427" s="649"/>
      <c r="D427" s="649"/>
      <c r="E427" s="649"/>
      <c r="F427" s="649"/>
      <c r="G427" s="44"/>
      <c r="H427" s="44"/>
      <c r="I427" s="44"/>
      <c r="J427" s="44"/>
    </row>
    <row r="428" spans="1:10" x14ac:dyDescent="0.25">
      <c r="A428" s="1437" t="s">
        <v>418</v>
      </c>
      <c r="B428" s="1437"/>
      <c r="C428" s="649"/>
      <c r="D428" s="649"/>
      <c r="E428" s="649"/>
      <c r="F428" s="649"/>
      <c r="G428" s="44"/>
      <c r="H428" s="44"/>
      <c r="I428" s="44"/>
      <c r="J428" s="44"/>
    </row>
    <row r="429" spans="1:10" x14ac:dyDescent="0.25">
      <c r="A429" s="649"/>
      <c r="B429" s="649"/>
      <c r="C429" s="649"/>
      <c r="D429" s="649"/>
      <c r="E429" s="649"/>
      <c r="F429" s="649"/>
      <c r="G429" s="44"/>
      <c r="H429" s="44"/>
      <c r="I429" s="44"/>
      <c r="J429" s="44"/>
    </row>
    <row r="430" spans="1:10" x14ac:dyDescent="0.25">
      <c r="A430" s="1434"/>
      <c r="B430" s="1434"/>
      <c r="C430" s="649"/>
      <c r="D430" s="649"/>
      <c r="E430" s="649"/>
      <c r="F430" s="649"/>
      <c r="G430" s="44"/>
      <c r="H430" s="44"/>
      <c r="I430" s="44"/>
      <c r="J430" s="44"/>
    </row>
  </sheetData>
  <mergeCells count="891">
    <mergeCell ref="I422:J422"/>
    <mergeCell ref="A423:C423"/>
    <mergeCell ref="D424:E424"/>
    <mergeCell ref="F424:I424"/>
    <mergeCell ref="A425:C425"/>
    <mergeCell ref="D426:E426"/>
    <mergeCell ref="F426:I426"/>
    <mergeCell ref="A428:B428"/>
    <mergeCell ref="A430:B430"/>
    <mergeCell ref="A400:J400"/>
    <mergeCell ref="A401:A402"/>
    <mergeCell ref="B401:D402"/>
    <mergeCell ref="E401:F402"/>
    <mergeCell ref="G403:J403"/>
    <mergeCell ref="B406:D406"/>
    <mergeCell ref="E406:F406"/>
    <mergeCell ref="B407:D407"/>
    <mergeCell ref="E407:F407"/>
    <mergeCell ref="G407:J407"/>
    <mergeCell ref="G401:J401"/>
    <mergeCell ref="B404:D404"/>
    <mergeCell ref="E404:F404"/>
    <mergeCell ref="B405:D405"/>
    <mergeCell ref="E405:F405"/>
    <mergeCell ref="K373:L373"/>
    <mergeCell ref="K374:L374"/>
    <mergeCell ref="E378:F378"/>
    <mergeCell ref="E380:F380"/>
    <mergeCell ref="B383:D383"/>
    <mergeCell ref="E383:F383"/>
    <mergeCell ref="G383:H383"/>
    <mergeCell ref="I383:J383"/>
    <mergeCell ref="I399:J399"/>
    <mergeCell ref="B388:D388"/>
    <mergeCell ref="E388:F388"/>
    <mergeCell ref="G388:H388"/>
    <mergeCell ref="B391:D391"/>
    <mergeCell ref="B393:D393"/>
    <mergeCell ref="I388:J388"/>
    <mergeCell ref="I391:J391"/>
    <mergeCell ref="I393:J393"/>
    <mergeCell ref="B389:D389"/>
    <mergeCell ref="E389:F389"/>
    <mergeCell ref="G389:H389"/>
    <mergeCell ref="I389:J389"/>
    <mergeCell ref="A390:J390"/>
    <mergeCell ref="G391:H391"/>
    <mergeCell ref="B392:D392"/>
    <mergeCell ref="E368:F368"/>
    <mergeCell ref="G368:H368"/>
    <mergeCell ref="I368:J368"/>
    <mergeCell ref="A370:J370"/>
    <mergeCell ref="B371:D371"/>
    <mergeCell ref="G371:H371"/>
    <mergeCell ref="I371:J371"/>
    <mergeCell ref="K371:L371"/>
    <mergeCell ref="K372:L372"/>
    <mergeCell ref="B333:D333"/>
    <mergeCell ref="E333:F333"/>
    <mergeCell ref="G333:H333"/>
    <mergeCell ref="I333:J333"/>
    <mergeCell ref="A335:J335"/>
    <mergeCell ref="B336:D336"/>
    <mergeCell ref="G336:H336"/>
    <mergeCell ref="I336:J336"/>
    <mergeCell ref="E338:F338"/>
    <mergeCell ref="B337:D337"/>
    <mergeCell ref="G337:H337"/>
    <mergeCell ref="I337:J337"/>
    <mergeCell ref="B338:D338"/>
    <mergeCell ref="G338:H338"/>
    <mergeCell ref="I338:J338"/>
    <mergeCell ref="E300:F300"/>
    <mergeCell ref="G300:H300"/>
    <mergeCell ref="E316:F316"/>
    <mergeCell ref="B317:D317"/>
    <mergeCell ref="E317:F317"/>
    <mergeCell ref="G317:H317"/>
    <mergeCell ref="I317:J317"/>
    <mergeCell ref="A318:J318"/>
    <mergeCell ref="E319:F319"/>
    <mergeCell ref="A308:J308"/>
    <mergeCell ref="B309:D309"/>
    <mergeCell ref="G309:H309"/>
    <mergeCell ref="I309:J309"/>
    <mergeCell ref="E315:F315"/>
    <mergeCell ref="B307:D307"/>
    <mergeCell ref="G307:H307"/>
    <mergeCell ref="I307:J307"/>
    <mergeCell ref="B305:D305"/>
    <mergeCell ref="E305:F305"/>
    <mergeCell ref="G305:H305"/>
    <mergeCell ref="I305:J305"/>
    <mergeCell ref="B306:D306"/>
    <mergeCell ref="E306:F306"/>
    <mergeCell ref="G306:H306"/>
    <mergeCell ref="G250:J250"/>
    <mergeCell ref="A256:J256"/>
    <mergeCell ref="B267:D267"/>
    <mergeCell ref="B268:D268"/>
    <mergeCell ref="B269:D269"/>
    <mergeCell ref="B271:D271"/>
    <mergeCell ref="G271:J271"/>
    <mergeCell ref="A272:J272"/>
    <mergeCell ref="A273:A274"/>
    <mergeCell ref="B273:D274"/>
    <mergeCell ref="E273:F274"/>
    <mergeCell ref="G273:J273"/>
    <mergeCell ref="B250:D250"/>
    <mergeCell ref="A251:J251"/>
    <mergeCell ref="B260:D260"/>
    <mergeCell ref="B261:D261"/>
    <mergeCell ref="B252:D252"/>
    <mergeCell ref="B253:D253"/>
    <mergeCell ref="B254:D254"/>
    <mergeCell ref="B255:D255"/>
    <mergeCell ref="B257:D257"/>
    <mergeCell ref="B258:D258"/>
    <mergeCell ref="B259:D259"/>
    <mergeCell ref="B262:D262"/>
    <mergeCell ref="B246:D246"/>
    <mergeCell ref="E246:F246"/>
    <mergeCell ref="G246:H246"/>
    <mergeCell ref="I246:J246"/>
    <mergeCell ref="A247:J247"/>
    <mergeCell ref="A248:A249"/>
    <mergeCell ref="B248:D249"/>
    <mergeCell ref="E248:E249"/>
    <mergeCell ref="F248:F249"/>
    <mergeCell ref="G248:J248"/>
    <mergeCell ref="E243:F243"/>
    <mergeCell ref="G243:H243"/>
    <mergeCell ref="I243:J243"/>
    <mergeCell ref="B244:D244"/>
    <mergeCell ref="E244:F244"/>
    <mergeCell ref="G244:H244"/>
    <mergeCell ref="I244:J244"/>
    <mergeCell ref="E245:F245"/>
    <mergeCell ref="G245:H245"/>
    <mergeCell ref="I245:J245"/>
    <mergeCell ref="B245:D245"/>
    <mergeCell ref="B243:D243"/>
    <mergeCell ref="G218:H218"/>
    <mergeCell ref="E219:F219"/>
    <mergeCell ref="G219:H219"/>
    <mergeCell ref="A220:J220"/>
    <mergeCell ref="B237:D237"/>
    <mergeCell ref="F237:G237"/>
    <mergeCell ref="I237:J237"/>
    <mergeCell ref="B222:D222"/>
    <mergeCell ref="F222:G222"/>
    <mergeCell ref="I222:J222"/>
    <mergeCell ref="B225:D225"/>
    <mergeCell ref="F225:G225"/>
    <mergeCell ref="I225:J225"/>
    <mergeCell ref="B226:D226"/>
    <mergeCell ref="F226:G226"/>
    <mergeCell ref="I226:J226"/>
    <mergeCell ref="B223:D223"/>
    <mergeCell ref="F223:G223"/>
    <mergeCell ref="I223:J223"/>
    <mergeCell ref="B224:D224"/>
    <mergeCell ref="F224:G224"/>
    <mergeCell ref="I224:J224"/>
    <mergeCell ref="B229:D229"/>
    <mergeCell ref="F229:G229"/>
    <mergeCell ref="E199:F199"/>
    <mergeCell ref="A200:J200"/>
    <mergeCell ref="A203:J203"/>
    <mergeCell ref="B209:D209"/>
    <mergeCell ref="G209:H209"/>
    <mergeCell ref="I209:J209"/>
    <mergeCell ref="B210:D210"/>
    <mergeCell ref="G210:H210"/>
    <mergeCell ref="I210:J210"/>
    <mergeCell ref="B199:D199"/>
    <mergeCell ref="G199:H199"/>
    <mergeCell ref="I199:J199"/>
    <mergeCell ref="E196:F196"/>
    <mergeCell ref="G196:H196"/>
    <mergeCell ref="I196:J196"/>
    <mergeCell ref="B197:D197"/>
    <mergeCell ref="E197:F197"/>
    <mergeCell ref="G197:H197"/>
    <mergeCell ref="I197:J197"/>
    <mergeCell ref="B198:D198"/>
    <mergeCell ref="E198:F198"/>
    <mergeCell ref="G198:H198"/>
    <mergeCell ref="I198:J198"/>
    <mergeCell ref="B196:D196"/>
    <mergeCell ref="B189:D189"/>
    <mergeCell ref="E189:F189"/>
    <mergeCell ref="G189:H189"/>
    <mergeCell ref="I189:J189"/>
    <mergeCell ref="A191:J191"/>
    <mergeCell ref="A194:J194"/>
    <mergeCell ref="B195:D195"/>
    <mergeCell ref="E195:F195"/>
    <mergeCell ref="G195:H195"/>
    <mergeCell ref="I195:J195"/>
    <mergeCell ref="B190:D190"/>
    <mergeCell ref="E190:F190"/>
    <mergeCell ref="G190:H190"/>
    <mergeCell ref="I190:J190"/>
    <mergeCell ref="K184:L184"/>
    <mergeCell ref="B187:D187"/>
    <mergeCell ref="E187:F187"/>
    <mergeCell ref="G187:H187"/>
    <mergeCell ref="I187:J187"/>
    <mergeCell ref="B188:D188"/>
    <mergeCell ref="E188:F188"/>
    <mergeCell ref="G188:H188"/>
    <mergeCell ref="I188:J188"/>
    <mergeCell ref="A184:J184"/>
    <mergeCell ref="B182:D182"/>
    <mergeCell ref="E182:F182"/>
    <mergeCell ref="G182:H182"/>
    <mergeCell ref="I182:J182"/>
    <mergeCell ref="B183:D183"/>
    <mergeCell ref="E183:F183"/>
    <mergeCell ref="G183:H183"/>
    <mergeCell ref="I183:J183"/>
    <mergeCell ref="B168:D168"/>
    <mergeCell ref="E168:F168"/>
    <mergeCell ref="G168:H168"/>
    <mergeCell ref="B180:D180"/>
    <mergeCell ref="E180:F180"/>
    <mergeCell ref="G180:H180"/>
    <mergeCell ref="I180:J180"/>
    <mergeCell ref="B181:D181"/>
    <mergeCell ref="E181:F181"/>
    <mergeCell ref="G181:H181"/>
    <mergeCell ref="I181:J181"/>
    <mergeCell ref="A173:J173"/>
    <mergeCell ref="A178:A179"/>
    <mergeCell ref="B178:C179"/>
    <mergeCell ref="E179:F179"/>
    <mergeCell ref="G179:H179"/>
    <mergeCell ref="I179:J179"/>
    <mergeCell ref="B171:D171"/>
    <mergeCell ref="E171:F171"/>
    <mergeCell ref="G171:H171"/>
    <mergeCell ref="I171:J171"/>
    <mergeCell ref="B172:D172"/>
    <mergeCell ref="E172:F172"/>
    <mergeCell ref="G172:H172"/>
    <mergeCell ref="I172:J172"/>
    <mergeCell ref="I412:J412"/>
    <mergeCell ref="I413:J413"/>
    <mergeCell ref="I414:J414"/>
    <mergeCell ref="I415:J415"/>
    <mergeCell ref="I416:J416"/>
    <mergeCell ref="B334:D334"/>
    <mergeCell ref="E366:F366"/>
    <mergeCell ref="B369:D369"/>
    <mergeCell ref="E369:F369"/>
    <mergeCell ref="G369:H369"/>
    <mergeCell ref="I369:J369"/>
    <mergeCell ref="B362:D362"/>
    <mergeCell ref="I362:J362"/>
    <mergeCell ref="B366:D366"/>
    <mergeCell ref="G366:H366"/>
    <mergeCell ref="I366:J366"/>
    <mergeCell ref="B364:D364"/>
    <mergeCell ref="I364:J364"/>
    <mergeCell ref="B365:D365"/>
    <mergeCell ref="I365:J365"/>
    <mergeCell ref="B363:D363"/>
    <mergeCell ref="B355:D355"/>
    <mergeCell ref="E355:F355"/>
    <mergeCell ref="G355:H355"/>
    <mergeCell ref="I355:J355"/>
    <mergeCell ref="B358:D358"/>
    <mergeCell ref="G358:H358"/>
    <mergeCell ref="I358:J358"/>
    <mergeCell ref="A353:J353"/>
    <mergeCell ref="B354:D354"/>
    <mergeCell ref="E354:F354"/>
    <mergeCell ref="G354:H354"/>
    <mergeCell ref="I354:J354"/>
    <mergeCell ref="A356:J356"/>
    <mergeCell ref="B357:D357"/>
    <mergeCell ref="G357:H357"/>
    <mergeCell ref="I357:J357"/>
    <mergeCell ref="G351:H351"/>
    <mergeCell ref="I351:J351"/>
    <mergeCell ref="B351:D351"/>
    <mergeCell ref="B352:D352"/>
    <mergeCell ref="G352:H352"/>
    <mergeCell ref="I352:J352"/>
    <mergeCell ref="E352:F352"/>
    <mergeCell ref="B316:D316"/>
    <mergeCell ref="G316:H316"/>
    <mergeCell ref="I316:J316"/>
    <mergeCell ref="B331:D331"/>
    <mergeCell ref="G331:H331"/>
    <mergeCell ref="I331:J331"/>
    <mergeCell ref="B330:D330"/>
    <mergeCell ref="G330:H330"/>
    <mergeCell ref="I330:J330"/>
    <mergeCell ref="B329:D329"/>
    <mergeCell ref="G329:H329"/>
    <mergeCell ref="I329:J329"/>
    <mergeCell ref="E331:F331"/>
    <mergeCell ref="A332:J332"/>
    <mergeCell ref="E334:F334"/>
    <mergeCell ref="G334:H334"/>
    <mergeCell ref="I334:J334"/>
    <mergeCell ref="D417:H417"/>
    <mergeCell ref="F418:H418"/>
    <mergeCell ref="A314:J314"/>
    <mergeCell ref="B310:D310"/>
    <mergeCell ref="E325:F325"/>
    <mergeCell ref="G325:H325"/>
    <mergeCell ref="I325:J325"/>
    <mergeCell ref="B319:D319"/>
    <mergeCell ref="G319:H319"/>
    <mergeCell ref="I319:J319"/>
    <mergeCell ref="G310:J310"/>
    <mergeCell ref="A311:J311"/>
    <mergeCell ref="B312:D312"/>
    <mergeCell ref="E312:F312"/>
    <mergeCell ref="G312:H312"/>
    <mergeCell ref="I312:J312"/>
    <mergeCell ref="E313:F313"/>
    <mergeCell ref="B315:D315"/>
    <mergeCell ref="G315:H315"/>
    <mergeCell ref="I315:J315"/>
    <mergeCell ref="B313:D313"/>
    <mergeCell ref="G313:H313"/>
    <mergeCell ref="I313:J313"/>
    <mergeCell ref="E310:F310"/>
    <mergeCell ref="F419:H419"/>
    <mergeCell ref="I419:J419"/>
    <mergeCell ref="I420:J420"/>
    <mergeCell ref="I421:J421"/>
    <mergeCell ref="B395:D395"/>
    <mergeCell ref="I395:J395"/>
    <mergeCell ref="A394:J394"/>
    <mergeCell ref="B397:D397"/>
    <mergeCell ref="I397:J397"/>
    <mergeCell ref="A396:J396"/>
    <mergeCell ref="B398:D398"/>
    <mergeCell ref="E398:F398"/>
    <mergeCell ref="G398:H398"/>
    <mergeCell ref="I398:J398"/>
    <mergeCell ref="B399:D399"/>
    <mergeCell ref="E399:F399"/>
    <mergeCell ref="G399:H399"/>
    <mergeCell ref="I417:J417"/>
    <mergeCell ref="I418:J418"/>
    <mergeCell ref="B403:D403"/>
    <mergeCell ref="E403:F403"/>
    <mergeCell ref="I409:J409"/>
    <mergeCell ref="I411:J411"/>
    <mergeCell ref="G416:H416"/>
    <mergeCell ref="G392:H392"/>
    <mergeCell ref="I392:J392"/>
    <mergeCell ref="G393:H393"/>
    <mergeCell ref="G385:H385"/>
    <mergeCell ref="I385:J385"/>
    <mergeCell ref="B385:D385"/>
    <mergeCell ref="A384:J384"/>
    <mergeCell ref="B386:D386"/>
    <mergeCell ref="G386:H386"/>
    <mergeCell ref="I386:J386"/>
    <mergeCell ref="A387:J387"/>
    <mergeCell ref="B380:D380"/>
    <mergeCell ref="G380:H380"/>
    <mergeCell ref="I380:J380"/>
    <mergeCell ref="B381:D381"/>
    <mergeCell ref="G381:H381"/>
    <mergeCell ref="I381:J381"/>
    <mergeCell ref="G382:H382"/>
    <mergeCell ref="I382:J382"/>
    <mergeCell ref="B382:D382"/>
    <mergeCell ref="B263:D263"/>
    <mergeCell ref="B264:D264"/>
    <mergeCell ref="B265:D265"/>
    <mergeCell ref="B266:D266"/>
    <mergeCell ref="B275:D275"/>
    <mergeCell ref="E275:F275"/>
    <mergeCell ref="B270:D270"/>
    <mergeCell ref="G275:J275"/>
    <mergeCell ref="B277:D277"/>
    <mergeCell ref="E277:F277"/>
    <mergeCell ref="I240:J240"/>
    <mergeCell ref="B241:D241"/>
    <mergeCell ref="I241:J241"/>
    <mergeCell ref="A242:J242"/>
    <mergeCell ref="B240:D240"/>
    <mergeCell ref="F240:G240"/>
    <mergeCell ref="F241:G241"/>
    <mergeCell ref="B204:D204"/>
    <mergeCell ref="G204:H204"/>
    <mergeCell ref="I204:J204"/>
    <mergeCell ref="B205:D205"/>
    <mergeCell ref="G205:H205"/>
    <mergeCell ref="I205:J205"/>
    <mergeCell ref="B208:D208"/>
    <mergeCell ref="G208:H208"/>
    <mergeCell ref="I208:J208"/>
    <mergeCell ref="B206:D206"/>
    <mergeCell ref="G206:H206"/>
    <mergeCell ref="I206:J206"/>
    <mergeCell ref="B207:D207"/>
    <mergeCell ref="G207:H207"/>
    <mergeCell ref="I207:J207"/>
    <mergeCell ref="B213:D213"/>
    <mergeCell ref="I213:J213"/>
    <mergeCell ref="K162:L162"/>
    <mergeCell ref="A163:J163"/>
    <mergeCell ref="A1:J1"/>
    <mergeCell ref="A2:J2"/>
    <mergeCell ref="A3:J3"/>
    <mergeCell ref="A5:J5"/>
    <mergeCell ref="A8:J8"/>
    <mergeCell ref="A9:A11"/>
    <mergeCell ref="B9:B11"/>
    <mergeCell ref="C9:C11"/>
    <mergeCell ref="D9:G9"/>
    <mergeCell ref="H9:H11"/>
    <mergeCell ref="A22:J22"/>
    <mergeCell ref="A23:J23"/>
    <mergeCell ref="A36:J36"/>
    <mergeCell ref="A51:J51"/>
    <mergeCell ref="A56:J56"/>
    <mergeCell ref="A65:I65"/>
    <mergeCell ref="I9:I11"/>
    <mergeCell ref="J9:J11"/>
    <mergeCell ref="D10:D11"/>
    <mergeCell ref="G157:H157"/>
    <mergeCell ref="I157:J157"/>
    <mergeCell ref="B158:F158"/>
    <mergeCell ref="E10:G10"/>
    <mergeCell ref="A13:J13"/>
    <mergeCell ref="A14:J14"/>
    <mergeCell ref="A66:B66"/>
    <mergeCell ref="A68:I68"/>
    <mergeCell ref="A71:A73"/>
    <mergeCell ref="B71:B73"/>
    <mergeCell ref="C71:C73"/>
    <mergeCell ref="D71:G71"/>
    <mergeCell ref="H71:H73"/>
    <mergeCell ref="I71:I73"/>
    <mergeCell ref="A67:B67"/>
    <mergeCell ref="A85:J85"/>
    <mergeCell ref="A86:B86"/>
    <mergeCell ref="A87:I87"/>
    <mergeCell ref="A89:J89"/>
    <mergeCell ref="B90:D90"/>
    <mergeCell ref="E90:F90"/>
    <mergeCell ref="G90:H90"/>
    <mergeCell ref="I90:J90"/>
    <mergeCell ref="J71:J73"/>
    <mergeCell ref="D72:D73"/>
    <mergeCell ref="E72:G72"/>
    <mergeCell ref="A75:J75"/>
    <mergeCell ref="A82:I82"/>
    <mergeCell ref="A83:I83"/>
    <mergeCell ref="B93:D93"/>
    <mergeCell ref="E93:F93"/>
    <mergeCell ref="G93:H93"/>
    <mergeCell ref="I93:J93"/>
    <mergeCell ref="B94:D94"/>
    <mergeCell ref="E94:F94"/>
    <mergeCell ref="G94:H94"/>
    <mergeCell ref="B91:D91"/>
    <mergeCell ref="E91:F91"/>
    <mergeCell ref="G91:H91"/>
    <mergeCell ref="I91:J91"/>
    <mergeCell ref="B92:D92"/>
    <mergeCell ref="E92:F92"/>
    <mergeCell ref="G92:H92"/>
    <mergeCell ref="I92:J92"/>
    <mergeCell ref="A98:J98"/>
    <mergeCell ref="A99:J99"/>
    <mergeCell ref="B100:D100"/>
    <mergeCell ref="E100:F100"/>
    <mergeCell ref="G100:H100"/>
    <mergeCell ref="I100:J100"/>
    <mergeCell ref="A95:J95"/>
    <mergeCell ref="B96:D96"/>
    <mergeCell ref="E96:F96"/>
    <mergeCell ref="I96:J96"/>
    <mergeCell ref="B97:D97"/>
    <mergeCell ref="E97:F97"/>
    <mergeCell ref="I97:J97"/>
    <mergeCell ref="B104:D104"/>
    <mergeCell ref="E104:F104"/>
    <mergeCell ref="G104:H104"/>
    <mergeCell ref="I104:J104"/>
    <mergeCell ref="B105:D105"/>
    <mergeCell ref="E105:F105"/>
    <mergeCell ref="G105:H105"/>
    <mergeCell ref="I105:J105"/>
    <mergeCell ref="B101:D101"/>
    <mergeCell ref="E101:F101"/>
    <mergeCell ref="G101:H101"/>
    <mergeCell ref="I101:J101"/>
    <mergeCell ref="A102:J102"/>
    <mergeCell ref="B103:D103"/>
    <mergeCell ref="E103:F103"/>
    <mergeCell ref="G103:H103"/>
    <mergeCell ref="I103:J103"/>
    <mergeCell ref="B109:D109"/>
    <mergeCell ref="E109:F109"/>
    <mergeCell ref="I109:J109"/>
    <mergeCell ref="A110:J110"/>
    <mergeCell ref="B106:D106"/>
    <mergeCell ref="E106:F106"/>
    <mergeCell ref="G106:H106"/>
    <mergeCell ref="I106:J106"/>
    <mergeCell ref="A107:J107"/>
    <mergeCell ref="B108:D108"/>
    <mergeCell ref="E108:F108"/>
    <mergeCell ref="I108:J108"/>
    <mergeCell ref="A111:J111"/>
    <mergeCell ref="B115:D115"/>
    <mergeCell ref="E115:F115"/>
    <mergeCell ref="I115:J115"/>
    <mergeCell ref="B116:D116"/>
    <mergeCell ref="E116:F116"/>
    <mergeCell ref="I116:J116"/>
    <mergeCell ref="B112:D112"/>
    <mergeCell ref="E112:F112"/>
    <mergeCell ref="I112:J112"/>
    <mergeCell ref="B113:D113"/>
    <mergeCell ref="E113:F113"/>
    <mergeCell ref="I113:J113"/>
    <mergeCell ref="B114:D114"/>
    <mergeCell ref="E114:F114"/>
    <mergeCell ref="I114:J114"/>
    <mergeCell ref="I120:J120"/>
    <mergeCell ref="I121:J121"/>
    <mergeCell ref="B117:D117"/>
    <mergeCell ref="E117:F117"/>
    <mergeCell ref="I117:J117"/>
    <mergeCell ref="B120:D120"/>
    <mergeCell ref="E120:F120"/>
    <mergeCell ref="B121:D121"/>
    <mergeCell ref="E121:F121"/>
    <mergeCell ref="B118:D118"/>
    <mergeCell ref="E118:F118"/>
    <mergeCell ref="I118:J118"/>
    <mergeCell ref="A119:J119"/>
    <mergeCell ref="I124:J124"/>
    <mergeCell ref="I125:J125"/>
    <mergeCell ref="I122:J122"/>
    <mergeCell ref="B122:D122"/>
    <mergeCell ref="E122:F122"/>
    <mergeCell ref="A123:J123"/>
    <mergeCell ref="B124:D124"/>
    <mergeCell ref="E124:F124"/>
    <mergeCell ref="B125:D125"/>
    <mergeCell ref="E125:F125"/>
    <mergeCell ref="B129:F129"/>
    <mergeCell ref="G129:H129"/>
    <mergeCell ref="I129:J129"/>
    <mergeCell ref="I126:J126"/>
    <mergeCell ref="I127:J127"/>
    <mergeCell ref="B126:D126"/>
    <mergeCell ref="E126:F126"/>
    <mergeCell ref="B127:D127"/>
    <mergeCell ref="E127:F127"/>
    <mergeCell ref="A128:J128"/>
    <mergeCell ref="B132:F132"/>
    <mergeCell ref="G132:H132"/>
    <mergeCell ref="I132:J132"/>
    <mergeCell ref="B133:F133"/>
    <mergeCell ref="G133:H133"/>
    <mergeCell ref="I133:J133"/>
    <mergeCell ref="B130:F130"/>
    <mergeCell ref="G130:H130"/>
    <mergeCell ref="I130:J130"/>
    <mergeCell ref="B131:F131"/>
    <mergeCell ref="G131:H131"/>
    <mergeCell ref="I131:J131"/>
    <mergeCell ref="B136:F136"/>
    <mergeCell ref="G136:H136"/>
    <mergeCell ref="I136:J136"/>
    <mergeCell ref="B137:F137"/>
    <mergeCell ref="G137:H137"/>
    <mergeCell ref="I137:J137"/>
    <mergeCell ref="B134:F134"/>
    <mergeCell ref="G134:H134"/>
    <mergeCell ref="I134:J134"/>
    <mergeCell ref="B135:F135"/>
    <mergeCell ref="G135:H135"/>
    <mergeCell ref="I135:J135"/>
    <mergeCell ref="B140:F140"/>
    <mergeCell ref="G140:H140"/>
    <mergeCell ref="I140:J140"/>
    <mergeCell ref="B141:F141"/>
    <mergeCell ref="G141:H141"/>
    <mergeCell ref="I141:J141"/>
    <mergeCell ref="B138:F138"/>
    <mergeCell ref="G138:H138"/>
    <mergeCell ref="I138:J138"/>
    <mergeCell ref="B139:F139"/>
    <mergeCell ref="G139:H139"/>
    <mergeCell ref="I139:J139"/>
    <mergeCell ref="B144:F144"/>
    <mergeCell ref="G144:H144"/>
    <mergeCell ref="I144:J144"/>
    <mergeCell ref="B145:F145"/>
    <mergeCell ref="G145:H145"/>
    <mergeCell ref="I145:J145"/>
    <mergeCell ref="B142:F142"/>
    <mergeCell ref="G142:H142"/>
    <mergeCell ref="I142:J142"/>
    <mergeCell ref="B143:F143"/>
    <mergeCell ref="G143:H143"/>
    <mergeCell ref="I143:J143"/>
    <mergeCell ref="B148:F148"/>
    <mergeCell ref="G148:H148"/>
    <mergeCell ref="I148:J148"/>
    <mergeCell ref="B149:F149"/>
    <mergeCell ref="G149:H149"/>
    <mergeCell ref="I149:J149"/>
    <mergeCell ref="B146:F146"/>
    <mergeCell ref="G146:H146"/>
    <mergeCell ref="I146:J146"/>
    <mergeCell ref="B147:F147"/>
    <mergeCell ref="G147:H147"/>
    <mergeCell ref="I147:J147"/>
    <mergeCell ref="B150:F150"/>
    <mergeCell ref="G150:H150"/>
    <mergeCell ref="I150:J150"/>
    <mergeCell ref="B151:F151"/>
    <mergeCell ref="I151:J151"/>
    <mergeCell ref="B152:F152"/>
    <mergeCell ref="G152:H152"/>
    <mergeCell ref="I152:J152"/>
    <mergeCell ref="G151:H151"/>
    <mergeCell ref="B153:F153"/>
    <mergeCell ref="G153:H153"/>
    <mergeCell ref="I153:J153"/>
    <mergeCell ref="B154:F154"/>
    <mergeCell ref="G154:H154"/>
    <mergeCell ref="I154:J154"/>
    <mergeCell ref="B155:F155"/>
    <mergeCell ref="G155:H155"/>
    <mergeCell ref="G162:H162"/>
    <mergeCell ref="I162:J162"/>
    <mergeCell ref="I155:J155"/>
    <mergeCell ref="B156:F156"/>
    <mergeCell ref="I156:J156"/>
    <mergeCell ref="B157:F157"/>
    <mergeCell ref="B161:F161"/>
    <mergeCell ref="I161:J161"/>
    <mergeCell ref="B162:F162"/>
    <mergeCell ref="G158:H158"/>
    <mergeCell ref="I158:J158"/>
    <mergeCell ref="B159:F159"/>
    <mergeCell ref="G159:H159"/>
    <mergeCell ref="I159:J159"/>
    <mergeCell ref="B160:F160"/>
    <mergeCell ref="G160:H160"/>
    <mergeCell ref="A164:J164"/>
    <mergeCell ref="G156:H156"/>
    <mergeCell ref="B177:D177"/>
    <mergeCell ref="E177:F177"/>
    <mergeCell ref="G177:H177"/>
    <mergeCell ref="I177:J177"/>
    <mergeCell ref="E178:F178"/>
    <mergeCell ref="G178:H178"/>
    <mergeCell ref="I178:J178"/>
    <mergeCell ref="B176:D176"/>
    <mergeCell ref="E176:F176"/>
    <mergeCell ref="G176:H176"/>
    <mergeCell ref="I176:J176"/>
    <mergeCell ref="B167:D167"/>
    <mergeCell ref="E167:F167"/>
    <mergeCell ref="G167:H167"/>
    <mergeCell ref="I167:J167"/>
    <mergeCell ref="I160:J160"/>
    <mergeCell ref="I168:J168"/>
    <mergeCell ref="A169:J169"/>
    <mergeCell ref="B170:D170"/>
    <mergeCell ref="E170:F170"/>
    <mergeCell ref="G170:H170"/>
    <mergeCell ref="I170:J170"/>
    <mergeCell ref="B211:D211"/>
    <mergeCell ref="I211:J211"/>
    <mergeCell ref="B212:D212"/>
    <mergeCell ref="I212:J212"/>
    <mergeCell ref="G211:H211"/>
    <mergeCell ref="G212:H212"/>
    <mergeCell ref="G213:H213"/>
    <mergeCell ref="A215:J215"/>
    <mergeCell ref="B221:D221"/>
    <mergeCell ref="F221:G221"/>
    <mergeCell ref="I221:J221"/>
    <mergeCell ref="B219:D219"/>
    <mergeCell ref="I219:J219"/>
    <mergeCell ref="B217:D217"/>
    <mergeCell ref="I217:J217"/>
    <mergeCell ref="B218:D218"/>
    <mergeCell ref="I218:J218"/>
    <mergeCell ref="B216:D216"/>
    <mergeCell ref="I216:J216"/>
    <mergeCell ref="E216:F216"/>
    <mergeCell ref="G216:H216"/>
    <mergeCell ref="E217:F217"/>
    <mergeCell ref="G217:H217"/>
    <mergeCell ref="E218:F218"/>
    <mergeCell ref="I229:J229"/>
    <mergeCell ref="B230:D230"/>
    <mergeCell ref="F230:G230"/>
    <mergeCell ref="I230:J230"/>
    <mergeCell ref="B227:D227"/>
    <mergeCell ref="F227:G227"/>
    <mergeCell ref="I227:J227"/>
    <mergeCell ref="B228:D228"/>
    <mergeCell ref="F228:G228"/>
    <mergeCell ref="I228:J228"/>
    <mergeCell ref="B234:D234"/>
    <mergeCell ref="I234:J234"/>
    <mergeCell ref="B235:D235"/>
    <mergeCell ref="I235:J235"/>
    <mergeCell ref="B231:D231"/>
    <mergeCell ref="F231:G231"/>
    <mergeCell ref="I231:J231"/>
    <mergeCell ref="B233:D233"/>
    <mergeCell ref="I233:J233"/>
    <mergeCell ref="B232:D232"/>
    <mergeCell ref="F232:G232"/>
    <mergeCell ref="I232:J232"/>
    <mergeCell ref="F233:G233"/>
    <mergeCell ref="F234:G234"/>
    <mergeCell ref="F235:G235"/>
    <mergeCell ref="B236:D236"/>
    <mergeCell ref="I236:J236"/>
    <mergeCell ref="F236:G236"/>
    <mergeCell ref="B238:D238"/>
    <mergeCell ref="I238:J238"/>
    <mergeCell ref="B239:D239"/>
    <mergeCell ref="I239:J239"/>
    <mergeCell ref="F238:G238"/>
    <mergeCell ref="F239:G239"/>
    <mergeCell ref="B293:D293"/>
    <mergeCell ref="E293:F293"/>
    <mergeCell ref="B279:D279"/>
    <mergeCell ref="E279:F279"/>
    <mergeCell ref="A276:J276"/>
    <mergeCell ref="A278:J278"/>
    <mergeCell ref="B281:D281"/>
    <mergeCell ref="E281:F281"/>
    <mergeCell ref="B283:D283"/>
    <mergeCell ref="E283:F283"/>
    <mergeCell ref="B284:D284"/>
    <mergeCell ref="E284:F284"/>
    <mergeCell ref="I303:J303"/>
    <mergeCell ref="I301:J301"/>
    <mergeCell ref="B285:D285"/>
    <mergeCell ref="E285:F285"/>
    <mergeCell ref="E288:F288"/>
    <mergeCell ref="B280:D280"/>
    <mergeCell ref="E280:F280"/>
    <mergeCell ref="B282:D282"/>
    <mergeCell ref="E282:F282"/>
    <mergeCell ref="A286:J286"/>
    <mergeCell ref="B295:D295"/>
    <mergeCell ref="E295:F295"/>
    <mergeCell ref="B290:D290"/>
    <mergeCell ref="E290:F290"/>
    <mergeCell ref="B291:D291"/>
    <mergeCell ref="B292:D292"/>
    <mergeCell ref="E292:F292"/>
    <mergeCell ref="B294:D294"/>
    <mergeCell ref="E294:F294"/>
    <mergeCell ref="B287:D287"/>
    <mergeCell ref="E287:F287"/>
    <mergeCell ref="B288:D288"/>
    <mergeCell ref="B289:D289"/>
    <mergeCell ref="E289:F289"/>
    <mergeCell ref="A326:J326"/>
    <mergeCell ref="B327:D327"/>
    <mergeCell ref="G327:H327"/>
    <mergeCell ref="I327:J327"/>
    <mergeCell ref="B297:D297"/>
    <mergeCell ref="E297:F297"/>
    <mergeCell ref="B296:D296"/>
    <mergeCell ref="E296:F296"/>
    <mergeCell ref="B301:D301"/>
    <mergeCell ref="E301:F301"/>
    <mergeCell ref="B303:D303"/>
    <mergeCell ref="E303:F303"/>
    <mergeCell ref="G303:H303"/>
    <mergeCell ref="G301:H301"/>
    <mergeCell ref="B300:D300"/>
    <mergeCell ref="B298:D298"/>
    <mergeCell ref="E298:F298"/>
    <mergeCell ref="A299:J299"/>
    <mergeCell ref="A302:J302"/>
    <mergeCell ref="B304:D304"/>
    <mergeCell ref="E304:F304"/>
    <mergeCell ref="G304:H304"/>
    <mergeCell ref="I304:J304"/>
    <mergeCell ref="I300:J300"/>
    <mergeCell ref="I320:J320"/>
    <mergeCell ref="B321:D321"/>
    <mergeCell ref="G321:H321"/>
    <mergeCell ref="I321:J321"/>
    <mergeCell ref="E320:F320"/>
    <mergeCell ref="E321:F321"/>
    <mergeCell ref="A322:J322"/>
    <mergeCell ref="B324:D324"/>
    <mergeCell ref="E324:F324"/>
    <mergeCell ref="G324:H324"/>
    <mergeCell ref="I324:J324"/>
    <mergeCell ref="I306:J306"/>
    <mergeCell ref="E307:F307"/>
    <mergeCell ref="A339:J339"/>
    <mergeCell ref="B343:D343"/>
    <mergeCell ref="G343:H343"/>
    <mergeCell ref="I343:J343"/>
    <mergeCell ref="B341:D341"/>
    <mergeCell ref="E341:F341"/>
    <mergeCell ref="G341:H341"/>
    <mergeCell ref="I341:J341"/>
    <mergeCell ref="B342:D342"/>
    <mergeCell ref="G342:H342"/>
    <mergeCell ref="I342:J342"/>
    <mergeCell ref="B340:D340"/>
    <mergeCell ref="E340:F340"/>
    <mergeCell ref="G340:H340"/>
    <mergeCell ref="I340:J340"/>
    <mergeCell ref="B328:D328"/>
    <mergeCell ref="G328:H328"/>
    <mergeCell ref="I328:J328"/>
    <mergeCell ref="A323:J323"/>
    <mergeCell ref="B325:D325"/>
    <mergeCell ref="B320:D320"/>
    <mergeCell ref="G320:H320"/>
    <mergeCell ref="B344:D344"/>
    <mergeCell ref="G344:H344"/>
    <mergeCell ref="I344:J344"/>
    <mergeCell ref="B345:D345"/>
    <mergeCell ref="G345:H345"/>
    <mergeCell ref="I345:J345"/>
    <mergeCell ref="E345:F345"/>
    <mergeCell ref="A346:J346"/>
    <mergeCell ref="B350:D350"/>
    <mergeCell ref="G350:H350"/>
    <mergeCell ref="I350:J350"/>
    <mergeCell ref="B348:D348"/>
    <mergeCell ref="E348:F348"/>
    <mergeCell ref="G348:H348"/>
    <mergeCell ref="I348:J348"/>
    <mergeCell ref="B349:D349"/>
    <mergeCell ref="G349:H349"/>
    <mergeCell ref="I349:J349"/>
    <mergeCell ref="B347:D347"/>
    <mergeCell ref="E347:F347"/>
    <mergeCell ref="G347:H347"/>
    <mergeCell ref="I347:J347"/>
    <mergeCell ref="B359:D359"/>
    <mergeCell ref="G359:H359"/>
    <mergeCell ref="I359:J359"/>
    <mergeCell ref="I363:J363"/>
    <mergeCell ref="E359:F359"/>
    <mergeCell ref="A360:J360"/>
    <mergeCell ref="B361:D361"/>
    <mergeCell ref="G361:H361"/>
    <mergeCell ref="I361:J361"/>
    <mergeCell ref="E365:F365"/>
    <mergeCell ref="G365:H365"/>
    <mergeCell ref="A367:J367"/>
    <mergeCell ref="B379:D379"/>
    <mergeCell ref="G379:H379"/>
    <mergeCell ref="I379:J379"/>
    <mergeCell ref="B372:D372"/>
    <mergeCell ref="I372:J372"/>
    <mergeCell ref="B377:D377"/>
    <mergeCell ref="G377:H377"/>
    <mergeCell ref="I377:J377"/>
    <mergeCell ref="E377:F377"/>
    <mergeCell ref="B378:D378"/>
    <mergeCell ref="G378:H378"/>
    <mergeCell ref="I378:J378"/>
    <mergeCell ref="B374:D374"/>
    <mergeCell ref="I374:J374"/>
    <mergeCell ref="B375:D375"/>
    <mergeCell ref="I375:J375"/>
    <mergeCell ref="B376:D376"/>
    <mergeCell ref="I376:J376"/>
    <mergeCell ref="B373:D373"/>
    <mergeCell ref="I373:J373"/>
    <mergeCell ref="B368:D368"/>
  </mergeCells>
  <pageMargins left="0.70866141732283472" right="0.70866141732283472" top="0.74803149606299213" bottom="0.74803149606299213" header="0.31496062992125984" footer="0.31496062992125984"/>
  <pageSetup paperSize="9" scale="49" fitToHeight="2"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401"/>
  <sheetViews>
    <sheetView topLeftCell="A257" workbookViewId="0">
      <selection activeCell="A395" sqref="A1:J395"/>
    </sheetView>
  </sheetViews>
  <sheetFormatPr defaultColWidth="9.140625" defaultRowHeight="15" x14ac:dyDescent="0.25"/>
  <cols>
    <col min="1" max="1" width="5.140625" style="1" customWidth="1"/>
    <col min="2" max="2" width="25" style="1" customWidth="1"/>
    <col min="3" max="3" width="9.140625" style="1"/>
    <col min="4" max="4" width="17.140625" style="1" customWidth="1"/>
    <col min="5" max="5" width="13.140625" style="1" customWidth="1"/>
    <col min="6" max="6" width="10.7109375" style="1" customWidth="1"/>
    <col min="7" max="7" width="12.28515625" style="1" customWidth="1"/>
    <col min="8" max="8" width="10.7109375" style="1" customWidth="1"/>
    <col min="9" max="9" width="11.5703125" style="1" customWidth="1"/>
    <col min="10" max="10" width="24.85546875" style="1" customWidth="1"/>
    <col min="11" max="11" width="16.42578125" style="1" customWidth="1"/>
    <col min="12" max="12" width="18.140625" style="1" customWidth="1"/>
    <col min="13" max="13" width="9.7109375" style="1" customWidth="1"/>
    <col min="14" max="14" width="14" style="1" customWidth="1"/>
    <col min="15" max="16384" width="9.140625" style="1"/>
  </cols>
  <sheetData>
    <row r="1" spans="1:14" ht="26.25" customHeight="1" x14ac:dyDescent="0.25">
      <c r="A1" s="1585" t="s">
        <v>68</v>
      </c>
      <c r="B1" s="1585"/>
      <c r="C1" s="1585"/>
      <c r="D1" s="1585"/>
      <c r="E1" s="1585"/>
      <c r="F1" s="1585"/>
      <c r="G1" s="1585"/>
      <c r="H1" s="1585"/>
      <c r="I1" s="1585"/>
      <c r="J1" s="1585"/>
    </row>
    <row r="2" spans="1:14" ht="17.25" customHeight="1" x14ac:dyDescent="0.25">
      <c r="A2" s="1585" t="s">
        <v>419</v>
      </c>
      <c r="B2" s="1585"/>
      <c r="C2" s="1585"/>
      <c r="D2" s="1585"/>
      <c r="E2" s="1585"/>
      <c r="F2" s="1585"/>
      <c r="G2" s="1585"/>
      <c r="H2" s="1585"/>
      <c r="I2" s="1585"/>
      <c r="J2" s="1585"/>
    </row>
    <row r="3" spans="1:14" ht="47.25" customHeight="1" x14ac:dyDescent="0.25">
      <c r="A3" s="1585" t="s">
        <v>525</v>
      </c>
      <c r="B3" s="1585"/>
      <c r="C3" s="1585"/>
      <c r="D3" s="1585"/>
      <c r="E3" s="1585"/>
      <c r="F3" s="1585"/>
      <c r="G3" s="1585"/>
      <c r="H3" s="1585"/>
      <c r="I3" s="1585"/>
      <c r="J3" s="1585"/>
    </row>
    <row r="4" spans="1:14" ht="15.75" x14ac:dyDescent="0.25">
      <c r="A4" s="80"/>
      <c r="B4" s="81"/>
      <c r="C4" s="81"/>
      <c r="D4" s="82" t="s">
        <v>263</v>
      </c>
      <c r="E4" s="457" t="s">
        <v>1180</v>
      </c>
      <c r="F4" s="83" t="s">
        <v>533</v>
      </c>
      <c r="G4" s="81"/>
      <c r="H4" s="81"/>
      <c r="I4" s="81"/>
      <c r="J4" s="81"/>
    </row>
    <row r="5" spans="1:14" ht="15.75" x14ac:dyDescent="0.25">
      <c r="A5" s="1446" t="s">
        <v>0</v>
      </c>
      <c r="B5" s="1446"/>
      <c r="C5" s="1446"/>
      <c r="D5" s="1446"/>
      <c r="E5" s="1446"/>
      <c r="F5" s="1446"/>
      <c r="G5" s="1446"/>
      <c r="H5" s="1446"/>
      <c r="I5" s="1446"/>
      <c r="J5" s="1446"/>
    </row>
    <row r="6" spans="1:14" ht="19.5" customHeight="1" x14ac:dyDescent="0.25">
      <c r="A6" s="80" t="s">
        <v>80</v>
      </c>
      <c r="B6" s="81"/>
      <c r="C6" s="307">
        <v>111</v>
      </c>
      <c r="D6" s="307">
        <v>112</v>
      </c>
      <c r="E6" s="307">
        <v>119</v>
      </c>
      <c r="F6" s="85"/>
      <c r="G6" s="85"/>
      <c r="H6" s="85"/>
      <c r="I6" s="85"/>
      <c r="J6" s="85"/>
    </row>
    <row r="7" spans="1:14" ht="22.5" customHeight="1" x14ac:dyDescent="0.25">
      <c r="A7" s="80" t="s">
        <v>81</v>
      </c>
      <c r="B7" s="81"/>
      <c r="C7" s="81"/>
      <c r="D7" s="81"/>
      <c r="E7" s="86" t="s">
        <v>82</v>
      </c>
      <c r="F7" s="87"/>
      <c r="G7" s="86"/>
      <c r="H7" s="87"/>
      <c r="I7" s="87"/>
      <c r="J7" s="87"/>
    </row>
    <row r="8" spans="1:14" ht="21" customHeight="1" x14ac:dyDescent="0.25">
      <c r="A8" s="1442" t="s">
        <v>350</v>
      </c>
      <c r="B8" s="1442"/>
      <c r="C8" s="1442"/>
      <c r="D8" s="1442"/>
      <c r="E8" s="1442"/>
      <c r="F8" s="1442"/>
      <c r="G8" s="1442"/>
      <c r="H8" s="1442"/>
      <c r="I8" s="1442"/>
      <c r="J8" s="1442"/>
      <c r="L8" s="1">
        <v>4362.7700000000004</v>
      </c>
      <c r="M8" s="1">
        <v>54</v>
      </c>
      <c r="N8" s="1">
        <f>L8*M8</f>
        <v>235589.58000000002</v>
      </c>
    </row>
    <row r="9" spans="1:14" x14ac:dyDescent="0.25">
      <c r="A9" s="1574" t="s">
        <v>1</v>
      </c>
      <c r="B9" s="1579" t="s">
        <v>2</v>
      </c>
      <c r="C9" s="1579" t="s">
        <v>3</v>
      </c>
      <c r="D9" s="1574" t="s">
        <v>4</v>
      </c>
      <c r="E9" s="1574"/>
      <c r="F9" s="1574"/>
      <c r="G9" s="1574"/>
      <c r="H9" s="1574" t="s">
        <v>5</v>
      </c>
      <c r="I9" s="1579" t="s">
        <v>6</v>
      </c>
      <c r="J9" s="1579" t="s">
        <v>305</v>
      </c>
    </row>
    <row r="10" spans="1:14" ht="33" customHeight="1" x14ac:dyDescent="0.25">
      <c r="A10" s="1574"/>
      <c r="B10" s="1579"/>
      <c r="C10" s="1579"/>
      <c r="D10" s="1579" t="s">
        <v>8</v>
      </c>
      <c r="E10" s="1579" t="s">
        <v>9</v>
      </c>
      <c r="F10" s="1579"/>
      <c r="G10" s="1579"/>
      <c r="H10" s="1574"/>
      <c r="I10" s="1579"/>
      <c r="J10" s="1579"/>
    </row>
    <row r="11" spans="1:14" ht="75" x14ac:dyDescent="0.25">
      <c r="A11" s="1574"/>
      <c r="B11" s="1579"/>
      <c r="C11" s="1579"/>
      <c r="D11" s="1579"/>
      <c r="E11" s="739" t="s">
        <v>10</v>
      </c>
      <c r="F11" s="739" t="s">
        <v>11</v>
      </c>
      <c r="G11" s="739" t="s">
        <v>12</v>
      </c>
      <c r="H11" s="1574"/>
      <c r="I11" s="1579"/>
      <c r="J11" s="1579"/>
    </row>
    <row r="12" spans="1:14" ht="14.25" customHeight="1" x14ac:dyDescent="0.25">
      <c r="A12" s="714">
        <v>1</v>
      </c>
      <c r="B12" s="714">
        <v>2</v>
      </c>
      <c r="C12" s="714">
        <v>3</v>
      </c>
      <c r="D12" s="714">
        <v>4</v>
      </c>
      <c r="E12" s="714">
        <v>5</v>
      </c>
      <c r="F12" s="714">
        <v>6</v>
      </c>
      <c r="G12" s="714">
        <v>7</v>
      </c>
      <c r="H12" s="714">
        <v>8</v>
      </c>
      <c r="I12" s="714">
        <v>9</v>
      </c>
      <c r="J12" s="714">
        <v>10</v>
      </c>
    </row>
    <row r="13" spans="1:14" s="41" customFormat="1" x14ac:dyDescent="0.2">
      <c r="A13" s="1580" t="s">
        <v>351</v>
      </c>
      <c r="B13" s="1579"/>
      <c r="C13" s="1579"/>
      <c r="D13" s="1579"/>
      <c r="E13" s="1579"/>
      <c r="F13" s="1579"/>
      <c r="G13" s="1579"/>
      <c r="H13" s="1579"/>
      <c r="I13" s="1579"/>
      <c r="J13" s="1579"/>
    </row>
    <row r="14" spans="1:14" s="41" customFormat="1" hidden="1" x14ac:dyDescent="0.2">
      <c r="A14" s="1581" t="s">
        <v>420</v>
      </c>
      <c r="B14" s="1573"/>
      <c r="C14" s="1573"/>
      <c r="D14" s="1573"/>
      <c r="E14" s="1573"/>
      <c r="F14" s="1573"/>
      <c r="G14" s="1573"/>
      <c r="H14" s="1573"/>
      <c r="I14" s="1573"/>
      <c r="J14" s="1573"/>
    </row>
    <row r="15" spans="1:14" ht="20.25" hidden="1" customHeight="1" x14ac:dyDescent="0.25">
      <c r="A15" s="737">
        <v>1</v>
      </c>
      <c r="B15" s="102" t="s">
        <v>257</v>
      </c>
      <c r="C15" s="737"/>
      <c r="D15" s="103">
        <v>0</v>
      </c>
      <c r="E15" s="103">
        <v>75000</v>
      </c>
      <c r="F15" s="103">
        <v>0</v>
      </c>
      <c r="G15" s="103">
        <v>20000</v>
      </c>
      <c r="H15" s="104">
        <v>50</v>
      </c>
      <c r="I15" s="737">
        <v>1.7</v>
      </c>
      <c r="J15" s="105">
        <f>((C15*D15*(H15/100+I15))*12)</f>
        <v>0</v>
      </c>
      <c r="K15" s="128"/>
    </row>
    <row r="16" spans="1:14" ht="45" hidden="1" customHeight="1" x14ac:dyDescent="0.25">
      <c r="A16" s="737">
        <v>1</v>
      </c>
      <c r="B16" s="102" t="s">
        <v>421</v>
      </c>
      <c r="C16" s="737">
        <v>0</v>
      </c>
      <c r="D16" s="103">
        <v>0</v>
      </c>
      <c r="E16" s="103">
        <v>3000</v>
      </c>
      <c r="F16" s="103">
        <v>2600</v>
      </c>
      <c r="G16" s="103">
        <v>1000</v>
      </c>
      <c r="H16" s="104">
        <v>50</v>
      </c>
      <c r="I16" s="737">
        <v>1.7</v>
      </c>
      <c r="J16" s="105">
        <f>((C16*D16*(H16/100+I16))*12)*1.2</f>
        <v>0</v>
      </c>
    </row>
    <row r="17" spans="1:12" ht="45" hidden="1" customHeight="1" x14ac:dyDescent="0.25">
      <c r="A17" s="737">
        <v>3</v>
      </c>
      <c r="B17" s="102" t="s">
        <v>422</v>
      </c>
      <c r="C17" s="737"/>
      <c r="D17" s="103"/>
      <c r="E17" s="103">
        <v>37800</v>
      </c>
      <c r="F17" s="103">
        <v>0</v>
      </c>
      <c r="G17" s="103">
        <f t="shared" ref="G17:G19" si="0">E17*20%</f>
        <v>7560</v>
      </c>
      <c r="H17" s="104">
        <v>50</v>
      </c>
      <c r="I17" s="737">
        <v>1.7</v>
      </c>
      <c r="J17" s="105">
        <f t="shared" ref="J17:J20" si="1">((C17*D17*(H17/100+I17))*12)*1.2</f>
        <v>0</v>
      </c>
    </row>
    <row r="18" spans="1:12" ht="45" hidden="1" customHeight="1" x14ac:dyDescent="0.25">
      <c r="A18" s="737">
        <v>4</v>
      </c>
      <c r="B18" s="102" t="s">
        <v>423</v>
      </c>
      <c r="C18" s="737"/>
      <c r="D18" s="103"/>
      <c r="E18" s="103">
        <v>37800</v>
      </c>
      <c r="F18" s="103">
        <v>0</v>
      </c>
      <c r="G18" s="103">
        <f t="shared" si="0"/>
        <v>7560</v>
      </c>
      <c r="H18" s="104">
        <v>50</v>
      </c>
      <c r="I18" s="737">
        <v>17</v>
      </c>
      <c r="J18" s="105">
        <f t="shared" si="1"/>
        <v>0</v>
      </c>
      <c r="L18" s="1">
        <f>((C18*D18+(H18/100+I18)*12))</f>
        <v>210</v>
      </c>
    </row>
    <row r="19" spans="1:12" ht="49.5" hidden="1" customHeight="1" x14ac:dyDescent="0.25">
      <c r="A19" s="737">
        <v>5</v>
      </c>
      <c r="B19" s="102" t="s">
        <v>424</v>
      </c>
      <c r="C19" s="737"/>
      <c r="D19" s="103"/>
      <c r="E19" s="103">
        <v>37800</v>
      </c>
      <c r="F19" s="103">
        <v>0</v>
      </c>
      <c r="G19" s="103">
        <f t="shared" si="0"/>
        <v>7560</v>
      </c>
      <c r="H19" s="104">
        <v>50</v>
      </c>
      <c r="I19" s="737">
        <v>1.7</v>
      </c>
      <c r="J19" s="105">
        <f t="shared" si="1"/>
        <v>0</v>
      </c>
    </row>
    <row r="20" spans="1:12" hidden="1" x14ac:dyDescent="0.25">
      <c r="A20" s="737">
        <v>2</v>
      </c>
      <c r="B20" s="102" t="s">
        <v>258</v>
      </c>
      <c r="C20" s="737">
        <v>0</v>
      </c>
      <c r="D20" s="103">
        <v>0</v>
      </c>
      <c r="E20" s="103">
        <v>3000</v>
      </c>
      <c r="F20" s="103">
        <v>2600</v>
      </c>
      <c r="G20" s="103">
        <v>1500</v>
      </c>
      <c r="H20" s="104">
        <v>50</v>
      </c>
      <c r="I20" s="737">
        <v>1.7</v>
      </c>
      <c r="J20" s="105">
        <f t="shared" si="1"/>
        <v>0</v>
      </c>
    </row>
    <row r="21" spans="1:12" ht="28.5" hidden="1" x14ac:dyDescent="0.25">
      <c r="A21" s="106"/>
      <c r="B21" s="107" t="s">
        <v>425</v>
      </c>
      <c r="C21" s="108">
        <f>SUM(C15:C20)</f>
        <v>0</v>
      </c>
      <c r="D21" s="109">
        <f>SUM(D15:D20)</f>
        <v>0</v>
      </c>
      <c r="E21" s="108" t="s">
        <v>14</v>
      </c>
      <c r="F21" s="108" t="s">
        <v>14</v>
      </c>
      <c r="G21" s="108" t="s">
        <v>14</v>
      </c>
      <c r="H21" s="108" t="s">
        <v>14</v>
      </c>
      <c r="I21" s="108" t="s">
        <v>14</v>
      </c>
      <c r="J21" s="109">
        <f>SUM(J15:J20)</f>
        <v>0</v>
      </c>
      <c r="K21" s="129"/>
    </row>
    <row r="22" spans="1:12" x14ac:dyDescent="0.25">
      <c r="A22" s="1572" t="s">
        <v>426</v>
      </c>
      <c r="B22" s="1575"/>
      <c r="C22" s="1575"/>
      <c r="D22" s="1575"/>
      <c r="E22" s="1575"/>
      <c r="F22" s="1575"/>
      <c r="G22" s="1575"/>
      <c r="H22" s="1575"/>
      <c r="I22" s="1575"/>
      <c r="J22" s="1575"/>
    </row>
    <row r="23" spans="1:12" ht="18.75" customHeight="1" x14ac:dyDescent="0.25">
      <c r="A23" s="1576" t="s">
        <v>427</v>
      </c>
      <c r="B23" s="1577"/>
      <c r="C23" s="1577"/>
      <c r="D23" s="1577"/>
      <c r="E23" s="1577"/>
      <c r="F23" s="1577"/>
      <c r="G23" s="1577"/>
      <c r="H23" s="1577"/>
      <c r="I23" s="1577"/>
      <c r="J23" s="1578"/>
    </row>
    <row r="24" spans="1:12" ht="15" hidden="1" customHeight="1" x14ac:dyDescent="0.25">
      <c r="A24" s="761">
        <v>1</v>
      </c>
      <c r="B24" s="102" t="s">
        <v>428</v>
      </c>
      <c r="C24" s="761"/>
      <c r="D24" s="103">
        <f>E24+F24+G24</f>
        <v>12240</v>
      </c>
      <c r="E24" s="127">
        <v>10200</v>
      </c>
      <c r="F24" s="103">
        <v>0</v>
      </c>
      <c r="G24" s="103">
        <f>E24*20%</f>
        <v>2040</v>
      </c>
      <c r="H24" s="104">
        <v>50</v>
      </c>
      <c r="I24" s="761">
        <v>1.7</v>
      </c>
      <c r="J24" s="132">
        <f>(C24*D24*(H24/100+I24))*13.8</f>
        <v>0</v>
      </c>
      <c r="K24" s="125"/>
    </row>
    <row r="25" spans="1:12" ht="75" hidden="1" customHeight="1" x14ac:dyDescent="0.25">
      <c r="A25" s="761">
        <v>2</v>
      </c>
      <c r="B25" s="102" t="s">
        <v>429</v>
      </c>
      <c r="C25" s="761"/>
      <c r="D25" s="103">
        <f t="shared" ref="D25:D63" si="2">E25+F25+G25</f>
        <v>30000</v>
      </c>
      <c r="E25" s="127">
        <v>25000</v>
      </c>
      <c r="F25" s="103">
        <v>0</v>
      </c>
      <c r="G25" s="103">
        <v>5000</v>
      </c>
      <c r="H25" s="104">
        <v>50</v>
      </c>
      <c r="I25" s="761">
        <v>1.7</v>
      </c>
      <c r="J25" s="132">
        <f>(C25*D25*(H25/100+I25))*13</f>
        <v>0</v>
      </c>
    </row>
    <row r="26" spans="1:12" ht="15" hidden="1" customHeight="1" x14ac:dyDescent="0.25">
      <c r="A26" s="761">
        <v>3</v>
      </c>
      <c r="B26" s="102" t="s">
        <v>316</v>
      </c>
      <c r="C26" s="761"/>
      <c r="D26" s="103">
        <f t="shared" si="2"/>
        <v>37800</v>
      </c>
      <c r="E26" s="127">
        <v>31500</v>
      </c>
      <c r="F26" s="103">
        <v>0</v>
      </c>
      <c r="G26" s="103">
        <f t="shared" ref="G26:G28" si="3">E26*20%</f>
        <v>6300</v>
      </c>
      <c r="H26" s="104">
        <v>50</v>
      </c>
      <c r="I26" s="761">
        <v>1.7</v>
      </c>
      <c r="J26" s="132">
        <f>(C26*D26*(H26/100+I26))*11.4</f>
        <v>0</v>
      </c>
    </row>
    <row r="27" spans="1:12" ht="15" hidden="1" customHeight="1" x14ac:dyDescent="0.25">
      <c r="A27" s="761">
        <v>4</v>
      </c>
      <c r="B27" s="102" t="s">
        <v>430</v>
      </c>
      <c r="C27" s="761"/>
      <c r="D27" s="103">
        <f t="shared" si="2"/>
        <v>17400</v>
      </c>
      <c r="E27" s="127">
        <v>14500</v>
      </c>
      <c r="F27" s="103">
        <v>0</v>
      </c>
      <c r="G27" s="103">
        <f t="shared" si="3"/>
        <v>2900</v>
      </c>
      <c r="H27" s="104">
        <v>50</v>
      </c>
      <c r="I27" s="761">
        <v>1.7</v>
      </c>
      <c r="J27" s="132">
        <f>(C27*D27*(H27/100+I27))*14.6</f>
        <v>0</v>
      </c>
    </row>
    <row r="28" spans="1:12" ht="15" hidden="1" customHeight="1" x14ac:dyDescent="0.25">
      <c r="A28" s="761">
        <v>5</v>
      </c>
      <c r="B28" s="102" t="s">
        <v>317</v>
      </c>
      <c r="C28" s="761"/>
      <c r="D28" s="103">
        <f t="shared" si="2"/>
        <v>36000</v>
      </c>
      <c r="E28" s="127">
        <v>30000</v>
      </c>
      <c r="F28" s="103">
        <v>0</v>
      </c>
      <c r="G28" s="103">
        <f t="shared" si="3"/>
        <v>6000</v>
      </c>
      <c r="H28" s="104">
        <v>50</v>
      </c>
      <c r="I28" s="761">
        <v>1.7</v>
      </c>
      <c r="J28" s="132">
        <f t="shared" ref="J28" si="4">(C28*D28*(H28/100+I28))*14.6</f>
        <v>0</v>
      </c>
    </row>
    <row r="29" spans="1:12" ht="14.25" customHeight="1" x14ac:dyDescent="0.25">
      <c r="A29" s="761">
        <v>1</v>
      </c>
      <c r="B29" s="102" t="s">
        <v>315</v>
      </c>
      <c r="C29" s="761">
        <f>0.03*3</f>
        <v>0.09</v>
      </c>
      <c r="D29" s="335">
        <f t="shared" si="2"/>
        <v>9921.7000000000007</v>
      </c>
      <c r="E29" s="335">
        <f>7498*1.5*1.1+50-2500</f>
        <v>9921.7000000000007</v>
      </c>
      <c r="F29" s="552">
        <v>0</v>
      </c>
      <c r="G29" s="335">
        <v>0</v>
      </c>
      <c r="H29" s="591">
        <v>0.5</v>
      </c>
      <c r="I29" s="760">
        <v>1.7</v>
      </c>
      <c r="J29" s="554">
        <f>((D29*C29)*(H29+I29))*4</f>
        <v>7857.9864000000016</v>
      </c>
    </row>
    <row r="30" spans="1:12" ht="14.25" hidden="1" customHeight="1" x14ac:dyDescent="0.25">
      <c r="A30" s="761">
        <v>7</v>
      </c>
      <c r="B30" s="102" t="s">
        <v>314</v>
      </c>
      <c r="C30" s="761"/>
      <c r="D30" s="103">
        <f t="shared" si="2"/>
        <v>14906.04</v>
      </c>
      <c r="E30" s="335">
        <f t="shared" ref="E30:E31" si="5">7498*1.5*1.1+50</f>
        <v>12421.7</v>
      </c>
      <c r="F30" s="103">
        <v>0</v>
      </c>
      <c r="G30" s="335">
        <f t="shared" ref="G30:G31" si="6">(E30+F30)*20%</f>
        <v>2484.34</v>
      </c>
      <c r="H30" s="104">
        <v>50</v>
      </c>
      <c r="I30" s="761">
        <v>1.7</v>
      </c>
      <c r="J30" s="105">
        <f t="shared" ref="J30:J34" si="7">((C30*D30*(H30/100+I30))*12)*1.2</f>
        <v>0</v>
      </c>
    </row>
    <row r="31" spans="1:12" ht="30" hidden="1" customHeight="1" x14ac:dyDescent="0.25">
      <c r="A31" s="761">
        <v>6</v>
      </c>
      <c r="B31" s="102" t="s">
        <v>431</v>
      </c>
      <c r="C31" s="761"/>
      <c r="D31" s="103">
        <f t="shared" si="2"/>
        <v>14906.04</v>
      </c>
      <c r="E31" s="335">
        <f t="shared" si="5"/>
        <v>12421.7</v>
      </c>
      <c r="F31" s="103">
        <v>0</v>
      </c>
      <c r="G31" s="335">
        <f t="shared" si="6"/>
        <v>2484.34</v>
      </c>
      <c r="H31" s="104">
        <v>50</v>
      </c>
      <c r="I31" s="761">
        <v>1.7</v>
      </c>
      <c r="J31" s="105">
        <f t="shared" si="7"/>
        <v>0</v>
      </c>
      <c r="K31" s="77"/>
    </row>
    <row r="32" spans="1:12" ht="20.25" customHeight="1" x14ac:dyDescent="0.25">
      <c r="A32" s="761">
        <v>2</v>
      </c>
      <c r="B32" s="102" t="s">
        <v>316</v>
      </c>
      <c r="C32" s="761">
        <f>0.06*3</f>
        <v>0.18</v>
      </c>
      <c r="D32" s="335">
        <f t="shared" si="2"/>
        <v>9921.7000000000007</v>
      </c>
      <c r="E32" s="335">
        <f>7498*1.5*1.1+50-2500</f>
        <v>9921.7000000000007</v>
      </c>
      <c r="F32" s="552">
        <v>0</v>
      </c>
      <c r="G32" s="335">
        <v>0</v>
      </c>
      <c r="H32" s="591">
        <v>0.5</v>
      </c>
      <c r="I32" s="760">
        <v>1.7</v>
      </c>
      <c r="J32" s="554">
        <f>((D32*C32)*(H32+I32))*4</f>
        <v>15715.972800000003</v>
      </c>
      <c r="K32" s="77"/>
    </row>
    <row r="33" spans="1:11" ht="14.25" customHeight="1" x14ac:dyDescent="0.25">
      <c r="A33" s="761">
        <v>3</v>
      </c>
      <c r="B33" s="102" t="s">
        <v>712</v>
      </c>
      <c r="C33" s="761">
        <f>0.4*3</f>
        <v>1.2000000000000002</v>
      </c>
      <c r="D33" s="335">
        <f>E33+F33+G33</f>
        <v>11321.7</v>
      </c>
      <c r="E33" s="335">
        <f>(7498*1.5*1.1+50)-1100</f>
        <v>11321.7</v>
      </c>
      <c r="F33" s="552">
        <v>0</v>
      </c>
      <c r="G33" s="335">
        <v>0</v>
      </c>
      <c r="H33" s="591">
        <v>0.5</v>
      </c>
      <c r="I33" s="760">
        <v>1.7</v>
      </c>
      <c r="J33" s="554">
        <f>((D33*C33)*(H33+I33))*4</f>
        <v>119557.15200000003</v>
      </c>
      <c r="K33" s="77"/>
    </row>
    <row r="34" spans="1:11" x14ac:dyDescent="0.25">
      <c r="A34" s="761">
        <v>4</v>
      </c>
      <c r="B34" s="102" t="s">
        <v>711</v>
      </c>
      <c r="C34" s="761">
        <v>0</v>
      </c>
      <c r="D34" s="103">
        <f t="shared" si="2"/>
        <v>0</v>
      </c>
      <c r="E34" s="335">
        <v>0</v>
      </c>
      <c r="F34" s="103">
        <v>0</v>
      </c>
      <c r="G34" s="103">
        <v>0</v>
      </c>
      <c r="H34" s="104">
        <v>50</v>
      </c>
      <c r="I34" s="761">
        <v>1.7</v>
      </c>
      <c r="J34" s="105">
        <f t="shared" si="7"/>
        <v>0</v>
      </c>
      <c r="K34" s="77"/>
    </row>
    <row r="35" spans="1:11" s="206" customFormat="1" x14ac:dyDescent="0.25">
      <c r="A35" s="203"/>
      <c r="B35" s="204" t="s">
        <v>434</v>
      </c>
      <c r="C35" s="203">
        <f>SUM(C24:C34)</f>
        <v>1.4700000000000002</v>
      </c>
      <c r="D35" s="203">
        <f t="shared" ref="D35:J35" si="8">SUM(D24:D34)</f>
        <v>194417.18000000005</v>
      </c>
      <c r="E35" s="203">
        <f t="shared" si="8"/>
        <v>167208.50000000003</v>
      </c>
      <c r="F35" s="203">
        <f t="shared" si="8"/>
        <v>0</v>
      </c>
      <c r="G35" s="203">
        <f t="shared" si="8"/>
        <v>27208.68</v>
      </c>
      <c r="H35" s="203">
        <v>0</v>
      </c>
      <c r="I35" s="203">
        <v>0</v>
      </c>
      <c r="J35" s="759">
        <f t="shared" si="8"/>
        <v>143131.11120000004</v>
      </c>
      <c r="K35" s="205"/>
    </row>
    <row r="36" spans="1:11" ht="15" customHeight="1" x14ac:dyDescent="0.25">
      <c r="A36" s="1576" t="s">
        <v>435</v>
      </c>
      <c r="B36" s="1577"/>
      <c r="C36" s="1577"/>
      <c r="D36" s="1577"/>
      <c r="E36" s="1577"/>
      <c r="F36" s="1577"/>
      <c r="G36" s="1577"/>
      <c r="H36" s="1577"/>
      <c r="I36" s="1577"/>
      <c r="J36" s="1578"/>
      <c r="K36" s="77"/>
    </row>
    <row r="37" spans="1:11" ht="15" hidden="1" customHeight="1" x14ac:dyDescent="0.25">
      <c r="A37" s="761">
        <v>1</v>
      </c>
      <c r="B37" s="102" t="s">
        <v>441</v>
      </c>
      <c r="C37" s="761"/>
      <c r="D37" s="103">
        <v>14000</v>
      </c>
      <c r="E37" s="127">
        <v>12600</v>
      </c>
      <c r="F37" s="103">
        <v>0</v>
      </c>
      <c r="G37" s="103">
        <f t="shared" ref="G37:G48" si="9">E37*20%</f>
        <v>2520</v>
      </c>
      <c r="H37" s="104">
        <v>50</v>
      </c>
      <c r="I37" s="761">
        <v>1.7</v>
      </c>
      <c r="J37" s="105">
        <f t="shared" ref="J37:J44" si="10">((C37*D37*(H37/100+I37))*12)*1.2</f>
        <v>0</v>
      </c>
      <c r="K37" s="77"/>
    </row>
    <row r="38" spans="1:11" x14ac:dyDescent="0.25">
      <c r="A38" s="761">
        <v>1</v>
      </c>
      <c r="B38" s="102" t="s">
        <v>440</v>
      </c>
      <c r="C38" s="761">
        <v>0</v>
      </c>
      <c r="D38" s="335">
        <f t="shared" ref="D38:D41" si="11">E38+F38+G38</f>
        <v>0</v>
      </c>
      <c r="E38" s="127">
        <v>0</v>
      </c>
      <c r="F38" s="103">
        <v>0</v>
      </c>
      <c r="G38" s="103">
        <f t="shared" si="9"/>
        <v>0</v>
      </c>
      <c r="H38" s="104">
        <v>50</v>
      </c>
      <c r="I38" s="415">
        <v>1.7</v>
      </c>
      <c r="J38" s="105">
        <f t="shared" si="10"/>
        <v>0</v>
      </c>
      <c r="K38" s="77"/>
    </row>
    <row r="39" spans="1:11" x14ac:dyDescent="0.25">
      <c r="A39" s="761">
        <v>2</v>
      </c>
      <c r="B39" s="102" t="s">
        <v>439</v>
      </c>
      <c r="C39" s="761">
        <v>0</v>
      </c>
      <c r="D39" s="335">
        <f t="shared" si="11"/>
        <v>0</v>
      </c>
      <c r="E39" s="127">
        <v>0</v>
      </c>
      <c r="F39" s="103">
        <v>0</v>
      </c>
      <c r="G39" s="103">
        <f t="shared" si="9"/>
        <v>0</v>
      </c>
      <c r="H39" s="104">
        <v>50</v>
      </c>
      <c r="I39" s="415">
        <v>1.7</v>
      </c>
      <c r="J39" s="105">
        <f t="shared" si="10"/>
        <v>0</v>
      </c>
      <c r="K39" s="77"/>
    </row>
    <row r="40" spans="1:11" x14ac:dyDescent="0.25">
      <c r="A40" s="761">
        <v>3</v>
      </c>
      <c r="B40" s="102" t="s">
        <v>319</v>
      </c>
      <c r="C40" s="761">
        <v>0</v>
      </c>
      <c r="D40" s="335">
        <f t="shared" si="11"/>
        <v>0</v>
      </c>
      <c r="E40" s="127">
        <v>0</v>
      </c>
      <c r="F40" s="103">
        <v>0</v>
      </c>
      <c r="G40" s="103">
        <f t="shared" si="9"/>
        <v>0</v>
      </c>
      <c r="H40" s="104">
        <v>50</v>
      </c>
      <c r="I40" s="415">
        <v>1.7</v>
      </c>
      <c r="J40" s="105">
        <f t="shared" si="10"/>
        <v>0</v>
      </c>
      <c r="K40" s="77"/>
    </row>
    <row r="41" spans="1:11" x14ac:dyDescent="0.25">
      <c r="A41" s="761">
        <v>4</v>
      </c>
      <c r="B41" s="102" t="s">
        <v>320</v>
      </c>
      <c r="C41" s="761">
        <v>0</v>
      </c>
      <c r="D41" s="103">
        <f t="shared" si="11"/>
        <v>0</v>
      </c>
      <c r="E41" s="127">
        <v>0</v>
      </c>
      <c r="F41" s="103">
        <v>0</v>
      </c>
      <c r="G41" s="103">
        <f t="shared" si="9"/>
        <v>0</v>
      </c>
      <c r="H41" s="104">
        <v>0</v>
      </c>
      <c r="I41" s="761">
        <v>1.7</v>
      </c>
      <c r="J41" s="105">
        <f t="shared" si="10"/>
        <v>0</v>
      </c>
      <c r="K41" s="77"/>
    </row>
    <row r="42" spans="1:11" ht="15" hidden="1" customHeight="1" x14ac:dyDescent="0.25">
      <c r="A42" s="761">
        <v>6</v>
      </c>
      <c r="B42" s="102" t="s">
        <v>438</v>
      </c>
      <c r="C42" s="761"/>
      <c r="D42" s="103">
        <f t="shared" si="2"/>
        <v>13200</v>
      </c>
      <c r="E42" s="127">
        <v>11000</v>
      </c>
      <c r="F42" s="103">
        <v>0</v>
      </c>
      <c r="G42" s="103">
        <f t="shared" si="9"/>
        <v>2200</v>
      </c>
      <c r="H42" s="104">
        <v>50</v>
      </c>
      <c r="I42" s="761">
        <v>1.7</v>
      </c>
      <c r="J42" s="105">
        <f t="shared" si="10"/>
        <v>0</v>
      </c>
      <c r="K42" s="77"/>
    </row>
    <row r="43" spans="1:11" ht="30" hidden="1" customHeight="1" x14ac:dyDescent="0.25">
      <c r="A43" s="761">
        <v>7</v>
      </c>
      <c r="B43" s="102" t="s">
        <v>437</v>
      </c>
      <c r="C43" s="761"/>
      <c r="D43" s="103">
        <f t="shared" si="2"/>
        <v>14400</v>
      </c>
      <c r="E43" s="127">
        <v>12000</v>
      </c>
      <c r="F43" s="103">
        <v>0</v>
      </c>
      <c r="G43" s="103">
        <f t="shared" si="9"/>
        <v>2400</v>
      </c>
      <c r="H43" s="104">
        <v>50</v>
      </c>
      <c r="I43" s="761">
        <v>1.7</v>
      </c>
      <c r="J43" s="105">
        <f t="shared" si="10"/>
        <v>0</v>
      </c>
      <c r="K43" s="77"/>
    </row>
    <row r="44" spans="1:11" ht="30" hidden="1" customHeight="1" x14ac:dyDescent="0.25">
      <c r="A44" s="761">
        <v>8</v>
      </c>
      <c r="B44" s="102" t="s">
        <v>436</v>
      </c>
      <c r="C44" s="761"/>
      <c r="D44" s="103">
        <f t="shared" si="2"/>
        <v>26400</v>
      </c>
      <c r="E44" s="127">
        <v>22000</v>
      </c>
      <c r="F44" s="103">
        <v>0</v>
      </c>
      <c r="G44" s="103">
        <f t="shared" si="9"/>
        <v>4400</v>
      </c>
      <c r="H44" s="104">
        <v>50</v>
      </c>
      <c r="I44" s="761">
        <v>1.7</v>
      </c>
      <c r="J44" s="105">
        <f t="shared" si="10"/>
        <v>0</v>
      </c>
      <c r="K44" s="77"/>
    </row>
    <row r="45" spans="1:11" ht="30" hidden="1" customHeight="1" x14ac:dyDescent="0.25">
      <c r="A45" s="761">
        <v>9</v>
      </c>
      <c r="B45" s="102" t="s">
        <v>318</v>
      </c>
      <c r="C45" s="761"/>
      <c r="D45" s="103">
        <f t="shared" si="2"/>
        <v>16800</v>
      </c>
      <c r="E45" s="127">
        <v>14000</v>
      </c>
      <c r="F45" s="103">
        <v>0</v>
      </c>
      <c r="G45" s="103">
        <f t="shared" si="9"/>
        <v>2800</v>
      </c>
      <c r="H45" s="104">
        <v>50</v>
      </c>
      <c r="I45" s="761">
        <v>1.7</v>
      </c>
      <c r="J45" s="105">
        <f>((C45*D45*(H45/100+I45))*12)*1.2</f>
        <v>0</v>
      </c>
      <c r="K45" s="128"/>
    </row>
    <row r="46" spans="1:11" ht="15" hidden="1" customHeight="1" x14ac:dyDescent="0.25">
      <c r="A46" s="761">
        <v>10</v>
      </c>
      <c r="B46" s="102" t="s">
        <v>442</v>
      </c>
      <c r="C46" s="761"/>
      <c r="D46" s="103">
        <f t="shared" si="2"/>
        <v>15600</v>
      </c>
      <c r="E46" s="127">
        <v>13000</v>
      </c>
      <c r="F46" s="103">
        <v>0</v>
      </c>
      <c r="G46" s="103">
        <f t="shared" si="9"/>
        <v>2600</v>
      </c>
      <c r="H46" s="104">
        <v>50</v>
      </c>
      <c r="I46" s="761">
        <v>1.7</v>
      </c>
      <c r="J46" s="105">
        <f>((C46*D46*(H46/100+I46))*12)*1</f>
        <v>0</v>
      </c>
    </row>
    <row r="47" spans="1:11" ht="15" hidden="1" customHeight="1" x14ac:dyDescent="0.25">
      <c r="A47" s="761">
        <v>11</v>
      </c>
      <c r="B47" s="102" t="s">
        <v>443</v>
      </c>
      <c r="C47" s="761"/>
      <c r="D47" s="103">
        <f t="shared" si="2"/>
        <v>14400</v>
      </c>
      <c r="E47" s="127">
        <v>12000</v>
      </c>
      <c r="F47" s="103">
        <v>0</v>
      </c>
      <c r="G47" s="103">
        <f t="shared" si="9"/>
        <v>2400</v>
      </c>
      <c r="H47" s="104">
        <v>50</v>
      </c>
      <c r="I47" s="761">
        <v>1.7</v>
      </c>
      <c r="J47" s="105">
        <f>((C47*D47*(H47/100+I47))*12)*1.4</f>
        <v>0</v>
      </c>
    </row>
    <row r="48" spans="1:11" ht="15" hidden="1" customHeight="1" x14ac:dyDescent="0.25">
      <c r="A48" s="761">
        <v>12</v>
      </c>
      <c r="B48" s="102" t="s">
        <v>444</v>
      </c>
      <c r="C48" s="761"/>
      <c r="D48" s="103">
        <f t="shared" si="2"/>
        <v>16800</v>
      </c>
      <c r="E48" s="127">
        <v>14000</v>
      </c>
      <c r="F48" s="103">
        <v>0</v>
      </c>
      <c r="G48" s="103">
        <f t="shared" si="9"/>
        <v>2800</v>
      </c>
      <c r="H48" s="104">
        <v>50</v>
      </c>
      <c r="I48" s="761">
        <v>1.7</v>
      </c>
      <c r="J48" s="105">
        <f>((C48*D48*(H48/100+I48))*12)*1.3</f>
        <v>0</v>
      </c>
    </row>
    <row r="49" spans="1:11" s="206" customFormat="1" x14ac:dyDescent="0.25">
      <c r="A49" s="203"/>
      <c r="B49" s="204" t="s">
        <v>445</v>
      </c>
      <c r="C49" s="203">
        <v>0</v>
      </c>
      <c r="D49" s="203">
        <v>0</v>
      </c>
      <c r="E49" s="203">
        <v>0</v>
      </c>
      <c r="F49" s="203">
        <f t="shared" ref="F49:J49" si="12">SUM(F37:F48)</f>
        <v>0</v>
      </c>
      <c r="G49" s="526">
        <v>0</v>
      </c>
      <c r="H49" s="203">
        <v>0</v>
      </c>
      <c r="I49" s="203">
        <v>0</v>
      </c>
      <c r="J49" s="203">
        <f t="shared" si="12"/>
        <v>0</v>
      </c>
    </row>
    <row r="50" spans="1:11" ht="28.5" x14ac:dyDescent="0.25">
      <c r="A50" s="106"/>
      <c r="B50" s="107" t="s">
        <v>446</v>
      </c>
      <c r="C50" s="108">
        <f>C35+C49</f>
        <v>1.4700000000000002</v>
      </c>
      <c r="D50" s="108">
        <f>D35+D49</f>
        <v>194417.18000000005</v>
      </c>
      <c r="E50" s="108" t="s">
        <v>14</v>
      </c>
      <c r="F50" s="108" t="s">
        <v>14</v>
      </c>
      <c r="G50" s="108" t="s">
        <v>14</v>
      </c>
      <c r="H50" s="108" t="s">
        <v>14</v>
      </c>
      <c r="I50" s="108" t="s">
        <v>14</v>
      </c>
      <c r="J50" s="758">
        <f>J35+J49</f>
        <v>143131.11120000004</v>
      </c>
    </row>
    <row r="51" spans="1:11" ht="15" hidden="1" customHeight="1" x14ac:dyDescent="0.25">
      <c r="A51" s="1572" t="s">
        <v>450</v>
      </c>
      <c r="B51" s="1575"/>
      <c r="C51" s="1575"/>
      <c r="D51" s="1575"/>
      <c r="E51" s="1575"/>
      <c r="F51" s="1575"/>
      <c r="G51" s="1575"/>
      <c r="H51" s="1575"/>
      <c r="I51" s="1575"/>
      <c r="J51" s="1575"/>
    </row>
    <row r="52" spans="1:11" ht="15" hidden="1" customHeight="1" x14ac:dyDescent="0.25">
      <c r="A52" s="761">
        <v>1</v>
      </c>
      <c r="B52" s="102" t="s">
        <v>321</v>
      </c>
      <c r="C52" s="761"/>
      <c r="D52" s="103">
        <f t="shared" si="2"/>
        <v>12000</v>
      </c>
      <c r="E52" s="127">
        <v>10000</v>
      </c>
      <c r="F52" s="103">
        <v>0</v>
      </c>
      <c r="G52" s="103">
        <f>E52*20%</f>
        <v>2000</v>
      </c>
      <c r="H52" s="104">
        <v>50</v>
      </c>
      <c r="I52" s="761">
        <v>1.7</v>
      </c>
      <c r="J52" s="105">
        <f>((C52*D52*(H52/100+I52))*12)*1.37</f>
        <v>0</v>
      </c>
      <c r="K52" s="128"/>
    </row>
    <row r="53" spans="1:11" ht="15" hidden="1" customHeight="1" x14ac:dyDescent="0.25">
      <c r="A53" s="761">
        <v>2</v>
      </c>
      <c r="B53" s="102" t="s">
        <v>448</v>
      </c>
      <c r="C53" s="761"/>
      <c r="D53" s="103">
        <f t="shared" si="2"/>
        <v>9500</v>
      </c>
      <c r="E53" s="127">
        <v>9500</v>
      </c>
      <c r="F53" s="103">
        <v>0</v>
      </c>
      <c r="G53" s="103"/>
      <c r="H53" s="104">
        <v>50</v>
      </c>
      <c r="I53" s="761">
        <v>1.7</v>
      </c>
      <c r="J53" s="105">
        <f>((C53*D53*(H53/100+I53))*12)*1.37</f>
        <v>0</v>
      </c>
      <c r="K53" s="128"/>
    </row>
    <row r="54" spans="1:11" ht="30" hidden="1" customHeight="1" x14ac:dyDescent="0.25">
      <c r="A54" s="761">
        <v>3</v>
      </c>
      <c r="B54" s="102" t="s">
        <v>449</v>
      </c>
      <c r="C54" s="761"/>
      <c r="D54" s="103">
        <f t="shared" si="2"/>
        <v>10200</v>
      </c>
      <c r="E54" s="127">
        <v>8500</v>
      </c>
      <c r="F54" s="103">
        <v>0</v>
      </c>
      <c r="G54" s="103">
        <f>E54*20%</f>
        <v>1700</v>
      </c>
      <c r="H54" s="104">
        <v>50</v>
      </c>
      <c r="I54" s="761">
        <v>1.7</v>
      </c>
      <c r="J54" s="105">
        <f>((C54*D54*(H54/100+I54))*12)*1.22</f>
        <v>0</v>
      </c>
    </row>
    <row r="55" spans="1:11" ht="28.5" hidden="1" customHeight="1" x14ac:dyDescent="0.25">
      <c r="A55" s="106"/>
      <c r="B55" s="107" t="s">
        <v>447</v>
      </c>
      <c r="C55" s="108">
        <f>SUM(C52:C54)</f>
        <v>0</v>
      </c>
      <c r="D55" s="110">
        <f>SUM(D52:D54)</f>
        <v>31700</v>
      </c>
      <c r="E55" s="108" t="s">
        <v>14</v>
      </c>
      <c r="F55" s="108" t="s">
        <v>14</v>
      </c>
      <c r="G55" s="108" t="s">
        <v>14</v>
      </c>
      <c r="H55" s="108" t="s">
        <v>14</v>
      </c>
      <c r="I55" s="108" t="s">
        <v>14</v>
      </c>
      <c r="J55" s="111">
        <f>SUM(J52:J54)</f>
        <v>0</v>
      </c>
    </row>
    <row r="56" spans="1:11" ht="15" customHeight="1" x14ac:dyDescent="0.25">
      <c r="A56" s="1572" t="s">
        <v>451</v>
      </c>
      <c r="B56" s="1573"/>
      <c r="C56" s="1573"/>
      <c r="D56" s="1573"/>
      <c r="E56" s="1573"/>
      <c r="F56" s="1573"/>
      <c r="G56" s="1573"/>
      <c r="H56" s="1573"/>
      <c r="I56" s="1573"/>
      <c r="J56" s="1573"/>
    </row>
    <row r="57" spans="1:11" ht="15" customHeight="1" x14ac:dyDescent="0.25">
      <c r="A57" s="761">
        <v>1</v>
      </c>
      <c r="B57" s="102" t="s">
        <v>309</v>
      </c>
      <c r="C57" s="761">
        <v>0.15</v>
      </c>
      <c r="D57" s="103">
        <f t="shared" si="2"/>
        <v>1421.7000000000007</v>
      </c>
      <c r="E57" s="335">
        <f>7498*1.5*1.1+50-11000</f>
        <v>1421.7000000000007</v>
      </c>
      <c r="F57" s="103">
        <v>0</v>
      </c>
      <c r="G57" s="335">
        <v>0</v>
      </c>
      <c r="H57" s="104">
        <v>50</v>
      </c>
      <c r="I57" s="761">
        <v>1.7</v>
      </c>
      <c r="J57" s="105">
        <f>((C57*D57*(H57/100+I57))*4)*1.2-383.08</f>
        <v>1868.8928000000014</v>
      </c>
      <c r="K57" s="128"/>
    </row>
    <row r="58" spans="1:11" ht="15" hidden="1" customHeight="1" x14ac:dyDescent="0.25">
      <c r="A58" s="761">
        <v>2</v>
      </c>
      <c r="B58" s="102" t="s">
        <v>452</v>
      </c>
      <c r="C58" s="761"/>
      <c r="D58" s="103">
        <f>E58+F58+G58</f>
        <v>14400</v>
      </c>
      <c r="E58" s="127">
        <v>12000</v>
      </c>
      <c r="F58" s="103">
        <v>0</v>
      </c>
      <c r="G58" s="103">
        <f>E58*20%</f>
        <v>2400</v>
      </c>
      <c r="H58" s="104">
        <v>50</v>
      </c>
      <c r="I58" s="761">
        <v>1.7</v>
      </c>
      <c r="J58" s="105">
        <f>((C58*D58*(H58/100+I58))*12)*1.2</f>
        <v>0</v>
      </c>
      <c r="K58" s="128"/>
    </row>
    <row r="59" spans="1:11" ht="45" hidden="1" customHeight="1" x14ac:dyDescent="0.25">
      <c r="A59" s="761">
        <v>3</v>
      </c>
      <c r="B59" s="102" t="s">
        <v>307</v>
      </c>
      <c r="C59" s="761"/>
      <c r="D59" s="103">
        <f t="shared" si="2"/>
        <v>13200</v>
      </c>
      <c r="E59" s="127">
        <v>11000</v>
      </c>
      <c r="F59" s="103">
        <v>0</v>
      </c>
      <c r="G59" s="103">
        <f>E59*20%</f>
        <v>2200</v>
      </c>
      <c r="H59" s="104">
        <v>50</v>
      </c>
      <c r="I59" s="761">
        <v>1.7</v>
      </c>
      <c r="J59" s="105">
        <f>((C59*D59*(H59/100+I59))*12)*1.13</f>
        <v>0</v>
      </c>
    </row>
    <row r="60" spans="1:11" ht="15" hidden="1" customHeight="1" x14ac:dyDescent="0.25">
      <c r="A60" s="761">
        <v>4</v>
      </c>
      <c r="B60" s="102" t="s">
        <v>310</v>
      </c>
      <c r="C60" s="761"/>
      <c r="D60" s="103">
        <f t="shared" si="2"/>
        <v>14400</v>
      </c>
      <c r="E60" s="127">
        <v>12000</v>
      </c>
      <c r="F60" s="103">
        <v>0</v>
      </c>
      <c r="G60" s="103">
        <f t="shared" ref="G60:G63" si="13">E60*20%</f>
        <v>2400</v>
      </c>
      <c r="H60" s="104">
        <v>50</v>
      </c>
      <c r="I60" s="761">
        <v>1.7</v>
      </c>
      <c r="J60" s="105">
        <f t="shared" ref="J60:J63" si="14">((C60*D60*(H60/100+I60))*12)*1.13</f>
        <v>0</v>
      </c>
    </row>
    <row r="61" spans="1:11" ht="15" hidden="1" customHeight="1" x14ac:dyDescent="0.25">
      <c r="A61" s="761">
        <v>5</v>
      </c>
      <c r="B61" s="102" t="s">
        <v>453</v>
      </c>
      <c r="C61" s="761"/>
      <c r="D61" s="103">
        <f t="shared" si="2"/>
        <v>9600</v>
      </c>
      <c r="E61" s="127">
        <v>8000</v>
      </c>
      <c r="F61" s="103">
        <v>0</v>
      </c>
      <c r="G61" s="103">
        <f t="shared" si="13"/>
        <v>1600</v>
      </c>
      <c r="H61" s="104">
        <v>50</v>
      </c>
      <c r="I61" s="761">
        <v>1.7</v>
      </c>
      <c r="J61" s="105">
        <f t="shared" si="14"/>
        <v>0</v>
      </c>
    </row>
    <row r="62" spans="1:11" ht="15" hidden="1" customHeight="1" x14ac:dyDescent="0.25">
      <c r="A62" s="761">
        <v>6</v>
      </c>
      <c r="B62" s="102" t="s">
        <v>308</v>
      </c>
      <c r="C62" s="761"/>
      <c r="D62" s="103">
        <f t="shared" si="2"/>
        <v>12000</v>
      </c>
      <c r="E62" s="127">
        <v>10000</v>
      </c>
      <c r="F62" s="103">
        <v>0</v>
      </c>
      <c r="G62" s="103">
        <f t="shared" si="13"/>
        <v>2000</v>
      </c>
      <c r="H62" s="104">
        <v>50</v>
      </c>
      <c r="I62" s="761">
        <v>1.7</v>
      </c>
      <c r="J62" s="105">
        <f t="shared" si="14"/>
        <v>0</v>
      </c>
    </row>
    <row r="63" spans="1:11" ht="15" hidden="1" customHeight="1" x14ac:dyDescent="0.25">
      <c r="A63" s="761">
        <v>7</v>
      </c>
      <c r="B63" s="102" t="s">
        <v>311</v>
      </c>
      <c r="C63" s="761"/>
      <c r="D63" s="103">
        <f t="shared" si="2"/>
        <v>12000</v>
      </c>
      <c r="E63" s="127">
        <v>10000</v>
      </c>
      <c r="F63" s="103">
        <v>0</v>
      </c>
      <c r="G63" s="103">
        <f t="shared" si="13"/>
        <v>2000</v>
      </c>
      <c r="H63" s="104">
        <v>50</v>
      </c>
      <c r="I63" s="761">
        <v>1.7</v>
      </c>
      <c r="J63" s="105">
        <f t="shared" si="14"/>
        <v>0</v>
      </c>
    </row>
    <row r="64" spans="1:11" ht="28.5" x14ac:dyDescent="0.25">
      <c r="A64" s="106"/>
      <c r="B64" s="107" t="s">
        <v>454</v>
      </c>
      <c r="C64" s="108">
        <f>SUM(C57:C63)</f>
        <v>0.15</v>
      </c>
      <c r="D64" s="110">
        <f>SUM(D57:D63)</f>
        <v>77021.7</v>
      </c>
      <c r="E64" s="108" t="s">
        <v>14</v>
      </c>
      <c r="F64" s="108" t="s">
        <v>14</v>
      </c>
      <c r="G64" s="108" t="s">
        <v>14</v>
      </c>
      <c r="H64" s="108" t="s">
        <v>14</v>
      </c>
      <c r="I64" s="108" t="s">
        <v>14</v>
      </c>
      <c r="J64" s="111">
        <f>SUM(J57:J63)</f>
        <v>1868.8928000000014</v>
      </c>
      <c r="K64" s="129"/>
    </row>
    <row r="65" spans="1:12" s="41" customFormat="1" x14ac:dyDescent="0.2">
      <c r="A65" s="762"/>
      <c r="B65" s="762" t="s">
        <v>527</v>
      </c>
      <c r="C65" s="762"/>
      <c r="D65" s="762"/>
      <c r="E65" s="762"/>
      <c r="F65" s="762"/>
      <c r="G65" s="762"/>
      <c r="H65" s="762"/>
      <c r="I65" s="762"/>
      <c r="J65" s="120">
        <v>0</v>
      </c>
    </row>
    <row r="66" spans="1:12" ht="15" customHeight="1" x14ac:dyDescent="0.25">
      <c r="A66" s="1584" t="s">
        <v>727</v>
      </c>
      <c r="B66" s="1584"/>
      <c r="C66" s="78">
        <f>C21+C50+C55+C64</f>
        <v>1.62</v>
      </c>
      <c r="D66" s="79">
        <f>D21+D50+D55+D64</f>
        <v>303138.88000000006</v>
      </c>
      <c r="E66" s="78" t="s">
        <v>14</v>
      </c>
      <c r="F66" s="78" t="s">
        <v>14</v>
      </c>
      <c r="G66" s="78" t="s">
        <v>14</v>
      </c>
      <c r="H66" s="78" t="s">
        <v>14</v>
      </c>
      <c r="I66" s="78" t="s">
        <v>14</v>
      </c>
      <c r="J66" s="144">
        <f>J21+J50+J55+J64</f>
        <v>145000.00400000004</v>
      </c>
      <c r="L66" s="77"/>
    </row>
    <row r="67" spans="1:12" ht="39.75" hidden="1" customHeight="1" x14ac:dyDescent="0.25">
      <c r="A67" s="1576" t="s">
        <v>328</v>
      </c>
      <c r="B67" s="1577"/>
      <c r="C67" s="1577"/>
      <c r="D67" s="1577"/>
      <c r="E67" s="1577"/>
      <c r="F67" s="1577"/>
      <c r="G67" s="1577"/>
      <c r="H67" s="1577"/>
      <c r="I67" s="1578"/>
      <c r="J67" s="143">
        <v>0</v>
      </c>
      <c r="L67" s="77"/>
    </row>
    <row r="68" spans="1:12" ht="21.75" hidden="1" customHeight="1" x14ac:dyDescent="0.25">
      <c r="A68" s="1586" t="s">
        <v>324</v>
      </c>
      <c r="B68" s="1587"/>
      <c r="C68" s="1587"/>
      <c r="D68" s="1587"/>
      <c r="E68" s="1587"/>
      <c r="F68" s="1587"/>
      <c r="G68" s="1587"/>
      <c r="H68" s="1587"/>
      <c r="I68" s="1588"/>
      <c r="J68" s="210">
        <f>J66+J67</f>
        <v>145000.00400000004</v>
      </c>
      <c r="L68" s="77"/>
    </row>
    <row r="69" spans="1:12" ht="39.75" hidden="1" customHeight="1" x14ac:dyDescent="0.25">
      <c r="A69" s="738"/>
      <c r="B69" s="743"/>
      <c r="C69" s="743"/>
      <c r="D69" s="743"/>
      <c r="E69" s="743"/>
      <c r="F69" s="743"/>
      <c r="G69" s="743"/>
      <c r="H69" s="743"/>
      <c r="I69" s="744"/>
      <c r="J69" s="143"/>
      <c r="L69" s="77"/>
    </row>
    <row r="70" spans="1:12" ht="15.75" hidden="1" x14ac:dyDescent="0.25">
      <c r="A70" s="112"/>
      <c r="B70" s="112"/>
      <c r="C70" s="740"/>
      <c r="D70" s="113"/>
      <c r="E70" s="740"/>
      <c r="F70" s="740"/>
      <c r="G70" s="740"/>
      <c r="H70" s="740"/>
      <c r="I70" s="740"/>
      <c r="J70" s="114"/>
    </row>
    <row r="71" spans="1:12" hidden="1" x14ac:dyDescent="0.25">
      <c r="A71" s="1579" t="s">
        <v>1</v>
      </c>
      <c r="B71" s="1579" t="s">
        <v>2</v>
      </c>
      <c r="C71" s="1579" t="s">
        <v>3</v>
      </c>
      <c r="D71" s="1574" t="s">
        <v>4</v>
      </c>
      <c r="E71" s="1574"/>
      <c r="F71" s="1574"/>
      <c r="G71" s="1574"/>
      <c r="H71" s="1579" t="s">
        <v>5</v>
      </c>
      <c r="I71" s="1579" t="s">
        <v>6</v>
      </c>
      <c r="J71" s="1579" t="s">
        <v>305</v>
      </c>
    </row>
    <row r="72" spans="1:12" hidden="1" x14ac:dyDescent="0.25">
      <c r="A72" s="1579"/>
      <c r="B72" s="1579"/>
      <c r="C72" s="1579"/>
      <c r="D72" s="1579" t="s">
        <v>8</v>
      </c>
      <c r="E72" s="1574" t="s">
        <v>9</v>
      </c>
      <c r="F72" s="1574"/>
      <c r="G72" s="1574"/>
      <c r="H72" s="1579"/>
      <c r="I72" s="1579"/>
      <c r="J72" s="1579"/>
    </row>
    <row r="73" spans="1:12" ht="75" hidden="1" x14ac:dyDescent="0.25">
      <c r="A73" s="1579"/>
      <c r="B73" s="1579"/>
      <c r="C73" s="1579"/>
      <c r="D73" s="1579"/>
      <c r="E73" s="739" t="s">
        <v>10</v>
      </c>
      <c r="F73" s="739" t="s">
        <v>11</v>
      </c>
      <c r="G73" s="739" t="s">
        <v>12</v>
      </c>
      <c r="H73" s="1579"/>
      <c r="I73" s="1579"/>
      <c r="J73" s="1579"/>
    </row>
    <row r="74" spans="1:12" hidden="1" x14ac:dyDescent="0.25">
      <c r="A74" s="737">
        <v>1</v>
      </c>
      <c r="B74" s="737">
        <v>2</v>
      </c>
      <c r="C74" s="737">
        <v>3</v>
      </c>
      <c r="D74" s="737">
        <v>4</v>
      </c>
      <c r="E74" s="737">
        <v>5</v>
      </c>
      <c r="F74" s="737">
        <v>6</v>
      </c>
      <c r="G74" s="737">
        <v>7</v>
      </c>
      <c r="H74" s="737">
        <v>8</v>
      </c>
      <c r="I74" s="737">
        <v>9</v>
      </c>
      <c r="J74" s="737">
        <v>10</v>
      </c>
    </row>
    <row r="75" spans="1:12" hidden="1" x14ac:dyDescent="0.25">
      <c r="A75" s="1572" t="s">
        <v>306</v>
      </c>
      <c r="B75" s="1573"/>
      <c r="C75" s="1573"/>
      <c r="D75" s="1573"/>
      <c r="E75" s="1573"/>
      <c r="F75" s="1573"/>
      <c r="G75" s="1573"/>
      <c r="H75" s="1573"/>
      <c r="I75" s="1573"/>
      <c r="J75" s="1573"/>
    </row>
    <row r="76" spans="1:12" ht="45" hidden="1" x14ac:dyDescent="0.25">
      <c r="A76" s="737">
        <v>1</v>
      </c>
      <c r="B76" s="102" t="s">
        <v>307</v>
      </c>
      <c r="C76" s="737"/>
      <c r="D76" s="115">
        <f>E76+F76+G76</f>
        <v>0</v>
      </c>
      <c r="E76" s="130"/>
      <c r="F76" s="115"/>
      <c r="G76" s="115">
        <f>(E76+F76)*20%</f>
        <v>0</v>
      </c>
      <c r="H76" s="104">
        <v>50</v>
      </c>
      <c r="I76" s="737">
        <v>1.7</v>
      </c>
      <c r="J76" s="116">
        <f>(C76*D76*(H76/100+I76))*12.5</f>
        <v>0</v>
      </c>
      <c r="L76" s="77"/>
    </row>
    <row r="77" spans="1:12" ht="15.75" hidden="1" customHeight="1" x14ac:dyDescent="0.25">
      <c r="A77" s="737">
        <v>2</v>
      </c>
      <c r="B77" s="102" t="s">
        <v>308</v>
      </c>
      <c r="C77" s="737"/>
      <c r="D77" s="115">
        <f t="shared" ref="D77:D78" si="15">E77+F77+G77</f>
        <v>0</v>
      </c>
      <c r="E77" s="130"/>
      <c r="F77" s="115"/>
      <c r="G77" s="115">
        <f>(E77+F77)*20%</f>
        <v>0</v>
      </c>
      <c r="H77" s="104">
        <v>50</v>
      </c>
      <c r="I77" s="737">
        <v>1.7</v>
      </c>
      <c r="J77" s="116">
        <f>(C77*D77*(H77/100+I77))*12.5</f>
        <v>0</v>
      </c>
    </row>
    <row r="78" spans="1:12" ht="30" hidden="1" x14ac:dyDescent="0.25">
      <c r="A78" s="737">
        <v>3</v>
      </c>
      <c r="B78" s="102" t="s">
        <v>309</v>
      </c>
      <c r="C78" s="737"/>
      <c r="D78" s="115">
        <f t="shared" si="15"/>
        <v>0</v>
      </c>
      <c r="E78" s="115"/>
      <c r="F78" s="115"/>
      <c r="G78" s="115">
        <f>(E78+F78)*20%</f>
        <v>0</v>
      </c>
      <c r="H78" s="104">
        <v>50</v>
      </c>
      <c r="I78" s="737">
        <v>1.7</v>
      </c>
      <c r="J78" s="116">
        <f>(C78*D78*(H78/100+I78))*12.5</f>
        <v>0</v>
      </c>
    </row>
    <row r="79" spans="1:12" hidden="1" x14ac:dyDescent="0.25">
      <c r="A79" s="737">
        <v>4</v>
      </c>
      <c r="B79" s="102" t="s">
        <v>310</v>
      </c>
      <c r="C79" s="737"/>
      <c r="D79" s="115">
        <f>E79+F79+G79</f>
        <v>0</v>
      </c>
      <c r="E79" s="115"/>
      <c r="F79" s="115"/>
      <c r="G79" s="115">
        <f>(E79+F79)*20%</f>
        <v>0</v>
      </c>
      <c r="H79" s="104">
        <v>50</v>
      </c>
      <c r="I79" s="737">
        <v>1.7</v>
      </c>
      <c r="J79" s="116">
        <f>(C79*D79*(H79/100+I79))*12.5</f>
        <v>0</v>
      </c>
    </row>
    <row r="80" spans="1:12" ht="21.75" hidden="1" customHeight="1" x14ac:dyDescent="0.25">
      <c r="A80" s="737">
        <v>5</v>
      </c>
      <c r="B80" s="102" t="s">
        <v>311</v>
      </c>
      <c r="C80" s="737"/>
      <c r="D80" s="115">
        <f t="shared" ref="D80" si="16">E80+F80+G80</f>
        <v>0</v>
      </c>
      <c r="E80" s="115"/>
      <c r="F80" s="115"/>
      <c r="G80" s="115">
        <f t="shared" ref="G80" si="17">(E80+F80)*20%</f>
        <v>0</v>
      </c>
      <c r="H80" s="104">
        <v>50</v>
      </c>
      <c r="I80" s="737">
        <v>1.7</v>
      </c>
      <c r="J80" s="116">
        <f>(C80*D80*(H80/100+I80))*12.5</f>
        <v>0</v>
      </c>
      <c r="K80" s="77"/>
    </row>
    <row r="81" spans="1:12" ht="16.5" hidden="1" customHeight="1" x14ac:dyDescent="0.25">
      <c r="A81" s="106"/>
      <c r="B81" s="117" t="s">
        <v>312</v>
      </c>
      <c r="C81" s="118">
        <f>SUM(C76:C80)</f>
        <v>0</v>
      </c>
      <c r="D81" s="119">
        <f>SUM(D76:D80)</f>
        <v>0</v>
      </c>
      <c r="E81" s="118" t="s">
        <v>14</v>
      </c>
      <c r="F81" s="118" t="s">
        <v>14</v>
      </c>
      <c r="G81" s="118" t="s">
        <v>14</v>
      </c>
      <c r="H81" s="118" t="s">
        <v>14</v>
      </c>
      <c r="I81" s="118" t="s">
        <v>14</v>
      </c>
      <c r="J81" s="120">
        <f>SUM(J76:J80)</f>
        <v>0</v>
      </c>
    </row>
    <row r="82" spans="1:12" ht="15.75" hidden="1" customHeight="1" x14ac:dyDescent="0.25">
      <c r="A82" s="1590" t="s">
        <v>336</v>
      </c>
      <c r="B82" s="1591"/>
      <c r="C82" s="1591"/>
      <c r="D82" s="1591"/>
      <c r="E82" s="1591"/>
      <c r="F82" s="1591"/>
      <c r="G82" s="1591"/>
      <c r="H82" s="1591"/>
      <c r="I82" s="1592"/>
      <c r="J82" s="120"/>
    </row>
    <row r="83" spans="1:12" s="41" customFormat="1" hidden="1" x14ac:dyDescent="0.2">
      <c r="A83" s="1590" t="s">
        <v>413</v>
      </c>
      <c r="B83" s="1591"/>
      <c r="C83" s="1591"/>
      <c r="D83" s="1591"/>
      <c r="E83" s="1591"/>
      <c r="F83" s="1591"/>
      <c r="G83" s="1591"/>
      <c r="H83" s="1591"/>
      <c r="I83" s="1592"/>
      <c r="J83" s="134"/>
    </row>
    <row r="84" spans="1:12" s="41" customFormat="1" x14ac:dyDescent="0.2">
      <c r="A84" s="207" t="s">
        <v>372</v>
      </c>
      <c r="B84" s="208"/>
      <c r="C84" s="209"/>
      <c r="D84" s="209"/>
      <c r="E84" s="209"/>
      <c r="F84" s="209"/>
      <c r="G84" s="209"/>
      <c r="H84" s="209"/>
      <c r="I84" s="209"/>
      <c r="J84" s="134"/>
    </row>
    <row r="85" spans="1:12" s="41" customFormat="1" ht="15.75" x14ac:dyDescent="0.2">
      <c r="A85" s="1593" t="s">
        <v>456</v>
      </c>
      <c r="B85" s="1594"/>
      <c r="C85" s="1594"/>
      <c r="D85" s="1594"/>
      <c r="E85" s="1594"/>
      <c r="F85" s="1594"/>
      <c r="G85" s="1594"/>
      <c r="H85" s="1594"/>
      <c r="I85" s="1594"/>
      <c r="J85" s="1595"/>
    </row>
    <row r="86" spans="1:12" ht="21" customHeight="1" x14ac:dyDescent="0.25">
      <c r="A86" s="1596" t="s">
        <v>457</v>
      </c>
      <c r="B86" s="1597"/>
      <c r="C86" s="121">
        <v>2.4</v>
      </c>
      <c r="D86" s="122">
        <f>D81</f>
        <v>0</v>
      </c>
      <c r="E86" s="123" t="s">
        <v>14</v>
      </c>
      <c r="F86" s="123" t="s">
        <v>14</v>
      </c>
      <c r="G86" s="123" t="s">
        <v>14</v>
      </c>
      <c r="H86" s="123" t="s">
        <v>14</v>
      </c>
      <c r="I86" s="123" t="s">
        <v>14</v>
      </c>
      <c r="J86" s="217">
        <v>0</v>
      </c>
      <c r="K86" s="77"/>
      <c r="L86" s="77"/>
    </row>
    <row r="87" spans="1:12" ht="21" customHeight="1" x14ac:dyDescent="0.25">
      <c r="A87" s="1598" t="s">
        <v>528</v>
      </c>
      <c r="B87" s="1599"/>
      <c r="C87" s="1599"/>
      <c r="D87" s="1599"/>
      <c r="E87" s="1599"/>
      <c r="F87" s="1599"/>
      <c r="G87" s="1599"/>
      <c r="H87" s="1599"/>
      <c r="I87" s="1599"/>
      <c r="J87" s="218">
        <f>J66+J65</f>
        <v>145000.00400000004</v>
      </c>
      <c r="K87" s="77"/>
      <c r="L87" s="77"/>
    </row>
    <row r="88" spans="1:12" ht="21" hidden="1" customHeight="1" x14ac:dyDescent="0.25">
      <c r="A88" s="747"/>
      <c r="B88" s="212"/>
      <c r="C88" s="691"/>
      <c r="D88" s="214"/>
      <c r="E88" s="748"/>
      <c r="F88" s="748"/>
      <c r="G88" s="748"/>
      <c r="H88" s="748"/>
      <c r="I88" s="748"/>
      <c r="J88" s="746"/>
      <c r="K88" s="77"/>
      <c r="L88" s="77"/>
    </row>
    <row r="89" spans="1:12" ht="20.25" hidden="1" customHeight="1" x14ac:dyDescent="0.25">
      <c r="A89" s="1562" t="s">
        <v>352</v>
      </c>
      <c r="B89" s="1563"/>
      <c r="C89" s="1563"/>
      <c r="D89" s="1563"/>
      <c r="E89" s="1563"/>
      <c r="F89" s="1563"/>
      <c r="G89" s="1563"/>
      <c r="H89" s="1563"/>
      <c r="I89" s="1563"/>
      <c r="J89" s="1564"/>
    </row>
    <row r="90" spans="1:12" ht="30" hidden="1" customHeight="1" x14ac:dyDescent="0.25">
      <c r="A90" s="741" t="s">
        <v>1</v>
      </c>
      <c r="B90" s="1600" t="s">
        <v>44</v>
      </c>
      <c r="C90" s="1600"/>
      <c r="D90" s="1600"/>
      <c r="E90" s="1600" t="s">
        <v>45</v>
      </c>
      <c r="F90" s="1600"/>
      <c r="G90" s="1600" t="s">
        <v>46</v>
      </c>
      <c r="H90" s="1600"/>
      <c r="I90" s="1600" t="s">
        <v>102</v>
      </c>
      <c r="J90" s="1600"/>
    </row>
    <row r="91" spans="1:12" ht="16.5" hidden="1" customHeight="1" x14ac:dyDescent="0.25">
      <c r="A91" s="735">
        <v>1</v>
      </c>
      <c r="B91" s="1535">
        <v>2</v>
      </c>
      <c r="C91" s="1535"/>
      <c r="D91" s="1535"/>
      <c r="E91" s="1535">
        <v>3</v>
      </c>
      <c r="F91" s="1535"/>
      <c r="G91" s="1535">
        <v>4</v>
      </c>
      <c r="H91" s="1535"/>
      <c r="I91" s="1535">
        <v>5</v>
      </c>
      <c r="J91" s="1535"/>
    </row>
    <row r="92" spans="1:12" ht="47.25" hidden="1" customHeight="1" x14ac:dyDescent="0.25">
      <c r="A92" s="150">
        <v>1</v>
      </c>
      <c r="B92" s="1463" t="s">
        <v>363</v>
      </c>
      <c r="C92" s="1464"/>
      <c r="D92" s="1465"/>
      <c r="E92" s="1571">
        <f>I92/G92</f>
        <v>0</v>
      </c>
      <c r="F92" s="1571"/>
      <c r="G92" s="1540">
        <v>12</v>
      </c>
      <c r="H92" s="1540"/>
      <c r="I92" s="1589">
        <v>0</v>
      </c>
      <c r="J92" s="1589"/>
    </row>
    <row r="93" spans="1:12" ht="51.75" hidden="1" customHeight="1" x14ac:dyDescent="0.25">
      <c r="A93" s="150" t="s">
        <v>75</v>
      </c>
      <c r="B93" s="1463" t="s">
        <v>364</v>
      </c>
      <c r="C93" s="1464"/>
      <c r="D93" s="1465"/>
      <c r="E93" s="1571">
        <f>I93/G93</f>
        <v>0</v>
      </c>
      <c r="F93" s="1571"/>
      <c r="G93" s="1540">
        <v>72</v>
      </c>
      <c r="H93" s="1540"/>
      <c r="I93" s="1589">
        <v>0</v>
      </c>
      <c r="J93" s="1589"/>
    </row>
    <row r="94" spans="1:12" ht="33.75" hidden="1" customHeight="1" x14ac:dyDescent="0.25">
      <c r="A94" s="700"/>
      <c r="B94" s="1177" t="s">
        <v>324</v>
      </c>
      <c r="C94" s="1178"/>
      <c r="D94" s="1601"/>
      <c r="E94" s="1167" t="s">
        <v>14</v>
      </c>
      <c r="F94" s="1168"/>
      <c r="G94" s="1167" t="s">
        <v>14</v>
      </c>
      <c r="H94" s="1201"/>
      <c r="I94" s="692"/>
      <c r="J94" s="690">
        <f>I93</f>
        <v>0</v>
      </c>
    </row>
    <row r="95" spans="1:12" s="41" customFormat="1" ht="40.5" customHeight="1" x14ac:dyDescent="0.25">
      <c r="A95" s="1507" t="s">
        <v>353</v>
      </c>
      <c r="B95" s="1507"/>
      <c r="C95" s="1507"/>
      <c r="D95" s="1507"/>
      <c r="E95" s="1507"/>
      <c r="F95" s="1507"/>
      <c r="G95" s="1507"/>
      <c r="H95" s="1507"/>
      <c r="I95" s="1507"/>
      <c r="J95" s="1507"/>
    </row>
    <row r="96" spans="1:12" ht="38.25" x14ac:dyDescent="0.25">
      <c r="A96" s="735" t="s">
        <v>1</v>
      </c>
      <c r="B96" s="1535" t="s">
        <v>15</v>
      </c>
      <c r="C96" s="1535"/>
      <c r="D96" s="1535"/>
      <c r="E96" s="1535" t="s">
        <v>16</v>
      </c>
      <c r="F96" s="1535"/>
      <c r="G96" s="735" t="s">
        <v>17</v>
      </c>
      <c r="H96" s="735" t="s">
        <v>18</v>
      </c>
      <c r="I96" s="1535" t="s">
        <v>104</v>
      </c>
      <c r="J96" s="1535"/>
    </row>
    <row r="97" spans="1:10" x14ac:dyDescent="0.25">
      <c r="A97" s="735">
        <v>1</v>
      </c>
      <c r="B97" s="1535">
        <v>2</v>
      </c>
      <c r="C97" s="1535"/>
      <c r="D97" s="1535"/>
      <c r="E97" s="1535">
        <v>3</v>
      </c>
      <c r="F97" s="1535"/>
      <c r="G97" s="735">
        <v>4</v>
      </c>
      <c r="H97" s="735">
        <v>5</v>
      </c>
      <c r="I97" s="1535">
        <v>6</v>
      </c>
      <c r="J97" s="1535"/>
    </row>
    <row r="98" spans="1:10" ht="16.5" customHeight="1" x14ac:dyDescent="0.25">
      <c r="A98" s="1562" t="s">
        <v>354</v>
      </c>
      <c r="B98" s="1563"/>
      <c r="C98" s="1563"/>
      <c r="D98" s="1563"/>
      <c r="E98" s="1563"/>
      <c r="F98" s="1563"/>
      <c r="G98" s="1563"/>
      <c r="H98" s="1563"/>
      <c r="I98" s="1563"/>
      <c r="J98" s="1564"/>
    </row>
    <row r="99" spans="1:10" ht="30" customHeight="1" x14ac:dyDescent="0.25">
      <c r="A99" s="736" t="s">
        <v>70</v>
      </c>
      <c r="B99" s="1635" t="s">
        <v>609</v>
      </c>
      <c r="C99" s="1636"/>
      <c r="D99" s="1637"/>
      <c r="E99" s="1633">
        <v>300</v>
      </c>
      <c r="F99" s="1634"/>
      <c r="G99" s="736">
        <v>1</v>
      </c>
      <c r="H99" s="736">
        <v>5</v>
      </c>
      <c r="I99" s="1638">
        <f>E99*G99*H99</f>
        <v>1500</v>
      </c>
      <c r="J99" s="1638"/>
    </row>
    <row r="100" spans="1:10" ht="15" hidden="1" customHeight="1" x14ac:dyDescent="0.25">
      <c r="A100" s="1562" t="s">
        <v>356</v>
      </c>
      <c r="B100" s="1563"/>
      <c r="C100" s="1563"/>
      <c r="D100" s="1563"/>
      <c r="E100" s="1563"/>
      <c r="F100" s="1563"/>
      <c r="G100" s="1563"/>
      <c r="H100" s="1563"/>
      <c r="I100" s="1563"/>
      <c r="J100" s="1564"/>
    </row>
    <row r="101" spans="1:10" ht="53.25" hidden="1" customHeight="1" x14ac:dyDescent="0.25">
      <c r="A101" s="669" t="s">
        <v>70</v>
      </c>
      <c r="B101" s="1557" t="s">
        <v>458</v>
      </c>
      <c r="C101" s="1558"/>
      <c r="D101" s="1559"/>
      <c r="E101" s="1534">
        <v>22300</v>
      </c>
      <c r="F101" s="1534"/>
      <c r="G101" s="734">
        <v>45</v>
      </c>
      <c r="H101" s="734">
        <v>1</v>
      </c>
      <c r="I101" s="1569">
        <v>0</v>
      </c>
      <c r="J101" s="1570"/>
    </row>
    <row r="102" spans="1:10" ht="48.75" hidden="1" customHeight="1" x14ac:dyDescent="0.25">
      <c r="A102" s="736" t="s">
        <v>75</v>
      </c>
      <c r="B102" s="1557" t="s">
        <v>459</v>
      </c>
      <c r="C102" s="1558"/>
      <c r="D102" s="1559"/>
      <c r="E102" s="1560">
        <v>15600</v>
      </c>
      <c r="F102" s="1560"/>
      <c r="G102" s="131">
        <v>24</v>
      </c>
      <c r="H102" s="151">
        <v>1</v>
      </c>
      <c r="I102" s="1561">
        <v>0</v>
      </c>
      <c r="J102" s="1561"/>
    </row>
    <row r="103" spans="1:10" x14ac:dyDescent="0.25">
      <c r="A103" s="1562" t="s">
        <v>357</v>
      </c>
      <c r="B103" s="1563"/>
      <c r="C103" s="1563"/>
      <c r="D103" s="1563"/>
      <c r="E103" s="1563"/>
      <c r="F103" s="1563"/>
      <c r="G103" s="1563"/>
      <c r="H103" s="1563"/>
      <c r="I103" s="1563"/>
      <c r="J103" s="1564"/>
    </row>
    <row r="104" spans="1:10" ht="37.5" customHeight="1" x14ac:dyDescent="0.25">
      <c r="A104" s="152" t="s">
        <v>75</v>
      </c>
      <c r="B104" s="1630" t="s">
        <v>610</v>
      </c>
      <c r="C104" s="1631"/>
      <c r="D104" s="1632"/>
      <c r="E104" s="1628">
        <v>0</v>
      </c>
      <c r="F104" s="1628"/>
      <c r="G104" s="152">
        <v>3</v>
      </c>
      <c r="H104" s="152">
        <v>0</v>
      </c>
      <c r="I104" s="1629">
        <v>11500</v>
      </c>
      <c r="J104" s="1629"/>
    </row>
    <row r="105" spans="1:10" x14ac:dyDescent="0.25">
      <c r="A105" s="736"/>
      <c r="B105" s="1539" t="s">
        <v>13</v>
      </c>
      <c r="C105" s="1539"/>
      <c r="D105" s="1539"/>
      <c r="E105" s="1540" t="s">
        <v>14</v>
      </c>
      <c r="F105" s="1540"/>
      <c r="G105" s="736" t="s">
        <v>14</v>
      </c>
      <c r="H105" s="736" t="s">
        <v>14</v>
      </c>
      <c r="I105" s="1543">
        <f>I99+I102+I104+I101</f>
        <v>13000</v>
      </c>
      <c r="J105" s="1543"/>
    </row>
    <row r="106" spans="1:10" ht="19.5" hidden="1" customHeight="1" x14ac:dyDescent="0.25">
      <c r="A106" s="1480" t="s">
        <v>359</v>
      </c>
      <c r="B106" s="1480"/>
      <c r="C106" s="1480"/>
      <c r="D106" s="1480"/>
      <c r="E106" s="1480"/>
      <c r="F106" s="1480"/>
      <c r="G106" s="1480"/>
      <c r="H106" s="1480"/>
      <c r="I106" s="1480"/>
      <c r="J106" s="1480"/>
    </row>
    <row r="107" spans="1:10" ht="51" hidden="1" x14ac:dyDescent="0.25">
      <c r="A107" s="735" t="s">
        <v>1</v>
      </c>
      <c r="B107" s="1535" t="s">
        <v>15</v>
      </c>
      <c r="C107" s="1535"/>
      <c r="D107" s="1535"/>
      <c r="E107" s="1544" t="s">
        <v>20</v>
      </c>
      <c r="F107" s="1545"/>
      <c r="G107" s="735" t="s">
        <v>21</v>
      </c>
      <c r="H107" s="735" t="s">
        <v>22</v>
      </c>
      <c r="I107" s="1535" t="s">
        <v>19</v>
      </c>
      <c r="J107" s="1535"/>
    </row>
    <row r="108" spans="1:10" hidden="1" x14ac:dyDescent="0.25">
      <c r="A108" s="735">
        <v>1</v>
      </c>
      <c r="B108" s="1535">
        <v>2</v>
      </c>
      <c r="C108" s="1535"/>
      <c r="D108" s="1535"/>
      <c r="E108" s="1544">
        <v>3</v>
      </c>
      <c r="F108" s="1545"/>
      <c r="G108" s="735">
        <v>4</v>
      </c>
      <c r="H108" s="735">
        <v>5</v>
      </c>
      <c r="I108" s="1535">
        <v>6</v>
      </c>
      <c r="J108" s="1535"/>
    </row>
    <row r="109" spans="1:10" ht="47.25" hidden="1" customHeight="1" x14ac:dyDescent="0.25">
      <c r="A109" s="737" t="s">
        <v>70</v>
      </c>
      <c r="B109" s="1546" t="s">
        <v>79</v>
      </c>
      <c r="C109" s="1547"/>
      <c r="D109" s="1548"/>
      <c r="E109" s="1549"/>
      <c r="F109" s="1550"/>
      <c r="G109" s="154">
        <v>12</v>
      </c>
      <c r="H109" s="154">
        <v>85</v>
      </c>
      <c r="I109" s="1551">
        <f>E109*G109*H109</f>
        <v>0</v>
      </c>
      <c r="J109" s="1551"/>
    </row>
    <row r="110" spans="1:10" ht="17.25" hidden="1" customHeight="1" x14ac:dyDescent="0.25">
      <c r="A110" s="153"/>
      <c r="B110" s="1536" t="s">
        <v>13</v>
      </c>
      <c r="C110" s="1536"/>
      <c r="D110" s="1536"/>
      <c r="E110" s="1537" t="s">
        <v>14</v>
      </c>
      <c r="F110" s="1538"/>
      <c r="G110" s="736" t="s">
        <v>14</v>
      </c>
      <c r="H110" s="736" t="s">
        <v>14</v>
      </c>
      <c r="I110" s="1543">
        <f>SUM(I109)</f>
        <v>0</v>
      </c>
      <c r="J110" s="1552"/>
    </row>
    <row r="111" spans="1:10" s="41" customFormat="1" ht="54" customHeight="1" x14ac:dyDescent="0.25">
      <c r="A111" s="1507" t="s">
        <v>288</v>
      </c>
      <c r="B111" s="1507"/>
      <c r="C111" s="1507"/>
      <c r="D111" s="1507"/>
      <c r="E111" s="1507"/>
      <c r="F111" s="1507"/>
      <c r="G111" s="1507"/>
      <c r="H111" s="1507"/>
      <c r="I111" s="1507"/>
      <c r="J111" s="1507"/>
    </row>
    <row r="112" spans="1:10" ht="25.5" customHeight="1" x14ac:dyDescent="0.25">
      <c r="A112" s="730" t="s">
        <v>1</v>
      </c>
      <c r="B112" s="1508" t="s">
        <v>23</v>
      </c>
      <c r="C112" s="1508"/>
      <c r="D112" s="1508"/>
      <c r="E112" s="1508"/>
      <c r="F112" s="1508"/>
      <c r="G112" s="1508" t="s">
        <v>24</v>
      </c>
      <c r="H112" s="1508"/>
      <c r="I112" s="1508" t="s">
        <v>25</v>
      </c>
      <c r="J112" s="1508"/>
    </row>
    <row r="113" spans="1:10" ht="12" customHeight="1" x14ac:dyDescent="0.25">
      <c r="A113" s="717">
        <v>1</v>
      </c>
      <c r="B113" s="1346">
        <v>2</v>
      </c>
      <c r="C113" s="1346"/>
      <c r="D113" s="1346"/>
      <c r="E113" s="1346"/>
      <c r="F113" s="1346"/>
      <c r="G113" s="1346">
        <v>3</v>
      </c>
      <c r="H113" s="1346"/>
      <c r="I113" s="1346">
        <v>4</v>
      </c>
      <c r="J113" s="1346"/>
    </row>
    <row r="114" spans="1:10" ht="17.25" customHeight="1" x14ac:dyDescent="0.25">
      <c r="A114" s="733" t="s">
        <v>70</v>
      </c>
      <c r="B114" s="1527" t="s">
        <v>26</v>
      </c>
      <c r="C114" s="1527"/>
      <c r="D114" s="1527"/>
      <c r="E114" s="1527"/>
      <c r="F114" s="1527"/>
      <c r="G114" s="1532" t="s">
        <v>14</v>
      </c>
      <c r="H114" s="1532"/>
      <c r="I114" s="1531">
        <f>SUM(I116:J118)</f>
        <v>26444</v>
      </c>
      <c r="J114" s="1531"/>
    </row>
    <row r="115" spans="1:10" ht="16.5" customHeight="1" x14ac:dyDescent="0.25">
      <c r="A115" s="89"/>
      <c r="B115" s="1387" t="s">
        <v>9</v>
      </c>
      <c r="C115" s="1444"/>
      <c r="D115" s="1444"/>
      <c r="E115" s="1444"/>
      <c r="F115" s="1388"/>
      <c r="G115" s="1505"/>
      <c r="H115" s="1505"/>
      <c r="I115" s="1504"/>
      <c r="J115" s="1504"/>
    </row>
    <row r="116" spans="1:10" ht="17.25" customHeight="1" x14ac:dyDescent="0.25">
      <c r="A116" s="728" t="s">
        <v>27</v>
      </c>
      <c r="B116" s="1533" t="s">
        <v>28</v>
      </c>
      <c r="C116" s="1533"/>
      <c r="D116" s="1533"/>
      <c r="E116" s="1533"/>
      <c r="F116" s="1533"/>
      <c r="G116" s="1503">
        <v>120200</v>
      </c>
      <c r="H116" s="1503"/>
      <c r="I116" s="1504">
        <f>G116*22%</f>
        <v>26444</v>
      </c>
      <c r="J116" s="1504"/>
    </row>
    <row r="117" spans="1:10" ht="15" customHeight="1" x14ac:dyDescent="0.25">
      <c r="A117" s="728" t="s">
        <v>29</v>
      </c>
      <c r="B117" s="1386" t="s">
        <v>30</v>
      </c>
      <c r="C117" s="1386"/>
      <c r="D117" s="1386"/>
      <c r="E117" s="1386"/>
      <c r="F117" s="1386"/>
      <c r="G117" s="1505"/>
      <c r="H117" s="1505"/>
      <c r="I117" s="1504">
        <f>G117*10%</f>
        <v>0</v>
      </c>
      <c r="J117" s="1504"/>
    </row>
    <row r="118" spans="1:10" ht="29.45" customHeight="1" x14ac:dyDescent="0.25">
      <c r="A118" s="728" t="s">
        <v>31</v>
      </c>
      <c r="B118" s="1506" t="s">
        <v>32</v>
      </c>
      <c r="C118" s="1506"/>
      <c r="D118" s="1506"/>
      <c r="E118" s="1506"/>
      <c r="F118" s="1506"/>
      <c r="G118" s="1505"/>
      <c r="H118" s="1505"/>
      <c r="I118" s="1504"/>
      <c r="J118" s="1504"/>
    </row>
    <row r="119" spans="1:10" ht="29.25" customHeight="1" x14ac:dyDescent="0.25">
      <c r="A119" s="733" t="s">
        <v>75</v>
      </c>
      <c r="B119" s="1527" t="s">
        <v>33</v>
      </c>
      <c r="C119" s="1527"/>
      <c r="D119" s="1527"/>
      <c r="E119" s="1527"/>
      <c r="F119" s="1527"/>
      <c r="G119" s="1532" t="s">
        <v>14</v>
      </c>
      <c r="H119" s="1532"/>
      <c r="I119" s="1531">
        <f>SUM(I121:J125)</f>
        <v>3425.7999999999997</v>
      </c>
      <c r="J119" s="1531"/>
    </row>
    <row r="120" spans="1:10" ht="15.75" customHeight="1" x14ac:dyDescent="0.25">
      <c r="A120" s="89"/>
      <c r="B120" s="1387" t="s">
        <v>9</v>
      </c>
      <c r="C120" s="1444"/>
      <c r="D120" s="1444"/>
      <c r="E120" s="1444"/>
      <c r="F120" s="1388"/>
      <c r="G120" s="1505"/>
      <c r="H120" s="1505"/>
      <c r="I120" s="1504"/>
      <c r="J120" s="1504"/>
    </row>
    <row r="121" spans="1:10" ht="27.75" customHeight="1" x14ac:dyDescent="0.25">
      <c r="A121" s="728" t="s">
        <v>34</v>
      </c>
      <c r="B121" s="1506" t="s">
        <v>35</v>
      </c>
      <c r="C121" s="1506"/>
      <c r="D121" s="1506"/>
      <c r="E121" s="1506"/>
      <c r="F121" s="1506"/>
      <c r="G121" s="1503">
        <f>G116+G117</f>
        <v>120200</v>
      </c>
      <c r="H121" s="1503"/>
      <c r="I121" s="1504">
        <f>G121*2.9%-300.4</f>
        <v>3185.3999999999996</v>
      </c>
      <c r="J121" s="1504"/>
    </row>
    <row r="122" spans="1:10" ht="15" customHeight="1" x14ac:dyDescent="0.25">
      <c r="A122" s="728" t="s">
        <v>36</v>
      </c>
      <c r="B122" s="1506" t="s">
        <v>37</v>
      </c>
      <c r="C122" s="1506"/>
      <c r="D122" s="1506"/>
      <c r="E122" s="1506"/>
      <c r="F122" s="1506"/>
      <c r="G122" s="1505"/>
      <c r="H122" s="1505"/>
      <c r="I122" s="1504"/>
      <c r="J122" s="1504"/>
    </row>
    <row r="123" spans="1:10" ht="35.25" customHeight="1" x14ac:dyDescent="0.25">
      <c r="A123" s="728" t="s">
        <v>38</v>
      </c>
      <c r="B123" s="1506" t="s">
        <v>39</v>
      </c>
      <c r="C123" s="1506"/>
      <c r="D123" s="1506"/>
      <c r="E123" s="1506"/>
      <c r="F123" s="1506"/>
      <c r="G123" s="1503">
        <f>G116+G117</f>
        <v>120200</v>
      </c>
      <c r="H123" s="1503"/>
      <c r="I123" s="1504">
        <f>G123*0.2%</f>
        <v>240.4</v>
      </c>
      <c r="J123" s="1504"/>
    </row>
    <row r="124" spans="1:10" s="41" customFormat="1" ht="15" customHeight="1" x14ac:dyDescent="0.25">
      <c r="A124" s="728" t="s">
        <v>40</v>
      </c>
      <c r="B124" s="1506" t="s">
        <v>41</v>
      </c>
      <c r="C124" s="1506"/>
      <c r="D124" s="1506"/>
      <c r="E124" s="1506"/>
      <c r="F124" s="1506"/>
      <c r="G124" s="1505"/>
      <c r="H124" s="1505"/>
      <c r="I124" s="1504"/>
      <c r="J124" s="1504"/>
    </row>
    <row r="125" spans="1:10" ht="15" customHeight="1" x14ac:dyDescent="0.25">
      <c r="A125" s="728" t="s">
        <v>42</v>
      </c>
      <c r="B125" s="1506" t="s">
        <v>41</v>
      </c>
      <c r="C125" s="1506"/>
      <c r="D125" s="1506"/>
      <c r="E125" s="1506"/>
      <c r="F125" s="1506"/>
      <c r="G125" s="1505"/>
      <c r="H125" s="1505"/>
      <c r="I125" s="1504"/>
      <c r="J125" s="1504"/>
    </row>
    <row r="126" spans="1:10" ht="30" customHeight="1" x14ac:dyDescent="0.25">
      <c r="A126" s="733" t="s">
        <v>77</v>
      </c>
      <c r="B126" s="1527" t="s">
        <v>43</v>
      </c>
      <c r="C126" s="1527"/>
      <c r="D126" s="1527"/>
      <c r="E126" s="1527"/>
      <c r="F126" s="1527"/>
      <c r="G126" s="1530">
        <f>G116+G117</f>
        <v>120200</v>
      </c>
      <c r="H126" s="1530"/>
      <c r="I126" s="1531">
        <f>G126*5.1%</f>
        <v>6130.2</v>
      </c>
      <c r="J126" s="1531"/>
    </row>
    <row r="127" spans="1:10" ht="19.5" customHeight="1" x14ac:dyDescent="0.25">
      <c r="A127" s="728"/>
      <c r="B127" s="1338" t="s">
        <v>726</v>
      </c>
      <c r="C127" s="1338"/>
      <c r="D127" s="1338"/>
      <c r="E127" s="1338"/>
      <c r="F127" s="1338"/>
      <c r="G127" s="1341" t="s">
        <v>14</v>
      </c>
      <c r="H127" s="1341"/>
      <c r="I127" s="1529">
        <f>I114+I119+I126</f>
        <v>36000</v>
      </c>
      <c r="J127" s="1529"/>
    </row>
    <row r="128" spans="1:10" ht="36" hidden="1" customHeight="1" x14ac:dyDescent="0.25">
      <c r="A128" s="730" t="s">
        <v>1</v>
      </c>
      <c r="B128" s="1501" t="s">
        <v>23</v>
      </c>
      <c r="C128" s="1528"/>
      <c r="D128" s="1528"/>
      <c r="E128" s="1528"/>
      <c r="F128" s="1502"/>
      <c r="G128" s="1501" t="s">
        <v>24</v>
      </c>
      <c r="H128" s="1502"/>
      <c r="I128" s="1501" t="s">
        <v>25</v>
      </c>
      <c r="J128" s="1502"/>
    </row>
    <row r="129" spans="1:10" ht="11.25" hidden="1" customHeight="1" x14ac:dyDescent="0.25">
      <c r="A129" s="717">
        <v>1</v>
      </c>
      <c r="B129" s="1344">
        <v>2</v>
      </c>
      <c r="C129" s="1392"/>
      <c r="D129" s="1392"/>
      <c r="E129" s="1392"/>
      <c r="F129" s="1345"/>
      <c r="G129" s="1344">
        <v>3</v>
      </c>
      <c r="H129" s="1345"/>
      <c r="I129" s="1344">
        <v>4</v>
      </c>
      <c r="J129" s="1345"/>
    </row>
    <row r="130" spans="1:10" ht="20.25" hidden="1" customHeight="1" x14ac:dyDescent="0.25">
      <c r="A130" s="733" t="s">
        <v>70</v>
      </c>
      <c r="B130" s="1484" t="s">
        <v>26</v>
      </c>
      <c r="C130" s="1485"/>
      <c r="D130" s="1485"/>
      <c r="E130" s="1485"/>
      <c r="F130" s="1486"/>
      <c r="G130" s="1362" t="s">
        <v>14</v>
      </c>
      <c r="H130" s="1363"/>
      <c r="I130" s="1487">
        <f>SUM(I132:J134)</f>
        <v>0</v>
      </c>
      <c r="J130" s="1488"/>
    </row>
    <row r="131" spans="1:10" ht="18" hidden="1" customHeight="1" x14ac:dyDescent="0.25">
      <c r="A131" s="89"/>
      <c r="B131" s="1387" t="s">
        <v>9</v>
      </c>
      <c r="C131" s="1444"/>
      <c r="D131" s="1444"/>
      <c r="E131" s="1444"/>
      <c r="F131" s="1388"/>
      <c r="G131" s="1489"/>
      <c r="H131" s="1490"/>
      <c r="I131" s="1491"/>
      <c r="J131" s="1492"/>
    </row>
    <row r="132" spans="1:10" s="41" customFormat="1" ht="20.25" hidden="1" customHeight="1" x14ac:dyDescent="0.25">
      <c r="A132" s="728" t="s">
        <v>27</v>
      </c>
      <c r="B132" s="1495" t="s">
        <v>28</v>
      </c>
      <c r="C132" s="1496"/>
      <c r="D132" s="1496"/>
      <c r="E132" s="1496"/>
      <c r="F132" s="1497"/>
      <c r="G132" s="1493">
        <f>J86</f>
        <v>0</v>
      </c>
      <c r="H132" s="1494"/>
      <c r="I132" s="1491">
        <f>G132*22%</f>
        <v>0</v>
      </c>
      <c r="J132" s="1492"/>
    </row>
    <row r="133" spans="1:10" hidden="1" x14ac:dyDescent="0.25">
      <c r="A133" s="728" t="s">
        <v>29</v>
      </c>
      <c r="B133" s="1402" t="s">
        <v>30</v>
      </c>
      <c r="C133" s="1403"/>
      <c r="D133" s="1403"/>
      <c r="E133" s="1403"/>
      <c r="F133" s="1404"/>
      <c r="G133" s="1489"/>
      <c r="H133" s="1490"/>
      <c r="I133" s="1491"/>
      <c r="J133" s="1492"/>
    </row>
    <row r="134" spans="1:10" ht="15" hidden="1" customHeight="1" x14ac:dyDescent="0.25">
      <c r="A134" s="728" t="s">
        <v>31</v>
      </c>
      <c r="B134" s="1498" t="s">
        <v>32</v>
      </c>
      <c r="C134" s="1499"/>
      <c r="D134" s="1499"/>
      <c r="E134" s="1499"/>
      <c r="F134" s="1500"/>
      <c r="G134" s="1489"/>
      <c r="H134" s="1490"/>
      <c r="I134" s="1491"/>
      <c r="J134" s="1492"/>
    </row>
    <row r="135" spans="1:10" ht="15" hidden="1" customHeight="1" x14ac:dyDescent="0.25">
      <c r="A135" s="733" t="s">
        <v>75</v>
      </c>
      <c r="B135" s="1484" t="s">
        <v>33</v>
      </c>
      <c r="C135" s="1485"/>
      <c r="D135" s="1485"/>
      <c r="E135" s="1485"/>
      <c r="F135" s="1486"/>
      <c r="G135" s="1362" t="s">
        <v>14</v>
      </c>
      <c r="H135" s="1363"/>
      <c r="I135" s="1487">
        <f>SUM(I137:J141)</f>
        <v>-4.0000000000000001E-3</v>
      </c>
      <c r="J135" s="1488"/>
    </row>
    <row r="136" spans="1:10" ht="15" hidden="1" customHeight="1" x14ac:dyDescent="0.25">
      <c r="A136" s="89"/>
      <c r="B136" s="1387" t="s">
        <v>9</v>
      </c>
      <c r="C136" s="1444"/>
      <c r="D136" s="1444"/>
      <c r="E136" s="1444"/>
      <c r="F136" s="1388"/>
      <c r="G136" s="1489"/>
      <c r="H136" s="1490"/>
      <c r="I136" s="1491"/>
      <c r="J136" s="1492"/>
    </row>
    <row r="137" spans="1:10" ht="26.25" hidden="1" customHeight="1" x14ac:dyDescent="0.25">
      <c r="A137" s="728" t="s">
        <v>34</v>
      </c>
      <c r="B137" s="1498" t="s">
        <v>35</v>
      </c>
      <c r="C137" s="1499"/>
      <c r="D137" s="1499"/>
      <c r="E137" s="1499"/>
      <c r="F137" s="1500"/>
      <c r="G137" s="1493">
        <f>G132</f>
        <v>0</v>
      </c>
      <c r="H137" s="1494"/>
      <c r="I137" s="1491">
        <f>G137*2.9%</f>
        <v>0</v>
      </c>
      <c r="J137" s="1492"/>
    </row>
    <row r="138" spans="1:10" hidden="1" x14ac:dyDescent="0.25">
      <c r="A138" s="728" t="s">
        <v>36</v>
      </c>
      <c r="B138" s="1498" t="s">
        <v>37</v>
      </c>
      <c r="C138" s="1499"/>
      <c r="D138" s="1499"/>
      <c r="E138" s="1499"/>
      <c r="F138" s="1500"/>
      <c r="G138" s="1489"/>
      <c r="H138" s="1490"/>
      <c r="I138" s="1491"/>
      <c r="J138" s="1492"/>
    </row>
    <row r="139" spans="1:10" ht="26.25" hidden="1" customHeight="1" x14ac:dyDescent="0.25">
      <c r="A139" s="728" t="s">
        <v>38</v>
      </c>
      <c r="B139" s="1498" t="s">
        <v>39</v>
      </c>
      <c r="C139" s="1499"/>
      <c r="D139" s="1499"/>
      <c r="E139" s="1499"/>
      <c r="F139" s="1500"/>
      <c r="G139" s="1493">
        <f>G132</f>
        <v>0</v>
      </c>
      <c r="H139" s="1494"/>
      <c r="I139" s="1491">
        <f>G139*0.2%-0.004</f>
        <v>-4.0000000000000001E-3</v>
      </c>
      <c r="J139" s="1492"/>
    </row>
    <row r="140" spans="1:10" s="41" customFormat="1" ht="14.25" hidden="1" customHeight="1" x14ac:dyDescent="0.25">
      <c r="A140" s="728" t="s">
        <v>40</v>
      </c>
      <c r="B140" s="1498" t="s">
        <v>41</v>
      </c>
      <c r="C140" s="1499"/>
      <c r="D140" s="1499"/>
      <c r="E140" s="1499"/>
      <c r="F140" s="1500"/>
      <c r="G140" s="1489"/>
      <c r="H140" s="1490"/>
      <c r="I140" s="1491"/>
      <c r="J140" s="1492"/>
    </row>
    <row r="141" spans="1:10" ht="15" hidden="1" customHeight="1" x14ac:dyDescent="0.25">
      <c r="A141" s="728" t="s">
        <v>42</v>
      </c>
      <c r="B141" s="1498" t="s">
        <v>41</v>
      </c>
      <c r="C141" s="1499"/>
      <c r="D141" s="1499"/>
      <c r="E141" s="1499"/>
      <c r="F141" s="1500"/>
      <c r="G141" s="1489"/>
      <c r="H141" s="1490"/>
      <c r="I141" s="1491"/>
      <c r="J141" s="1492"/>
    </row>
    <row r="142" spans="1:10" hidden="1" x14ac:dyDescent="0.25">
      <c r="A142" s="733" t="s">
        <v>77</v>
      </c>
      <c r="B142" s="1484" t="s">
        <v>43</v>
      </c>
      <c r="C142" s="1485"/>
      <c r="D142" s="1485"/>
      <c r="E142" s="1485"/>
      <c r="F142" s="1486"/>
      <c r="G142" s="1524">
        <f>G132</f>
        <v>0</v>
      </c>
      <c r="H142" s="1525"/>
      <c r="I142" s="1487">
        <f>G142*5.1%</f>
        <v>0</v>
      </c>
      <c r="J142" s="1488"/>
    </row>
    <row r="143" spans="1:10" x14ac:dyDescent="0.25">
      <c r="A143" s="728"/>
      <c r="B143" s="1431" t="s">
        <v>373</v>
      </c>
      <c r="C143" s="1432"/>
      <c r="D143" s="1432"/>
      <c r="E143" s="1432"/>
      <c r="F143" s="1433"/>
      <c r="G143" s="1406" t="s">
        <v>14</v>
      </c>
      <c r="H143" s="1407"/>
      <c r="I143" s="1520">
        <f>I130+I135+I142</f>
        <v>-4.0000000000000001E-3</v>
      </c>
      <c r="J143" s="1521"/>
    </row>
    <row r="144" spans="1:10" x14ac:dyDescent="0.25">
      <c r="A144" s="728"/>
      <c r="B144" s="1431" t="s">
        <v>767</v>
      </c>
      <c r="C144" s="1432"/>
      <c r="D144" s="1432"/>
      <c r="E144" s="1432"/>
      <c r="F144" s="1433"/>
      <c r="G144" s="723"/>
      <c r="H144" s="724"/>
      <c r="I144" s="1520">
        <v>0</v>
      </c>
      <c r="J144" s="1521"/>
    </row>
    <row r="145" spans="1:12" s="41" customFormat="1" ht="19.5" customHeight="1" x14ac:dyDescent="0.25">
      <c r="A145" s="100"/>
      <c r="B145" s="1526" t="s">
        <v>675</v>
      </c>
      <c r="C145" s="1526"/>
      <c r="D145" s="1526"/>
      <c r="E145" s="1526"/>
      <c r="F145" s="1526"/>
      <c r="G145" s="1522" t="s">
        <v>14</v>
      </c>
      <c r="H145" s="1522"/>
      <c r="I145" s="1523">
        <f>I127+I143+I144</f>
        <v>35999.995999999999</v>
      </c>
      <c r="J145" s="1523"/>
      <c r="K145" s="1474"/>
      <c r="L145" s="1474"/>
    </row>
    <row r="146" spans="1:12" s="41" customFormat="1" ht="38.25" customHeight="1" x14ac:dyDescent="0.2">
      <c r="A146" s="1477" t="s">
        <v>414</v>
      </c>
      <c r="B146" s="1477"/>
      <c r="C146" s="1477"/>
      <c r="D146" s="1477"/>
      <c r="E146" s="1477"/>
      <c r="F146" s="1477"/>
      <c r="G146" s="1477"/>
      <c r="H146" s="1477"/>
      <c r="I146" s="1477"/>
      <c r="J146" s="1477"/>
    </row>
    <row r="147" spans="1:12" ht="19.5" hidden="1" customHeight="1" x14ac:dyDescent="0.25">
      <c r="A147" s="1480" t="s">
        <v>370</v>
      </c>
      <c r="B147" s="1480"/>
      <c r="C147" s="1480"/>
      <c r="D147" s="1480"/>
      <c r="E147" s="1480"/>
      <c r="F147" s="1480"/>
      <c r="G147" s="1480"/>
      <c r="H147" s="1480"/>
      <c r="I147" s="1480"/>
      <c r="J147" s="1480"/>
      <c r="K147" s="11"/>
      <c r="L147" s="11"/>
    </row>
    <row r="148" spans="1:12" ht="15" hidden="1" customHeight="1" x14ac:dyDescent="0.25">
      <c r="A148" s="80" t="s">
        <v>80</v>
      </c>
      <c r="B148" s="81"/>
      <c r="C148" s="307">
        <v>321</v>
      </c>
      <c r="D148" s="307"/>
      <c r="E148" s="307"/>
      <c r="F148" s="85"/>
      <c r="G148" s="85"/>
      <c r="H148" s="85"/>
      <c r="I148" s="85"/>
      <c r="J148" s="85"/>
      <c r="K148" s="11"/>
      <c r="L148" s="11"/>
    </row>
    <row r="149" spans="1:12" ht="16.5" hidden="1" customHeight="1" x14ac:dyDescent="0.25">
      <c r="A149" s="80" t="s">
        <v>81</v>
      </c>
      <c r="B149" s="81"/>
      <c r="C149" s="81"/>
      <c r="D149" s="81"/>
      <c r="E149" s="86"/>
      <c r="F149" s="87"/>
      <c r="G149" s="87"/>
      <c r="H149" s="87"/>
      <c r="I149" s="87"/>
      <c r="J149" s="87"/>
      <c r="K149" s="11"/>
      <c r="L149" s="11"/>
    </row>
    <row r="150" spans="1:12" ht="36" hidden="1" customHeight="1" x14ac:dyDescent="0.25">
      <c r="A150" s="717" t="s">
        <v>1</v>
      </c>
      <c r="B150" s="1344" t="s">
        <v>44</v>
      </c>
      <c r="C150" s="1392"/>
      <c r="D150" s="1345"/>
      <c r="E150" s="1344" t="s">
        <v>45</v>
      </c>
      <c r="F150" s="1345"/>
      <c r="G150" s="1344" t="s">
        <v>46</v>
      </c>
      <c r="H150" s="1345"/>
      <c r="I150" s="1344" t="s">
        <v>102</v>
      </c>
      <c r="J150" s="1345"/>
      <c r="K150" s="11"/>
      <c r="L150" s="11"/>
    </row>
    <row r="151" spans="1:12" ht="16.5" hidden="1" customHeight="1" x14ac:dyDescent="0.25">
      <c r="A151" s="717">
        <v>1</v>
      </c>
      <c r="B151" s="1344">
        <v>2</v>
      </c>
      <c r="C151" s="1392"/>
      <c r="D151" s="1345"/>
      <c r="E151" s="1344">
        <v>3</v>
      </c>
      <c r="F151" s="1345"/>
      <c r="G151" s="1344">
        <v>4</v>
      </c>
      <c r="H151" s="1345"/>
      <c r="I151" s="1344">
        <v>5</v>
      </c>
      <c r="J151" s="1345"/>
      <c r="K151" s="11"/>
      <c r="L151" s="11"/>
    </row>
    <row r="152" spans="1:12" ht="89.25" hidden="1" customHeight="1" x14ac:dyDescent="0.25">
      <c r="A152" s="739" t="s">
        <v>70</v>
      </c>
      <c r="B152" s="1402" t="s">
        <v>361</v>
      </c>
      <c r="C152" s="1403"/>
      <c r="D152" s="1404"/>
      <c r="E152" s="1387"/>
      <c r="F152" s="1388"/>
      <c r="G152" s="1387"/>
      <c r="H152" s="1388"/>
      <c r="I152" s="1387"/>
      <c r="J152" s="1388"/>
    </row>
    <row r="153" spans="1:12" ht="28.5" hidden="1" customHeight="1" x14ac:dyDescent="0.25">
      <c r="A153" s="728" t="s">
        <v>75</v>
      </c>
      <c r="B153" s="1402" t="s">
        <v>360</v>
      </c>
      <c r="C153" s="1403"/>
      <c r="D153" s="1404"/>
      <c r="E153" s="1387"/>
      <c r="F153" s="1388"/>
      <c r="G153" s="1387"/>
      <c r="H153" s="1388"/>
      <c r="I153" s="1387"/>
      <c r="J153" s="1388"/>
    </row>
    <row r="154" spans="1:12" ht="28.5" hidden="1" customHeight="1" x14ac:dyDescent="0.25">
      <c r="A154" s="728" t="s">
        <v>70</v>
      </c>
      <c r="B154" s="1546" t="s">
        <v>366</v>
      </c>
      <c r="C154" s="1547"/>
      <c r="D154" s="1548"/>
      <c r="E154" s="1387"/>
      <c r="F154" s="1425"/>
      <c r="G154" s="1387"/>
      <c r="H154" s="1425"/>
      <c r="I154" s="1387"/>
      <c r="J154" s="1425"/>
    </row>
    <row r="155" spans="1:12" hidden="1" x14ac:dyDescent="0.25">
      <c r="A155" s="715"/>
      <c r="B155" s="1431" t="s">
        <v>13</v>
      </c>
      <c r="C155" s="1432"/>
      <c r="D155" s="1433"/>
      <c r="E155" s="1406" t="s">
        <v>14</v>
      </c>
      <c r="F155" s="1407"/>
      <c r="G155" s="1406" t="s">
        <v>14</v>
      </c>
      <c r="H155" s="1407"/>
      <c r="I155" s="1406">
        <f>SUM(I154)</f>
        <v>0</v>
      </c>
      <c r="J155" s="1407"/>
    </row>
    <row r="156" spans="1:12" s="41" customFormat="1" ht="21" hidden="1" customHeight="1" x14ac:dyDescent="0.25">
      <c r="A156" s="1480" t="s">
        <v>362</v>
      </c>
      <c r="B156" s="1480"/>
      <c r="C156" s="1480"/>
      <c r="D156" s="1480"/>
      <c r="E156" s="1480"/>
      <c r="F156" s="1480"/>
      <c r="G156" s="1480"/>
      <c r="H156" s="1480"/>
      <c r="I156" s="1480"/>
      <c r="J156" s="1480"/>
    </row>
    <row r="157" spans="1:12" s="41" customFormat="1" ht="21" hidden="1" customHeight="1" x14ac:dyDescent="0.25">
      <c r="A157" s="80" t="s">
        <v>80</v>
      </c>
      <c r="B157" s="81"/>
      <c r="C157" s="307">
        <v>851</v>
      </c>
      <c r="D157" s="307">
        <v>852</v>
      </c>
      <c r="E157" s="307">
        <v>853</v>
      </c>
      <c r="F157" s="85"/>
      <c r="G157" s="85"/>
      <c r="H157" s="85"/>
      <c r="I157" s="85"/>
      <c r="J157" s="85"/>
      <c r="K157" s="42"/>
      <c r="L157" s="43"/>
    </row>
    <row r="158" spans="1:12" s="41" customFormat="1" ht="15.75" hidden="1" x14ac:dyDescent="0.25">
      <c r="A158" s="80" t="s">
        <v>81</v>
      </c>
      <c r="B158" s="81"/>
      <c r="C158" s="81"/>
      <c r="D158" s="81"/>
      <c r="E158" s="86"/>
      <c r="F158" s="87"/>
      <c r="G158" s="87"/>
      <c r="H158" s="87"/>
      <c r="I158" s="87"/>
      <c r="J158" s="87"/>
    </row>
    <row r="159" spans="1:12" ht="39.75" hidden="1" customHeight="1" x14ac:dyDescent="0.25">
      <c r="A159" s="717" t="s">
        <v>1</v>
      </c>
      <c r="B159" s="1346" t="s">
        <v>15</v>
      </c>
      <c r="C159" s="1346"/>
      <c r="D159" s="1346"/>
      <c r="E159" s="1346" t="s">
        <v>47</v>
      </c>
      <c r="F159" s="1346"/>
      <c r="G159" s="1346" t="s">
        <v>48</v>
      </c>
      <c r="H159" s="1346"/>
      <c r="I159" s="1346" t="s">
        <v>103</v>
      </c>
      <c r="J159" s="1346"/>
    </row>
    <row r="160" spans="1:12" ht="15" hidden="1" customHeight="1" x14ac:dyDescent="0.25">
      <c r="A160" s="717">
        <v>1</v>
      </c>
      <c r="B160" s="1346">
        <v>2</v>
      </c>
      <c r="C160" s="1346"/>
      <c r="D160" s="1346"/>
      <c r="E160" s="1346">
        <v>3</v>
      </c>
      <c r="F160" s="1346"/>
      <c r="G160" s="1346">
        <v>4</v>
      </c>
      <c r="H160" s="1346"/>
      <c r="I160" s="1346">
        <v>5</v>
      </c>
      <c r="J160" s="1346"/>
    </row>
    <row r="161" spans="1:12" ht="20.25" hidden="1" customHeight="1" x14ac:dyDescent="0.25">
      <c r="A161" s="1512" t="s">
        <v>70</v>
      </c>
      <c r="B161" s="1517" t="s">
        <v>289</v>
      </c>
      <c r="C161" s="1518"/>
      <c r="D161" s="731" t="s">
        <v>460</v>
      </c>
      <c r="E161" s="1519"/>
      <c r="F161" s="1519"/>
      <c r="G161" s="1516">
        <v>2.1999999999999999E-2</v>
      </c>
      <c r="H161" s="1516"/>
      <c r="I161" s="1468"/>
      <c r="J161" s="1468"/>
    </row>
    <row r="162" spans="1:12" ht="17.25" hidden="1" customHeight="1" x14ac:dyDescent="0.25">
      <c r="A162" s="1513"/>
      <c r="B162" s="1518"/>
      <c r="C162" s="1518"/>
      <c r="D162" s="732" t="s">
        <v>461</v>
      </c>
      <c r="E162" s="1519"/>
      <c r="F162" s="1519"/>
      <c r="G162" s="1516">
        <v>2.1999999999999999E-2</v>
      </c>
      <c r="H162" s="1516"/>
      <c r="I162" s="1468"/>
      <c r="J162" s="1468"/>
    </row>
    <row r="163" spans="1:12" ht="18" hidden="1" customHeight="1" x14ac:dyDescent="0.25">
      <c r="A163" s="728" t="s">
        <v>75</v>
      </c>
      <c r="B163" s="1402" t="s">
        <v>291</v>
      </c>
      <c r="C163" s="1403"/>
      <c r="D163" s="1404"/>
      <c r="E163" s="1445">
        <v>0</v>
      </c>
      <c r="F163" s="1445"/>
      <c r="G163" s="1445">
        <v>0</v>
      </c>
      <c r="H163" s="1445"/>
      <c r="I163" s="1468"/>
      <c r="J163" s="1468"/>
    </row>
    <row r="164" spans="1:12" ht="31.5" hidden="1" customHeight="1" x14ac:dyDescent="0.25">
      <c r="A164" s="728" t="s">
        <v>77</v>
      </c>
      <c r="B164" s="1402" t="s">
        <v>292</v>
      </c>
      <c r="C164" s="1403"/>
      <c r="D164" s="1404"/>
      <c r="E164" s="1445">
        <v>0</v>
      </c>
      <c r="F164" s="1445"/>
      <c r="G164" s="1445">
        <v>0</v>
      </c>
      <c r="H164" s="1445"/>
      <c r="I164" s="1468"/>
      <c r="J164" s="1468"/>
    </row>
    <row r="165" spans="1:12" ht="31.5" hidden="1" customHeight="1" x14ac:dyDescent="0.25">
      <c r="A165" s="728" t="s">
        <v>86</v>
      </c>
      <c r="B165" s="1402" t="s">
        <v>290</v>
      </c>
      <c r="C165" s="1403"/>
      <c r="D165" s="1404"/>
      <c r="E165" s="1387">
        <v>0</v>
      </c>
      <c r="F165" s="1388"/>
      <c r="G165" s="1387">
        <v>0</v>
      </c>
      <c r="H165" s="1388"/>
      <c r="I165" s="1514"/>
      <c r="J165" s="1515"/>
    </row>
    <row r="166" spans="1:12" ht="15.75" hidden="1" customHeight="1" x14ac:dyDescent="0.25">
      <c r="A166" s="715"/>
      <c r="B166" s="1338" t="s">
        <v>13</v>
      </c>
      <c r="C166" s="1338"/>
      <c r="D166" s="1338"/>
      <c r="E166" s="1341" t="s">
        <v>74</v>
      </c>
      <c r="F166" s="1341"/>
      <c r="G166" s="1341" t="s">
        <v>14</v>
      </c>
      <c r="H166" s="1341"/>
      <c r="I166" s="1347">
        <f>SUM(I161:J165)</f>
        <v>0</v>
      </c>
      <c r="J166" s="1341"/>
    </row>
    <row r="167" spans="1:12" ht="27" hidden="1" customHeight="1" x14ac:dyDescent="0.25">
      <c r="A167" s="1480" t="s">
        <v>85</v>
      </c>
      <c r="B167" s="1480"/>
      <c r="C167" s="1480"/>
      <c r="D167" s="1480"/>
      <c r="E167" s="1480"/>
      <c r="F167" s="1480"/>
      <c r="G167" s="1480"/>
      <c r="H167" s="1480"/>
      <c r="I167" s="1480"/>
      <c r="J167" s="1480"/>
      <c r="K167" s="1474"/>
      <c r="L167" s="1474"/>
    </row>
    <row r="168" spans="1:12" s="41" customFormat="1" ht="15.75" hidden="1" customHeight="1" x14ac:dyDescent="0.25">
      <c r="A168" s="80" t="s">
        <v>80</v>
      </c>
      <c r="B168" s="81"/>
      <c r="C168" s="307"/>
      <c r="D168" s="307"/>
      <c r="E168" s="307"/>
      <c r="F168" s="85"/>
      <c r="G168" s="85"/>
      <c r="H168" s="85"/>
      <c r="I168" s="85"/>
      <c r="J168" s="85"/>
      <c r="K168" s="42"/>
      <c r="L168" s="43"/>
    </row>
    <row r="169" spans="1:12" s="41" customFormat="1" ht="15.75" hidden="1" x14ac:dyDescent="0.25">
      <c r="A169" s="80" t="s">
        <v>81</v>
      </c>
      <c r="B169" s="81"/>
      <c r="C169" s="81"/>
      <c r="D169" s="81"/>
      <c r="E169" s="86"/>
      <c r="F169" s="87"/>
      <c r="G169" s="87"/>
      <c r="H169" s="87"/>
      <c r="I169" s="87"/>
      <c r="J169" s="87"/>
    </row>
    <row r="170" spans="1:12" ht="24.75" hidden="1" customHeight="1" x14ac:dyDescent="0.25">
      <c r="A170" s="717" t="s">
        <v>1</v>
      </c>
      <c r="B170" s="1346" t="s">
        <v>44</v>
      </c>
      <c r="C170" s="1346"/>
      <c r="D170" s="1346"/>
      <c r="E170" s="1346" t="s">
        <v>45</v>
      </c>
      <c r="F170" s="1346"/>
      <c r="G170" s="1346" t="s">
        <v>46</v>
      </c>
      <c r="H170" s="1346"/>
      <c r="I170" s="1346" t="s">
        <v>102</v>
      </c>
      <c r="J170" s="1346"/>
      <c r="K170" s="11"/>
      <c r="L170" s="11"/>
    </row>
    <row r="171" spans="1:12" ht="14.25" hidden="1" customHeight="1" x14ac:dyDescent="0.25">
      <c r="A171" s="717">
        <v>1</v>
      </c>
      <c r="B171" s="1346">
        <v>2</v>
      </c>
      <c r="C171" s="1346"/>
      <c r="D171" s="1346"/>
      <c r="E171" s="1346">
        <v>3</v>
      </c>
      <c r="F171" s="1346"/>
      <c r="G171" s="1346">
        <v>4</v>
      </c>
      <c r="H171" s="1346"/>
      <c r="I171" s="1346">
        <v>5</v>
      </c>
      <c r="J171" s="1346"/>
      <c r="K171" s="753"/>
      <c r="L171" s="754"/>
    </row>
    <row r="172" spans="1:12" ht="15" hidden="1" customHeight="1" x14ac:dyDescent="0.25">
      <c r="A172" s="728"/>
      <c r="B172" s="1387"/>
      <c r="C172" s="1444"/>
      <c r="D172" s="1388"/>
      <c r="E172" s="1387"/>
      <c r="F172" s="1388"/>
      <c r="G172" s="1387"/>
      <c r="H172" s="1388"/>
      <c r="I172" s="1387"/>
      <c r="J172" s="1388"/>
      <c r="K172" s="11"/>
      <c r="L172" s="11"/>
    </row>
    <row r="173" spans="1:12" ht="17.25" hidden="1" customHeight="1" x14ac:dyDescent="0.25">
      <c r="A173" s="715"/>
      <c r="B173" s="1338" t="s">
        <v>13</v>
      </c>
      <c r="C173" s="1338"/>
      <c r="D173" s="1338"/>
      <c r="E173" s="1341" t="s">
        <v>14</v>
      </c>
      <c r="F173" s="1341"/>
      <c r="G173" s="1341" t="s">
        <v>14</v>
      </c>
      <c r="H173" s="1341"/>
      <c r="I173" s="1341"/>
      <c r="J173" s="1341"/>
      <c r="K173" s="11"/>
      <c r="L173" s="11"/>
    </row>
    <row r="174" spans="1:12" ht="16.5" hidden="1" customHeight="1" x14ac:dyDescent="0.25">
      <c r="A174" s="1446" t="s">
        <v>91</v>
      </c>
      <c r="B174" s="1446"/>
      <c r="C174" s="1446"/>
      <c r="D174" s="1446"/>
      <c r="E174" s="1446"/>
      <c r="F174" s="1446"/>
      <c r="G174" s="1446"/>
      <c r="H174" s="1446"/>
      <c r="I174" s="1446"/>
      <c r="J174" s="1446"/>
      <c r="K174" s="11"/>
      <c r="L174" s="11"/>
    </row>
    <row r="175" spans="1:12" ht="18" hidden="1" customHeight="1" x14ac:dyDescent="0.25">
      <c r="A175" s="80" t="s">
        <v>80</v>
      </c>
      <c r="B175" s="81"/>
      <c r="C175" s="307">
        <v>244</v>
      </c>
      <c r="D175" s="307"/>
      <c r="E175" s="307"/>
      <c r="F175" s="85"/>
      <c r="G175" s="85"/>
      <c r="H175" s="85"/>
      <c r="I175" s="85"/>
      <c r="J175" s="85"/>
      <c r="K175" s="11"/>
      <c r="L175" s="11"/>
    </row>
    <row r="176" spans="1:12" ht="18" hidden="1" customHeight="1" x14ac:dyDescent="0.25">
      <c r="A176" s="80" t="s">
        <v>81</v>
      </c>
      <c r="B176" s="81"/>
      <c r="C176" s="81"/>
      <c r="D176" s="81"/>
      <c r="E176" s="86" t="s">
        <v>82</v>
      </c>
      <c r="F176" s="87"/>
      <c r="G176" s="86"/>
      <c r="H176" s="87"/>
      <c r="I176" s="87"/>
      <c r="J176" s="87"/>
      <c r="K176" s="11"/>
      <c r="L176" s="11"/>
    </row>
    <row r="177" spans="1:13" ht="18" hidden="1" customHeight="1" x14ac:dyDescent="0.25">
      <c r="A177" s="1442" t="s">
        <v>507</v>
      </c>
      <c r="B177" s="1442"/>
      <c r="C177" s="1442"/>
      <c r="D177" s="1442"/>
      <c r="E177" s="1442"/>
      <c r="F177" s="1442"/>
      <c r="G177" s="1442"/>
      <c r="H177" s="1442"/>
      <c r="I177" s="1442"/>
      <c r="J177" s="1442"/>
      <c r="K177" s="11"/>
      <c r="L177" s="11"/>
    </row>
    <row r="178" spans="1:13" ht="30" hidden="1" customHeight="1" x14ac:dyDescent="0.25">
      <c r="A178" s="717" t="s">
        <v>1</v>
      </c>
      <c r="B178" s="1346" t="s">
        <v>44</v>
      </c>
      <c r="C178" s="1346"/>
      <c r="D178" s="1346"/>
      <c r="E178" s="1346" t="s">
        <v>45</v>
      </c>
      <c r="F178" s="1346"/>
      <c r="G178" s="1346" t="s">
        <v>46</v>
      </c>
      <c r="H178" s="1346"/>
      <c r="I178" s="1346" t="s">
        <v>102</v>
      </c>
      <c r="J178" s="1346"/>
      <c r="K178" s="135"/>
      <c r="L178" s="11"/>
    </row>
    <row r="179" spans="1:13" ht="17.25" hidden="1" customHeight="1" x14ac:dyDescent="0.25">
      <c r="A179" s="717">
        <v>1</v>
      </c>
      <c r="B179" s="1346">
        <v>2</v>
      </c>
      <c r="C179" s="1346"/>
      <c r="D179" s="1346"/>
      <c r="E179" s="1346">
        <v>3</v>
      </c>
      <c r="F179" s="1346"/>
      <c r="G179" s="1346">
        <v>4</v>
      </c>
      <c r="H179" s="1346"/>
      <c r="I179" s="1346">
        <v>5</v>
      </c>
      <c r="J179" s="1346"/>
      <c r="K179" s="11"/>
      <c r="L179" s="11"/>
    </row>
    <row r="180" spans="1:13" ht="21.75" hidden="1" customHeight="1" x14ac:dyDescent="0.25">
      <c r="A180" s="728" t="s">
        <v>70</v>
      </c>
      <c r="B180" s="1402" t="s">
        <v>508</v>
      </c>
      <c r="C180" s="1403"/>
      <c r="D180" s="1404"/>
      <c r="E180" s="1387">
        <v>5000</v>
      </c>
      <c r="F180" s="1388"/>
      <c r="G180" s="1387">
        <v>1</v>
      </c>
      <c r="H180" s="1388"/>
      <c r="I180" s="1475">
        <v>0</v>
      </c>
      <c r="J180" s="1476"/>
      <c r="K180" s="11"/>
      <c r="L180" s="136"/>
    </row>
    <row r="181" spans="1:13" ht="38.25" hidden="1" customHeight="1" x14ac:dyDescent="0.25">
      <c r="A181" s="728" t="s">
        <v>75</v>
      </c>
      <c r="B181" s="1447" t="s">
        <v>487</v>
      </c>
      <c r="C181" s="1448"/>
      <c r="D181" s="1449"/>
      <c r="E181" s="1387">
        <v>1625</v>
      </c>
      <c r="F181" s="1388"/>
      <c r="G181" s="1387">
        <v>2</v>
      </c>
      <c r="H181" s="1388"/>
      <c r="I181" s="1475">
        <v>0</v>
      </c>
      <c r="J181" s="1476"/>
      <c r="K181" s="11"/>
      <c r="L181" s="136"/>
    </row>
    <row r="182" spans="1:13" ht="15" hidden="1" customHeight="1" x14ac:dyDescent="0.25">
      <c r="A182" s="237"/>
      <c r="B182" s="1509" t="s">
        <v>13</v>
      </c>
      <c r="C182" s="1509"/>
      <c r="D182" s="1509"/>
      <c r="E182" s="1510" t="s">
        <v>14</v>
      </c>
      <c r="F182" s="1510"/>
      <c r="G182" s="1510" t="s">
        <v>14</v>
      </c>
      <c r="H182" s="1510"/>
      <c r="I182" s="1511">
        <f>I180+I181</f>
        <v>0</v>
      </c>
      <c r="J182" s="1511"/>
      <c r="K182" s="11"/>
      <c r="L182" s="11"/>
      <c r="M182" s="14"/>
    </row>
    <row r="183" spans="1:13" ht="29.25" customHeight="1" x14ac:dyDescent="0.25">
      <c r="A183" s="1446" t="s">
        <v>49</v>
      </c>
      <c r="B183" s="1446"/>
      <c r="C183" s="1446"/>
      <c r="D183" s="1446"/>
      <c r="E183" s="1446"/>
      <c r="F183" s="1446"/>
      <c r="G183" s="1446"/>
      <c r="H183" s="1446"/>
      <c r="I183" s="1446"/>
      <c r="J183" s="1446"/>
      <c r="K183" s="11"/>
      <c r="L183" s="11"/>
      <c r="M183" s="14"/>
    </row>
    <row r="184" spans="1:13" ht="19.5" customHeight="1" x14ac:dyDescent="0.25">
      <c r="A184" s="80" t="s">
        <v>80</v>
      </c>
      <c r="B184" s="81"/>
      <c r="C184" s="307" t="s">
        <v>750</v>
      </c>
      <c r="D184" s="307"/>
      <c r="E184" s="307"/>
      <c r="F184" s="85"/>
      <c r="G184" s="85"/>
      <c r="H184" s="85"/>
      <c r="I184" s="85"/>
      <c r="J184" s="85"/>
      <c r="K184" s="11"/>
      <c r="L184" s="11"/>
      <c r="M184" s="14"/>
    </row>
    <row r="185" spans="1:13" ht="17.25" customHeight="1" x14ac:dyDescent="0.25">
      <c r="A185" s="80" t="s">
        <v>81</v>
      </c>
      <c r="B185" s="81"/>
      <c r="C185" s="81"/>
      <c r="D185" s="81"/>
      <c r="E185" s="86" t="s">
        <v>82</v>
      </c>
      <c r="F185" s="87"/>
      <c r="G185" s="86"/>
      <c r="H185" s="87"/>
      <c r="I185" s="87"/>
      <c r="J185" s="87"/>
      <c r="K185" s="11"/>
      <c r="L185" s="11"/>
      <c r="M185" s="14"/>
    </row>
    <row r="186" spans="1:13" ht="17.25" customHeight="1" x14ac:dyDescent="0.25">
      <c r="A186" s="1446" t="s">
        <v>294</v>
      </c>
      <c r="B186" s="1446"/>
      <c r="C186" s="1446"/>
      <c r="D186" s="1446"/>
      <c r="E186" s="1446"/>
      <c r="F186" s="1446"/>
      <c r="G186" s="1446"/>
      <c r="H186" s="1446"/>
      <c r="I186" s="1446"/>
      <c r="J186" s="1446"/>
      <c r="K186" s="11"/>
      <c r="L186" s="11"/>
      <c r="M186" s="14"/>
    </row>
    <row r="187" spans="1:13" ht="39.75" customHeight="1" x14ac:dyDescent="0.25">
      <c r="A187" s="717" t="s">
        <v>1</v>
      </c>
      <c r="B187" s="1346" t="s">
        <v>15</v>
      </c>
      <c r="C187" s="1346"/>
      <c r="D187" s="1346"/>
      <c r="E187" s="717" t="s">
        <v>50</v>
      </c>
      <c r="F187" s="717" t="s">
        <v>51</v>
      </c>
      <c r="G187" s="1346" t="s">
        <v>52</v>
      </c>
      <c r="H187" s="1346"/>
      <c r="I187" s="1346" t="s">
        <v>104</v>
      </c>
      <c r="J187" s="1346"/>
      <c r="K187" s="11"/>
      <c r="L187" s="11"/>
      <c r="M187" s="14"/>
    </row>
    <row r="188" spans="1:13" ht="15" customHeight="1" x14ac:dyDescent="0.25">
      <c r="A188" s="717">
        <v>1</v>
      </c>
      <c r="B188" s="1346">
        <v>2</v>
      </c>
      <c r="C188" s="1346"/>
      <c r="D188" s="1346"/>
      <c r="E188" s="717">
        <v>3</v>
      </c>
      <c r="F188" s="717">
        <v>4</v>
      </c>
      <c r="G188" s="1346">
        <v>5</v>
      </c>
      <c r="H188" s="1346"/>
      <c r="I188" s="1346">
        <v>6</v>
      </c>
      <c r="J188" s="1346"/>
      <c r="K188" s="11"/>
      <c r="L188" s="11"/>
      <c r="M188" s="14"/>
    </row>
    <row r="189" spans="1:13" ht="14.25" customHeight="1" x14ac:dyDescent="0.25">
      <c r="A189" s="733">
        <v>1</v>
      </c>
      <c r="B189" s="1357" t="s">
        <v>768</v>
      </c>
      <c r="C189" s="1358"/>
      <c r="D189" s="1359"/>
      <c r="E189" s="146" t="s">
        <v>74</v>
      </c>
      <c r="F189" s="146" t="s">
        <v>74</v>
      </c>
      <c r="G189" s="1469" t="s">
        <v>74</v>
      </c>
      <c r="H189" s="1469"/>
      <c r="I189" s="1470">
        <f>I190+I191+I192+I193</f>
        <v>3000</v>
      </c>
      <c r="J189" s="1470"/>
      <c r="K189" s="11"/>
      <c r="L189" s="11"/>
      <c r="M189" s="14"/>
    </row>
    <row r="190" spans="1:13" ht="15" customHeight="1" x14ac:dyDescent="0.25">
      <c r="A190" s="728" t="s">
        <v>342</v>
      </c>
      <c r="B190" s="1386" t="s">
        <v>769</v>
      </c>
      <c r="C190" s="1386"/>
      <c r="D190" s="1386"/>
      <c r="E190" s="728">
        <v>1</v>
      </c>
      <c r="F190" s="728">
        <v>1</v>
      </c>
      <c r="G190" s="1471">
        <v>0</v>
      </c>
      <c r="H190" s="1471"/>
      <c r="I190" s="1468">
        <v>3000</v>
      </c>
      <c r="J190" s="1468"/>
      <c r="K190" s="13"/>
      <c r="L190" s="13"/>
      <c r="M190" s="14"/>
    </row>
    <row r="191" spans="1:13" hidden="1" x14ac:dyDescent="0.25">
      <c r="A191" s="728" t="s">
        <v>343</v>
      </c>
      <c r="B191" s="1386" t="s">
        <v>95</v>
      </c>
      <c r="C191" s="1386"/>
      <c r="D191" s="1386"/>
      <c r="E191" s="728"/>
      <c r="F191" s="728"/>
      <c r="G191" s="1472"/>
      <c r="H191" s="1472"/>
      <c r="I191" s="1468"/>
      <c r="J191" s="1468"/>
      <c r="M191" s="14"/>
    </row>
    <row r="192" spans="1:13" hidden="1" x14ac:dyDescent="0.25">
      <c r="A192" s="728" t="s">
        <v>344</v>
      </c>
      <c r="B192" s="1386" t="s">
        <v>96</v>
      </c>
      <c r="C192" s="1386"/>
      <c r="D192" s="1386"/>
      <c r="E192" s="728"/>
      <c r="F192" s="728"/>
      <c r="G192" s="1467"/>
      <c r="H192" s="1467"/>
      <c r="I192" s="1473"/>
      <c r="J192" s="1473"/>
      <c r="M192" s="14"/>
    </row>
    <row r="193" spans="1:14" hidden="1" x14ac:dyDescent="0.25">
      <c r="A193" s="728" t="s">
        <v>264</v>
      </c>
      <c r="B193" s="1386" t="s">
        <v>199</v>
      </c>
      <c r="C193" s="1386"/>
      <c r="D193" s="1386"/>
      <c r="E193" s="728"/>
      <c r="F193" s="728"/>
      <c r="G193" s="1467"/>
      <c r="H193" s="1467"/>
      <c r="I193" s="1468"/>
      <c r="J193" s="1468"/>
      <c r="M193" s="14"/>
    </row>
    <row r="194" spans="1:14" hidden="1" x14ac:dyDescent="0.25">
      <c r="A194" s="733">
        <v>2</v>
      </c>
      <c r="B194" s="1357" t="s">
        <v>345</v>
      </c>
      <c r="C194" s="1358"/>
      <c r="D194" s="1359"/>
      <c r="E194" s="146" t="s">
        <v>74</v>
      </c>
      <c r="F194" s="146" t="s">
        <v>74</v>
      </c>
      <c r="G194" s="1469" t="s">
        <v>74</v>
      </c>
      <c r="H194" s="1469"/>
      <c r="I194" s="1470">
        <f>I195</f>
        <v>0</v>
      </c>
      <c r="J194" s="1470"/>
      <c r="M194" s="14"/>
    </row>
    <row r="195" spans="1:14" s="41" customFormat="1" ht="19.5" hidden="1" customHeight="1" x14ac:dyDescent="0.25">
      <c r="A195" s="728" t="s">
        <v>346</v>
      </c>
      <c r="B195" s="1386" t="s">
        <v>199</v>
      </c>
      <c r="C195" s="1386"/>
      <c r="D195" s="1386"/>
      <c r="E195" s="728">
        <v>1</v>
      </c>
      <c r="F195" s="728">
        <v>10</v>
      </c>
      <c r="G195" s="1467">
        <v>25000</v>
      </c>
      <c r="H195" s="1467"/>
      <c r="I195" s="1468"/>
      <c r="J195" s="1468"/>
    </row>
    <row r="196" spans="1:14" ht="16.5" customHeight="1" x14ac:dyDescent="0.25">
      <c r="A196" s="728"/>
      <c r="B196" s="1338" t="s">
        <v>772</v>
      </c>
      <c r="C196" s="1338"/>
      <c r="D196" s="1338"/>
      <c r="E196" s="715" t="s">
        <v>14</v>
      </c>
      <c r="F196" s="715" t="s">
        <v>14</v>
      </c>
      <c r="G196" s="1341" t="s">
        <v>14</v>
      </c>
      <c r="H196" s="1341"/>
      <c r="I196" s="1347">
        <f>I189+I194</f>
        <v>3000</v>
      </c>
      <c r="J196" s="1341"/>
      <c r="K196" s="124">
        <v>2400</v>
      </c>
      <c r="N196" s="126"/>
    </row>
    <row r="197" spans="1:14" ht="12" customHeight="1" x14ac:dyDescent="0.25">
      <c r="A197" s="88"/>
      <c r="B197" s="81"/>
      <c r="C197" s="81"/>
      <c r="D197" s="81"/>
      <c r="E197" s="81"/>
      <c r="F197" s="81"/>
      <c r="G197" s="81"/>
      <c r="H197" s="81"/>
      <c r="I197" s="81"/>
      <c r="J197" s="81"/>
      <c r="K197" s="14"/>
      <c r="M197" s="73"/>
    </row>
    <row r="198" spans="1:14" ht="18.75" hidden="1" customHeight="1" x14ac:dyDescent="0.25">
      <c r="A198" s="1446" t="s">
        <v>278</v>
      </c>
      <c r="B198" s="1446"/>
      <c r="C198" s="1446"/>
      <c r="D198" s="1446"/>
      <c r="E198" s="1446"/>
      <c r="F198" s="1446"/>
      <c r="G198" s="1446"/>
      <c r="H198" s="1446"/>
      <c r="I198" s="1446"/>
      <c r="J198" s="1446"/>
      <c r="K198" s="14"/>
      <c r="M198" s="73"/>
    </row>
    <row r="199" spans="1:14" ht="12.75" hidden="1" customHeight="1" x14ac:dyDescent="0.25">
      <c r="A199" s="717" t="s">
        <v>1</v>
      </c>
      <c r="B199" s="1346" t="s">
        <v>15</v>
      </c>
      <c r="C199" s="1346"/>
      <c r="D199" s="1346"/>
      <c r="E199" s="1346" t="s">
        <v>53</v>
      </c>
      <c r="F199" s="1346"/>
      <c r="G199" s="1346" t="s">
        <v>54</v>
      </c>
      <c r="H199" s="1346"/>
      <c r="I199" s="1346" t="s">
        <v>260</v>
      </c>
      <c r="J199" s="1346"/>
      <c r="K199" s="14"/>
      <c r="M199" s="73"/>
    </row>
    <row r="200" spans="1:14" ht="15" hidden="1" customHeight="1" x14ac:dyDescent="0.25">
      <c r="A200" s="717">
        <v>1</v>
      </c>
      <c r="B200" s="1346">
        <v>2</v>
      </c>
      <c r="C200" s="1346"/>
      <c r="D200" s="1346"/>
      <c r="E200" s="1346">
        <v>3</v>
      </c>
      <c r="F200" s="1346"/>
      <c r="G200" s="1346">
        <v>4</v>
      </c>
      <c r="H200" s="1346"/>
      <c r="I200" s="1346">
        <v>5</v>
      </c>
      <c r="J200" s="1346"/>
      <c r="K200" s="14"/>
      <c r="M200" s="73"/>
    </row>
    <row r="201" spans="1:14" ht="17.25" hidden="1" customHeight="1" x14ac:dyDescent="0.25">
      <c r="A201" s="728">
        <v>1</v>
      </c>
      <c r="B201" s="1463" t="s">
        <v>322</v>
      </c>
      <c r="C201" s="1464"/>
      <c r="D201" s="1465"/>
      <c r="E201" s="1445"/>
      <c r="F201" s="1445"/>
      <c r="G201" s="1466"/>
      <c r="H201" s="1466"/>
      <c r="I201" s="1466">
        <f>E201*G201</f>
        <v>0</v>
      </c>
      <c r="J201" s="1466"/>
      <c r="K201" s="14"/>
      <c r="M201" s="73"/>
    </row>
    <row r="202" spans="1:14" hidden="1" x14ac:dyDescent="0.25">
      <c r="A202" s="728"/>
      <c r="B202" s="1338" t="s">
        <v>13</v>
      </c>
      <c r="C202" s="1338"/>
      <c r="D202" s="1338"/>
      <c r="E202" s="1341" t="s">
        <v>74</v>
      </c>
      <c r="F202" s="1341"/>
      <c r="G202" s="1341" t="s">
        <v>74</v>
      </c>
      <c r="H202" s="1341"/>
      <c r="I202" s="1385">
        <f>I201</f>
        <v>0</v>
      </c>
      <c r="J202" s="1341"/>
    </row>
    <row r="203" spans="1:14" ht="24" customHeight="1" x14ac:dyDescent="0.25">
      <c r="A203" s="1446" t="s">
        <v>274</v>
      </c>
      <c r="B203" s="1446"/>
      <c r="C203" s="1446"/>
      <c r="D203" s="1446"/>
      <c r="E203" s="1446"/>
      <c r="F203" s="1446"/>
      <c r="G203" s="1446"/>
      <c r="H203" s="1446"/>
      <c r="I203" s="1446"/>
      <c r="J203" s="1446"/>
    </row>
    <row r="204" spans="1:14" s="41" customFormat="1" ht="25.5" customHeight="1" x14ac:dyDescent="0.2">
      <c r="A204" s="717" t="s">
        <v>1</v>
      </c>
      <c r="B204" s="1346" t="s">
        <v>44</v>
      </c>
      <c r="C204" s="1346"/>
      <c r="D204" s="1346"/>
      <c r="E204" s="717" t="s">
        <v>55</v>
      </c>
      <c r="F204" s="1346" t="s">
        <v>56</v>
      </c>
      <c r="G204" s="1346"/>
      <c r="H204" s="717" t="s">
        <v>57</v>
      </c>
      <c r="I204" s="1346" t="s">
        <v>104</v>
      </c>
      <c r="J204" s="1346"/>
    </row>
    <row r="205" spans="1:14" s="41" customFormat="1" ht="12.75" x14ac:dyDescent="0.2">
      <c r="A205" s="717">
        <v>1</v>
      </c>
      <c r="B205" s="1346">
        <v>2</v>
      </c>
      <c r="C205" s="1346"/>
      <c r="D205" s="1346"/>
      <c r="E205" s="717">
        <v>3</v>
      </c>
      <c r="F205" s="1346">
        <v>4</v>
      </c>
      <c r="G205" s="1346"/>
      <c r="H205" s="717">
        <v>5</v>
      </c>
      <c r="I205" s="1346">
        <v>6</v>
      </c>
      <c r="J205" s="1346"/>
    </row>
    <row r="206" spans="1:14" ht="15" hidden="1" customHeight="1" x14ac:dyDescent="0.25">
      <c r="A206" s="733">
        <v>1</v>
      </c>
      <c r="B206" s="1357" t="s">
        <v>151</v>
      </c>
      <c r="C206" s="1358"/>
      <c r="D206" s="1359"/>
      <c r="E206" s="90">
        <f>E207+E208</f>
        <v>0</v>
      </c>
      <c r="F206" s="1460"/>
      <c r="G206" s="1461"/>
      <c r="H206" s="91">
        <f>F208/F207-100%</f>
        <v>3.5000412984224072E-2</v>
      </c>
      <c r="I206" s="1462">
        <f>I207+I208</f>
        <v>0</v>
      </c>
      <c r="J206" s="1462"/>
      <c r="K206" s="14"/>
    </row>
    <row r="207" spans="1:14" ht="15" hidden="1" customHeight="1" x14ac:dyDescent="0.25">
      <c r="A207" s="728"/>
      <c r="B207" s="1445" t="s">
        <v>100</v>
      </c>
      <c r="C207" s="1445"/>
      <c r="D207" s="1445"/>
      <c r="E207" s="729"/>
      <c r="F207" s="1373">
        <v>1937.12</v>
      </c>
      <c r="G207" s="1374"/>
      <c r="H207" s="728"/>
      <c r="I207" s="1459">
        <f>E207*F207</f>
        <v>0</v>
      </c>
      <c r="J207" s="1459"/>
      <c r="K207" s="14"/>
    </row>
    <row r="208" spans="1:14" ht="15" hidden="1" customHeight="1" x14ac:dyDescent="0.25">
      <c r="A208" s="728"/>
      <c r="B208" s="1445" t="s">
        <v>101</v>
      </c>
      <c r="C208" s="1445"/>
      <c r="D208" s="1445"/>
      <c r="E208" s="729"/>
      <c r="F208" s="1373">
        <v>2004.92</v>
      </c>
      <c r="G208" s="1374"/>
      <c r="H208" s="728"/>
      <c r="I208" s="1459">
        <f>E208*F208</f>
        <v>0</v>
      </c>
      <c r="J208" s="1459"/>
      <c r="K208" s="14"/>
    </row>
    <row r="209" spans="1:13" ht="34.5" hidden="1" customHeight="1" x14ac:dyDescent="0.25">
      <c r="A209" s="733">
        <v>2</v>
      </c>
      <c r="B209" s="1357" t="s">
        <v>523</v>
      </c>
      <c r="C209" s="1358"/>
      <c r="D209" s="1359"/>
      <c r="E209" s="90">
        <f>E210+E211</f>
        <v>0</v>
      </c>
      <c r="F209" s="1460"/>
      <c r="G209" s="1461"/>
      <c r="H209" s="91">
        <f>F211/F210-100%</f>
        <v>3.5040944581984368E-2</v>
      </c>
      <c r="I209" s="1462">
        <f>I210+I211</f>
        <v>0</v>
      </c>
      <c r="J209" s="1462"/>
      <c r="K209" s="14"/>
    </row>
    <row r="210" spans="1:13" ht="15" hidden="1" customHeight="1" x14ac:dyDescent="0.25">
      <c r="A210" s="728"/>
      <c r="B210" s="1445" t="s">
        <v>100</v>
      </c>
      <c r="C210" s="1445"/>
      <c r="D210" s="1445"/>
      <c r="E210" s="729"/>
      <c r="F210" s="1373">
        <v>52.51</v>
      </c>
      <c r="G210" s="1374"/>
      <c r="H210" s="728"/>
      <c r="I210" s="1459">
        <f>E210*F210</f>
        <v>0</v>
      </c>
      <c r="J210" s="1459"/>
      <c r="K210" s="14"/>
    </row>
    <row r="211" spans="1:13" ht="15" hidden="1" customHeight="1" x14ac:dyDescent="0.25">
      <c r="A211" s="728"/>
      <c r="B211" s="1445" t="s">
        <v>101</v>
      </c>
      <c r="C211" s="1445"/>
      <c r="D211" s="1445"/>
      <c r="E211" s="729"/>
      <c r="F211" s="1373">
        <v>54.35</v>
      </c>
      <c r="G211" s="1374"/>
      <c r="H211" s="728"/>
      <c r="I211" s="1459">
        <f>E211*F211</f>
        <v>0</v>
      </c>
      <c r="J211" s="1459"/>
      <c r="K211" s="99"/>
    </row>
    <row r="212" spans="1:13" ht="15" hidden="1" customHeight="1" x14ac:dyDescent="0.25">
      <c r="A212" s="733">
        <v>3</v>
      </c>
      <c r="B212" s="1357" t="s">
        <v>524</v>
      </c>
      <c r="C212" s="1358"/>
      <c r="D212" s="1359"/>
      <c r="E212" s="90">
        <f>E213+E214</f>
        <v>0</v>
      </c>
      <c r="F212" s="1460"/>
      <c r="G212" s="1461"/>
      <c r="H212" s="91">
        <f>F214/F213-100%</f>
        <v>3.5000412984224072E-2</v>
      </c>
      <c r="I212" s="1626">
        <f>I213+I214</f>
        <v>0</v>
      </c>
      <c r="J212" s="1627"/>
      <c r="K212" s="99"/>
    </row>
    <row r="213" spans="1:13" ht="15" hidden="1" customHeight="1" x14ac:dyDescent="0.25">
      <c r="A213" s="728"/>
      <c r="B213" s="1445" t="s">
        <v>100</v>
      </c>
      <c r="C213" s="1445"/>
      <c r="D213" s="1445"/>
      <c r="E213" s="729"/>
      <c r="F213" s="1373">
        <v>1937.12</v>
      </c>
      <c r="G213" s="1374"/>
      <c r="H213" s="728"/>
      <c r="I213" s="1459">
        <f>E213*F213</f>
        <v>0</v>
      </c>
      <c r="J213" s="1459"/>
      <c r="K213" s="99"/>
    </row>
    <row r="214" spans="1:13" ht="15" hidden="1" customHeight="1" x14ac:dyDescent="0.25">
      <c r="A214" s="728"/>
      <c r="B214" s="1445" t="s">
        <v>101</v>
      </c>
      <c r="C214" s="1445"/>
      <c r="D214" s="1445"/>
      <c r="E214" s="729"/>
      <c r="F214" s="1373">
        <v>2004.92</v>
      </c>
      <c r="G214" s="1374"/>
      <c r="H214" s="728"/>
      <c r="I214" s="1459">
        <f>E214*F214</f>
        <v>0</v>
      </c>
      <c r="J214" s="1459"/>
      <c r="K214" s="99"/>
    </row>
    <row r="215" spans="1:13" ht="15" customHeight="1" x14ac:dyDescent="0.25">
      <c r="A215" s="733">
        <v>1</v>
      </c>
      <c r="B215" s="1357" t="s">
        <v>153</v>
      </c>
      <c r="C215" s="1358"/>
      <c r="D215" s="1359"/>
      <c r="E215" s="90">
        <f>E216+E217</f>
        <v>54</v>
      </c>
      <c r="F215" s="1460"/>
      <c r="G215" s="1461"/>
      <c r="H215" s="91">
        <f>F217/F216-100%</f>
        <v>-1</v>
      </c>
      <c r="I215" s="1462">
        <f>I216+I217</f>
        <v>3900</v>
      </c>
      <c r="J215" s="1462"/>
      <c r="K215" s="14">
        <v>883.3</v>
      </c>
    </row>
    <row r="216" spans="1:13" ht="15" customHeight="1" x14ac:dyDescent="0.25">
      <c r="A216" s="728"/>
      <c r="B216" s="1445" t="s">
        <v>100</v>
      </c>
      <c r="C216" s="1445"/>
      <c r="D216" s="1445"/>
      <c r="E216" s="729">
        <v>54</v>
      </c>
      <c r="F216" s="1044">
        <v>71.53</v>
      </c>
      <c r="G216" s="1045"/>
      <c r="H216" s="728"/>
      <c r="I216" s="1459">
        <f>E216*F216+37.38</f>
        <v>3900</v>
      </c>
      <c r="J216" s="1459"/>
      <c r="K216" s="14"/>
    </row>
    <row r="217" spans="1:13" ht="15" customHeight="1" x14ac:dyDescent="0.25">
      <c r="A217" s="728"/>
      <c r="B217" s="1445" t="s">
        <v>101</v>
      </c>
      <c r="C217" s="1445"/>
      <c r="D217" s="1445"/>
      <c r="E217" s="729">
        <v>0</v>
      </c>
      <c r="F217" s="1044"/>
      <c r="G217" s="1045"/>
      <c r="H217" s="728"/>
      <c r="I217" s="1459">
        <f>E217*F217</f>
        <v>0</v>
      </c>
      <c r="J217" s="1459"/>
      <c r="K217" s="14"/>
    </row>
    <row r="218" spans="1:13" ht="15" customHeight="1" x14ac:dyDescent="0.25">
      <c r="A218" s="733">
        <v>2</v>
      </c>
      <c r="B218" s="1357" t="s">
        <v>154</v>
      </c>
      <c r="C218" s="1358"/>
      <c r="D218" s="1359"/>
      <c r="E218" s="90">
        <f>E219+E220</f>
        <v>51</v>
      </c>
      <c r="F218" s="1460"/>
      <c r="G218" s="1461"/>
      <c r="H218" s="91">
        <f>F220/F219-100%</f>
        <v>-1</v>
      </c>
      <c r="I218" s="1462">
        <f>I219+I220</f>
        <v>4400</v>
      </c>
      <c r="J218" s="1462"/>
      <c r="K218" s="166">
        <f>I218+I215</f>
        <v>8300</v>
      </c>
    </row>
    <row r="219" spans="1:13" ht="15" customHeight="1" x14ac:dyDescent="0.35">
      <c r="A219" s="728"/>
      <c r="B219" s="1445" t="s">
        <v>100</v>
      </c>
      <c r="C219" s="1445"/>
      <c r="D219" s="1445"/>
      <c r="E219" s="729">
        <v>51</v>
      </c>
      <c r="F219" s="1044">
        <v>85.34</v>
      </c>
      <c r="G219" s="1045"/>
      <c r="H219" s="728"/>
      <c r="I219" s="1459">
        <f>E219*F219+47.66</f>
        <v>4400</v>
      </c>
      <c r="J219" s="1459"/>
      <c r="K219" s="137"/>
    </row>
    <row r="220" spans="1:13" ht="15" customHeight="1" x14ac:dyDescent="0.25">
      <c r="A220" s="728"/>
      <c r="B220" s="1445" t="s">
        <v>101</v>
      </c>
      <c r="C220" s="1445"/>
      <c r="D220" s="1445"/>
      <c r="E220" s="729">
        <v>0</v>
      </c>
      <c r="F220" s="1044"/>
      <c r="G220" s="1045"/>
      <c r="H220" s="728"/>
      <c r="I220" s="1459">
        <f>E220*F220</f>
        <v>0</v>
      </c>
      <c r="J220" s="1459"/>
      <c r="K220" s="15">
        <v>0</v>
      </c>
    </row>
    <row r="221" spans="1:13" ht="15" customHeight="1" x14ac:dyDescent="0.25">
      <c r="A221" s="733">
        <v>3</v>
      </c>
      <c r="B221" s="1357" t="s">
        <v>155</v>
      </c>
      <c r="C221" s="1358"/>
      <c r="D221" s="1359"/>
      <c r="E221" s="742">
        <f>E222+E223</f>
        <v>500</v>
      </c>
      <c r="F221" s="1460"/>
      <c r="G221" s="1461"/>
      <c r="H221" s="91">
        <f>F223/F222-100%</f>
        <v>-1</v>
      </c>
      <c r="I221" s="1462">
        <f>I222+I223</f>
        <v>4900</v>
      </c>
      <c r="J221" s="1462"/>
      <c r="K221" s="14">
        <v>3100</v>
      </c>
      <c r="L221" s="1">
        <v>11717.12</v>
      </c>
      <c r="M221" s="1">
        <f>K221+L221</f>
        <v>14817.12</v>
      </c>
    </row>
    <row r="222" spans="1:13" ht="15" customHeight="1" x14ac:dyDescent="0.25">
      <c r="A222" s="728"/>
      <c r="B222" s="1445" t="s">
        <v>100</v>
      </c>
      <c r="C222" s="1445"/>
      <c r="D222" s="1445"/>
      <c r="E222" s="718">
        <v>500</v>
      </c>
      <c r="F222" s="1044">
        <v>9.7799999999999994</v>
      </c>
      <c r="G222" s="1045"/>
      <c r="H222" s="728"/>
      <c r="I222" s="1459">
        <f>E222*F222+10</f>
        <v>4900</v>
      </c>
      <c r="J222" s="1459"/>
      <c r="K222" s="14"/>
    </row>
    <row r="223" spans="1:13" ht="15" customHeight="1" x14ac:dyDescent="0.25">
      <c r="A223" s="728"/>
      <c r="B223" s="1445" t="s">
        <v>101</v>
      </c>
      <c r="C223" s="1445"/>
      <c r="D223" s="1445"/>
      <c r="E223" s="718"/>
      <c r="F223" s="1044"/>
      <c r="G223" s="1045"/>
      <c r="H223" s="728"/>
      <c r="I223" s="1459">
        <f>E223*F223</f>
        <v>0</v>
      </c>
      <c r="J223" s="1459"/>
    </row>
    <row r="224" spans="1:13" ht="15" hidden="1" customHeight="1" x14ac:dyDescent="0.25">
      <c r="A224" s="733">
        <v>7</v>
      </c>
      <c r="B224" s="1357" t="s">
        <v>371</v>
      </c>
      <c r="C224" s="1358"/>
      <c r="D224" s="1359"/>
      <c r="E224" s="742">
        <f>E225+E226</f>
        <v>0</v>
      </c>
      <c r="F224" s="1460"/>
      <c r="G224" s="1461"/>
      <c r="H224" s="91">
        <v>0</v>
      </c>
      <c r="I224" s="1462">
        <f>I225+I226</f>
        <v>0</v>
      </c>
      <c r="J224" s="1462"/>
      <c r="K224" s="126"/>
    </row>
    <row r="225" spans="1:12" ht="15" hidden="1" customHeight="1" x14ac:dyDescent="0.25">
      <c r="A225" s="728"/>
      <c r="B225" s="1445" t="s">
        <v>100</v>
      </c>
      <c r="C225" s="1445"/>
      <c r="D225" s="1445"/>
      <c r="E225" s="718"/>
      <c r="F225" s="1373">
        <v>747.07</v>
      </c>
      <c r="G225" s="1374"/>
      <c r="H225" s="728"/>
      <c r="I225" s="1459">
        <f>E225*F225</f>
        <v>0</v>
      </c>
      <c r="J225" s="1459"/>
    </row>
    <row r="226" spans="1:12" ht="15" hidden="1" customHeight="1" x14ac:dyDescent="0.25">
      <c r="A226" s="728"/>
      <c r="B226" s="1445" t="s">
        <v>101</v>
      </c>
      <c r="C226" s="1445"/>
      <c r="D226" s="1445"/>
      <c r="E226" s="718"/>
      <c r="F226" s="1373">
        <v>747.07</v>
      </c>
      <c r="G226" s="1374"/>
      <c r="H226" s="728"/>
      <c r="I226" s="1459">
        <f>E226*F226</f>
        <v>0</v>
      </c>
      <c r="J226" s="1459"/>
    </row>
    <row r="227" spans="1:12" ht="15" customHeight="1" x14ac:dyDescent="0.25">
      <c r="A227" s="728"/>
      <c r="B227" s="1338" t="s">
        <v>13</v>
      </c>
      <c r="C227" s="1338"/>
      <c r="D227" s="1338"/>
      <c r="E227" s="715" t="s">
        <v>14</v>
      </c>
      <c r="F227" s="1341" t="s">
        <v>14</v>
      </c>
      <c r="G227" s="1341"/>
      <c r="H227" s="715" t="s">
        <v>14</v>
      </c>
      <c r="I227" s="1347">
        <f>I206+I209+I212+I215+I218+I221+I224</f>
        <v>13200</v>
      </c>
      <c r="J227" s="1347"/>
      <c r="K227" s="1">
        <v>6514</v>
      </c>
    </row>
    <row r="228" spans="1:12" s="41" customFormat="1" ht="19.5" hidden="1" customHeight="1" x14ac:dyDescent="0.25">
      <c r="A228" s="1446" t="s">
        <v>279</v>
      </c>
      <c r="B228" s="1446"/>
      <c r="C228" s="1446"/>
      <c r="D228" s="1446"/>
      <c r="E228" s="1446"/>
      <c r="F228" s="1446"/>
      <c r="G228" s="1446"/>
      <c r="H228" s="1446"/>
      <c r="I228" s="1446"/>
      <c r="J228" s="1446"/>
    </row>
    <row r="229" spans="1:12" s="41" customFormat="1" ht="15" hidden="1" customHeight="1" x14ac:dyDescent="0.2">
      <c r="A229" s="717" t="s">
        <v>1</v>
      </c>
      <c r="B229" s="1346" t="s">
        <v>44</v>
      </c>
      <c r="C229" s="1346"/>
      <c r="D229" s="1346"/>
      <c r="E229" s="1346" t="s">
        <v>58</v>
      </c>
      <c r="F229" s="1346"/>
      <c r="G229" s="1346" t="s">
        <v>59</v>
      </c>
      <c r="H229" s="1346"/>
      <c r="I229" s="1346" t="s">
        <v>60</v>
      </c>
      <c r="J229" s="1346"/>
    </row>
    <row r="230" spans="1:12" ht="15" hidden="1" customHeight="1" x14ac:dyDescent="0.25">
      <c r="A230" s="717">
        <v>1</v>
      </c>
      <c r="B230" s="1346">
        <v>2</v>
      </c>
      <c r="C230" s="1346"/>
      <c r="D230" s="1346"/>
      <c r="E230" s="1346">
        <v>3</v>
      </c>
      <c r="F230" s="1346"/>
      <c r="G230" s="1346">
        <v>4</v>
      </c>
      <c r="H230" s="1346"/>
      <c r="I230" s="1346">
        <v>5</v>
      </c>
      <c r="J230" s="1346"/>
      <c r="K230" s="15"/>
    </row>
    <row r="231" spans="1:12" ht="15" hidden="1" customHeight="1" x14ac:dyDescent="0.25">
      <c r="A231" s="728"/>
      <c r="B231" s="1387"/>
      <c r="C231" s="1444"/>
      <c r="D231" s="1388"/>
      <c r="E231" s="1445"/>
      <c r="F231" s="1445"/>
      <c r="G231" s="1445"/>
      <c r="H231" s="1445"/>
      <c r="I231" s="1445"/>
      <c r="J231" s="1445"/>
      <c r="K231" s="14"/>
    </row>
    <row r="232" spans="1:12" ht="15" hidden="1" customHeight="1" x14ac:dyDescent="0.25">
      <c r="A232" s="715"/>
      <c r="B232" s="1338" t="s">
        <v>13</v>
      </c>
      <c r="C232" s="1338"/>
      <c r="D232" s="1338"/>
      <c r="E232" s="1341" t="s">
        <v>14</v>
      </c>
      <c r="F232" s="1341"/>
      <c r="G232" s="1341" t="s">
        <v>14</v>
      </c>
      <c r="H232" s="1341"/>
      <c r="I232" s="1341"/>
      <c r="J232" s="1341"/>
    </row>
    <row r="233" spans="1:12" ht="16.5" customHeight="1" x14ac:dyDescent="0.25">
      <c r="A233" s="1446" t="s">
        <v>275</v>
      </c>
      <c r="B233" s="1446"/>
      <c r="C233" s="1446"/>
      <c r="D233" s="1446"/>
      <c r="E233" s="1446"/>
      <c r="F233" s="1446"/>
      <c r="G233" s="1446"/>
      <c r="H233" s="1446"/>
      <c r="I233" s="1446"/>
      <c r="J233" s="1446"/>
    </row>
    <row r="234" spans="1:12" ht="15" customHeight="1" x14ac:dyDescent="0.25">
      <c r="A234" s="1414" t="s">
        <v>1</v>
      </c>
      <c r="B234" s="1416" t="s">
        <v>15</v>
      </c>
      <c r="C234" s="1417"/>
      <c r="D234" s="1418"/>
      <c r="E234" s="1414" t="s">
        <v>61</v>
      </c>
      <c r="F234" s="1414" t="s">
        <v>62</v>
      </c>
      <c r="G234" s="1346" t="s">
        <v>63</v>
      </c>
      <c r="H234" s="1346"/>
      <c r="I234" s="1346"/>
      <c r="J234" s="1346"/>
    </row>
    <row r="235" spans="1:12" ht="24" customHeight="1" x14ac:dyDescent="0.25">
      <c r="A235" s="1415"/>
      <c r="B235" s="1419"/>
      <c r="C235" s="1420"/>
      <c r="D235" s="1421"/>
      <c r="E235" s="1415"/>
      <c r="F235" s="1415"/>
      <c r="G235" s="717" t="s">
        <v>298</v>
      </c>
      <c r="H235" s="717" t="s">
        <v>295</v>
      </c>
      <c r="I235" s="716" t="s">
        <v>296</v>
      </c>
      <c r="J235" s="717" t="s">
        <v>297</v>
      </c>
    </row>
    <row r="236" spans="1:12" ht="11.25" customHeight="1" x14ac:dyDescent="0.25">
      <c r="A236" s="717">
        <v>1</v>
      </c>
      <c r="B236" s="1346">
        <v>2</v>
      </c>
      <c r="C236" s="1346"/>
      <c r="D236" s="1346"/>
      <c r="E236" s="717">
        <v>3</v>
      </c>
      <c r="F236" s="717">
        <v>4</v>
      </c>
      <c r="G236" s="1344">
        <v>5</v>
      </c>
      <c r="H236" s="1392"/>
      <c r="I236" s="1392"/>
      <c r="J236" s="1345"/>
    </row>
    <row r="237" spans="1:12" ht="41.25" customHeight="1" x14ac:dyDescent="0.25">
      <c r="A237" s="728">
        <v>1</v>
      </c>
      <c r="B237" s="1040" t="s">
        <v>612</v>
      </c>
      <c r="C237" s="1040"/>
      <c r="D237" s="1040"/>
      <c r="E237" s="728" t="s">
        <v>535</v>
      </c>
      <c r="F237" s="728"/>
      <c r="G237" s="728"/>
      <c r="H237" s="728"/>
      <c r="I237" s="163"/>
      <c r="J237" s="704">
        <v>43300</v>
      </c>
    </row>
    <row r="238" spans="1:12" ht="18" customHeight="1" x14ac:dyDescent="0.25">
      <c r="A238" s="728">
        <v>2</v>
      </c>
      <c r="B238" s="1040" t="s">
        <v>662</v>
      </c>
      <c r="C238" s="1040"/>
      <c r="D238" s="1040"/>
      <c r="E238" s="728" t="s">
        <v>535</v>
      </c>
      <c r="F238" s="728">
        <v>1</v>
      </c>
      <c r="G238" s="728" t="s">
        <v>299</v>
      </c>
      <c r="H238" s="728">
        <v>1</v>
      </c>
      <c r="I238" s="163">
        <v>12000</v>
      </c>
      <c r="J238" s="704">
        <v>12000</v>
      </c>
    </row>
    <row r="239" spans="1:12" ht="0.75" hidden="1" customHeight="1" x14ac:dyDescent="0.25">
      <c r="A239" s="728">
        <v>3</v>
      </c>
      <c r="B239" s="1040" t="s">
        <v>660</v>
      </c>
      <c r="C239" s="1040"/>
      <c r="D239" s="1040"/>
      <c r="E239" s="676" t="s">
        <v>677</v>
      </c>
      <c r="F239" s="676">
        <v>1</v>
      </c>
      <c r="G239" s="676" t="s">
        <v>661</v>
      </c>
      <c r="H239" s="676">
        <v>1</v>
      </c>
      <c r="I239" s="163">
        <v>0</v>
      </c>
      <c r="J239" s="711">
        <v>0</v>
      </c>
      <c r="K239" s="157"/>
      <c r="L239" s="133"/>
    </row>
    <row r="240" spans="1:12" ht="24.75" customHeight="1" x14ac:dyDescent="0.25">
      <c r="A240" s="728">
        <v>3</v>
      </c>
      <c r="B240" s="1040" t="s">
        <v>731</v>
      </c>
      <c r="C240" s="1040"/>
      <c r="D240" s="1040"/>
      <c r="E240" s="676" t="s">
        <v>677</v>
      </c>
      <c r="F240" s="676">
        <v>1</v>
      </c>
      <c r="G240" s="676" t="s">
        <v>661</v>
      </c>
      <c r="H240" s="676">
        <v>1</v>
      </c>
      <c r="I240" s="163">
        <v>5000</v>
      </c>
      <c r="J240" s="704">
        <f>I240</f>
        <v>5000</v>
      </c>
      <c r="K240" s="157"/>
      <c r="L240" s="133"/>
    </row>
    <row r="241" spans="1:12" ht="17.25" hidden="1" customHeight="1" x14ac:dyDescent="0.25">
      <c r="A241" s="1621"/>
      <c r="B241" s="1057"/>
      <c r="C241" s="1058"/>
      <c r="D241" s="1059"/>
      <c r="E241" s="728"/>
      <c r="F241" s="200"/>
      <c r="G241" s="200"/>
      <c r="H241" s="200"/>
      <c r="I241" s="163"/>
      <c r="J241" s="704"/>
      <c r="K241" s="165"/>
    </row>
    <row r="242" spans="1:12" hidden="1" x14ac:dyDescent="0.25">
      <c r="A242" s="1622"/>
      <c r="B242" s="1623"/>
      <c r="C242" s="1624"/>
      <c r="D242" s="1625"/>
      <c r="E242" s="728"/>
      <c r="F242" s="200"/>
      <c r="G242" s="200"/>
      <c r="H242" s="200"/>
      <c r="I242" s="163"/>
      <c r="J242" s="704"/>
    </row>
    <row r="243" spans="1:12" ht="24" hidden="1" customHeight="1" x14ac:dyDescent="0.25">
      <c r="A243" s="728"/>
      <c r="B243" s="1040"/>
      <c r="C243" s="1040"/>
      <c r="D243" s="1040"/>
      <c r="E243" s="728"/>
      <c r="F243" s="728"/>
      <c r="G243" s="728"/>
      <c r="H243" s="728"/>
      <c r="I243" s="163"/>
      <c r="J243" s="704"/>
    </row>
    <row r="244" spans="1:12" ht="30" hidden="1" customHeight="1" x14ac:dyDescent="0.25">
      <c r="A244" s="728"/>
      <c r="B244" s="1450"/>
      <c r="C244" s="1450"/>
      <c r="D244" s="1450"/>
      <c r="E244" s="728"/>
      <c r="F244" s="728"/>
      <c r="G244" s="728"/>
      <c r="H244" s="728"/>
      <c r="I244" s="162"/>
      <c r="J244" s="424"/>
      <c r="K244" s="11"/>
      <c r="L244" s="11"/>
    </row>
    <row r="245" spans="1:12" ht="29.25" hidden="1" customHeight="1" x14ac:dyDescent="0.25">
      <c r="A245" s="728"/>
      <c r="B245" s="1040"/>
      <c r="C245" s="1040"/>
      <c r="D245" s="1040"/>
      <c r="E245" s="728"/>
      <c r="F245" s="728"/>
      <c r="G245" s="728"/>
      <c r="H245" s="728"/>
      <c r="I245" s="163"/>
      <c r="J245" s="704"/>
      <c r="K245" s="11"/>
      <c r="L245" s="11"/>
    </row>
    <row r="246" spans="1:12" ht="23.25" hidden="1" customHeight="1" x14ac:dyDescent="0.25">
      <c r="A246" s="728"/>
      <c r="B246" s="1040"/>
      <c r="C246" s="1040"/>
      <c r="D246" s="1040"/>
      <c r="E246" s="728"/>
      <c r="F246" s="728"/>
      <c r="G246" s="728"/>
      <c r="H246" s="728"/>
      <c r="I246" s="163"/>
      <c r="J246" s="704"/>
      <c r="K246" s="11"/>
      <c r="L246" s="11"/>
    </row>
    <row r="247" spans="1:12" ht="46.5" hidden="1" customHeight="1" x14ac:dyDescent="0.25">
      <c r="A247" s="728"/>
      <c r="B247" s="1040"/>
      <c r="C247" s="1040"/>
      <c r="D247" s="1040"/>
      <c r="E247" s="728"/>
      <c r="F247" s="728"/>
      <c r="G247" s="728"/>
      <c r="H247" s="728"/>
      <c r="I247" s="163"/>
      <c r="J247" s="704"/>
    </row>
    <row r="248" spans="1:12" ht="25.5" hidden="1" customHeight="1" x14ac:dyDescent="0.25">
      <c r="A248" s="728"/>
      <c r="B248" s="1017"/>
      <c r="C248" s="1451"/>
      <c r="D248" s="1452"/>
      <c r="E248" s="728"/>
      <c r="F248" s="728"/>
      <c r="G248" s="728"/>
      <c r="H248" s="728"/>
      <c r="I248" s="163"/>
      <c r="J248" s="704"/>
    </row>
    <row r="249" spans="1:12" ht="38.25" hidden="1" customHeight="1" x14ac:dyDescent="0.25">
      <c r="A249" s="728"/>
      <c r="B249" s="1040"/>
      <c r="C249" s="1040"/>
      <c r="D249" s="1040"/>
      <c r="E249" s="728"/>
      <c r="F249" s="728"/>
      <c r="G249" s="728"/>
      <c r="H249" s="728"/>
      <c r="I249" s="163"/>
      <c r="J249" s="704"/>
    </row>
    <row r="250" spans="1:12" ht="38.25" hidden="1" customHeight="1" x14ac:dyDescent="0.25">
      <c r="A250" s="728"/>
      <c r="B250" s="1017"/>
      <c r="C250" s="1018"/>
      <c r="D250" s="1019"/>
      <c r="E250" s="728"/>
      <c r="F250" s="728"/>
      <c r="G250" s="728"/>
      <c r="H250" s="728"/>
      <c r="I250" s="163"/>
      <c r="J250" s="704"/>
    </row>
    <row r="251" spans="1:12" ht="17.25" hidden="1" customHeight="1" x14ac:dyDescent="0.25">
      <c r="A251" s="728"/>
      <c r="B251" s="1017"/>
      <c r="C251" s="1018"/>
      <c r="D251" s="1019"/>
      <c r="E251" s="728"/>
      <c r="F251" s="728"/>
      <c r="G251" s="728"/>
      <c r="H251" s="728"/>
      <c r="I251" s="163"/>
      <c r="J251" s="704"/>
    </row>
    <row r="252" spans="1:12" ht="9.75" hidden="1" customHeight="1" x14ac:dyDescent="0.25">
      <c r="A252" s="728"/>
      <c r="B252" s="1026"/>
      <c r="C252" s="1052"/>
      <c r="D252" s="1027"/>
      <c r="E252" s="728"/>
      <c r="F252" s="728"/>
      <c r="G252" s="728"/>
      <c r="H252" s="728"/>
      <c r="I252" s="163"/>
      <c r="J252" s="704"/>
    </row>
    <row r="253" spans="1:12" ht="11.25" hidden="1" customHeight="1" x14ac:dyDescent="0.25">
      <c r="A253" s="728"/>
      <c r="B253" s="1026"/>
      <c r="C253" s="1052"/>
      <c r="D253" s="1027"/>
      <c r="E253" s="728"/>
      <c r="F253" s="728"/>
      <c r="G253" s="728"/>
      <c r="H253" s="728"/>
      <c r="I253" s="163"/>
      <c r="J253" s="704"/>
    </row>
    <row r="254" spans="1:12" x14ac:dyDescent="0.25">
      <c r="A254" s="715"/>
      <c r="B254" s="1338" t="s">
        <v>13</v>
      </c>
      <c r="C254" s="1338"/>
      <c r="D254" s="1338"/>
      <c r="E254" s="715" t="s">
        <v>14</v>
      </c>
      <c r="F254" s="715" t="s">
        <v>14</v>
      </c>
      <c r="G254" s="1396">
        <f>SUM(J237:J253)</f>
        <v>60300</v>
      </c>
      <c r="H254" s="1397"/>
      <c r="I254" s="1397"/>
      <c r="J254" s="1397"/>
    </row>
    <row r="255" spans="1:12" ht="17.25" customHeight="1" x14ac:dyDescent="0.25">
      <c r="A255" s="1446" t="s">
        <v>280</v>
      </c>
      <c r="B255" s="1446"/>
      <c r="C255" s="1446"/>
      <c r="D255" s="1446"/>
      <c r="E255" s="1446"/>
      <c r="F255" s="1446"/>
      <c r="G255" s="1446"/>
      <c r="H255" s="1446"/>
      <c r="I255" s="1446"/>
      <c r="J255" s="1446"/>
    </row>
    <row r="256" spans="1:12" ht="17.25" customHeight="1" x14ac:dyDescent="0.25">
      <c r="A256" s="1414" t="s">
        <v>1</v>
      </c>
      <c r="B256" s="1416" t="s">
        <v>15</v>
      </c>
      <c r="C256" s="1417"/>
      <c r="D256" s="1418"/>
      <c r="E256" s="1416" t="s">
        <v>64</v>
      </c>
      <c r="F256" s="1418"/>
      <c r="G256" s="1346" t="s">
        <v>65</v>
      </c>
      <c r="H256" s="1346"/>
      <c r="I256" s="1346"/>
      <c r="J256" s="1346"/>
    </row>
    <row r="257" spans="1:11" ht="27.75" customHeight="1" x14ac:dyDescent="0.25">
      <c r="A257" s="1415"/>
      <c r="B257" s="1419"/>
      <c r="C257" s="1420"/>
      <c r="D257" s="1421"/>
      <c r="E257" s="1419"/>
      <c r="F257" s="1421"/>
      <c r="G257" s="717" t="s">
        <v>298</v>
      </c>
      <c r="H257" s="717" t="s">
        <v>295</v>
      </c>
      <c r="I257" s="717" t="s">
        <v>296</v>
      </c>
      <c r="J257" s="717" t="s">
        <v>297</v>
      </c>
    </row>
    <row r="258" spans="1:11" ht="14.25" customHeight="1" x14ac:dyDescent="0.25">
      <c r="A258" s="717">
        <v>1</v>
      </c>
      <c r="B258" s="1346">
        <v>2</v>
      </c>
      <c r="C258" s="1346"/>
      <c r="D258" s="1346"/>
      <c r="E258" s="1344">
        <v>3</v>
      </c>
      <c r="F258" s="1345"/>
      <c r="G258" s="1346">
        <v>4</v>
      </c>
      <c r="H258" s="1346"/>
      <c r="I258" s="1346"/>
      <c r="J258" s="1346"/>
    </row>
    <row r="259" spans="1:11" ht="30" customHeight="1" x14ac:dyDescent="0.25">
      <c r="A259" s="733" t="s">
        <v>70</v>
      </c>
      <c r="B259" s="1357" t="s">
        <v>347</v>
      </c>
      <c r="C259" s="1358"/>
      <c r="D259" s="1359"/>
      <c r="E259" s="1349" t="s">
        <v>74</v>
      </c>
      <c r="F259" s="1350"/>
      <c r="G259" s="146" t="s">
        <v>74</v>
      </c>
      <c r="H259" s="146" t="s">
        <v>74</v>
      </c>
      <c r="I259" s="316" t="s">
        <v>74</v>
      </c>
      <c r="J259" s="319">
        <f>SUM(J260:J263)</f>
        <v>2500</v>
      </c>
    </row>
    <row r="260" spans="1:11" ht="30" customHeight="1" x14ac:dyDescent="0.25">
      <c r="A260" s="676">
        <v>1</v>
      </c>
      <c r="B260" s="1386" t="s">
        <v>770</v>
      </c>
      <c r="C260" s="1386"/>
      <c r="D260" s="1386"/>
      <c r="E260" s="673"/>
      <c r="F260" s="674">
        <v>1</v>
      </c>
      <c r="G260" s="696">
        <v>1</v>
      </c>
      <c r="H260" s="696">
        <v>1</v>
      </c>
      <c r="I260" s="223">
        <v>0</v>
      </c>
      <c r="J260" s="704">
        <v>2500</v>
      </c>
      <c r="K260" s="527">
        <v>1600</v>
      </c>
    </row>
    <row r="261" spans="1:11" ht="30" hidden="1" customHeight="1" x14ac:dyDescent="0.25">
      <c r="A261" s="728">
        <v>1</v>
      </c>
      <c r="B261" s="1040" t="s">
        <v>771</v>
      </c>
      <c r="C261" s="1040"/>
      <c r="D261" s="1040"/>
      <c r="E261" s="1387">
        <v>1</v>
      </c>
      <c r="F261" s="1388"/>
      <c r="G261" s="728">
        <v>1</v>
      </c>
      <c r="H261" s="728">
        <v>1</v>
      </c>
      <c r="I261" s="161">
        <v>0</v>
      </c>
      <c r="J261" s="423">
        <v>0</v>
      </c>
    </row>
    <row r="262" spans="1:11" s="41" customFormat="1" ht="30" hidden="1" customHeight="1" x14ac:dyDescent="0.25">
      <c r="A262" s="310">
        <v>3</v>
      </c>
      <c r="B262" s="1017" t="s">
        <v>566</v>
      </c>
      <c r="C262" s="1619"/>
      <c r="D262" s="1620"/>
      <c r="E262" s="1387">
        <v>1</v>
      </c>
      <c r="F262" s="1388"/>
      <c r="G262" s="728">
        <v>1</v>
      </c>
      <c r="H262" s="728">
        <v>1</v>
      </c>
      <c r="I262" s="161">
        <v>0</v>
      </c>
      <c r="J262" s="704">
        <f>I262</f>
        <v>0</v>
      </c>
    </row>
    <row r="263" spans="1:11" ht="30" hidden="1" customHeight="1" x14ac:dyDescent="0.25">
      <c r="A263" s="728">
        <v>4</v>
      </c>
      <c r="B263" s="1040" t="s">
        <v>575</v>
      </c>
      <c r="C263" s="1040"/>
      <c r="D263" s="1040"/>
      <c r="E263" s="1387"/>
      <c r="F263" s="1388"/>
      <c r="G263" s="728"/>
      <c r="H263" s="728"/>
      <c r="I263" s="161"/>
      <c r="J263" s="704">
        <v>0</v>
      </c>
    </row>
    <row r="264" spans="1:11" ht="24" hidden="1" customHeight="1" x14ac:dyDescent="0.25">
      <c r="A264" s="728"/>
      <c r="B264" s="1040"/>
      <c r="C264" s="1040"/>
      <c r="D264" s="1040"/>
      <c r="E264" s="1026"/>
      <c r="F264" s="1027"/>
      <c r="G264" s="676"/>
      <c r="H264" s="676"/>
      <c r="I264" s="161"/>
      <c r="J264" s="101"/>
    </row>
    <row r="265" spans="1:11" ht="22.5" hidden="1" customHeight="1" x14ac:dyDescent="0.25">
      <c r="A265" s="728"/>
      <c r="B265" s="1040"/>
      <c r="C265" s="1040"/>
      <c r="D265" s="1040"/>
      <c r="E265" s="1387"/>
      <c r="F265" s="1388"/>
      <c r="G265" s="728"/>
      <c r="H265" s="728"/>
      <c r="I265" s="161"/>
      <c r="J265" s="101"/>
    </row>
    <row r="266" spans="1:11" ht="30" hidden="1" customHeight="1" x14ac:dyDescent="0.25">
      <c r="A266" s="728"/>
      <c r="B266" s="1040"/>
      <c r="C266" s="1040"/>
      <c r="D266" s="1040"/>
      <c r="E266" s="1387"/>
      <c r="F266" s="1388"/>
      <c r="G266" s="728"/>
      <c r="H266" s="728"/>
      <c r="I266" s="161"/>
      <c r="J266" s="101"/>
    </row>
    <row r="267" spans="1:11" ht="30" hidden="1" customHeight="1" x14ac:dyDescent="0.25">
      <c r="A267" s="728"/>
      <c r="B267" s="1040"/>
      <c r="C267" s="1040"/>
      <c r="D267" s="1040"/>
      <c r="E267" s="1026"/>
      <c r="F267" s="1027"/>
      <c r="G267" s="676"/>
      <c r="H267" s="676"/>
      <c r="I267" s="161"/>
      <c r="J267" s="101"/>
      <c r="K267" s="164"/>
    </row>
    <row r="268" spans="1:11" ht="51.75" hidden="1" customHeight="1" x14ac:dyDescent="0.25">
      <c r="A268" s="728"/>
      <c r="B268" s="1040"/>
      <c r="C268" s="1040"/>
      <c r="D268" s="1040"/>
      <c r="E268" s="1387"/>
      <c r="F268" s="1388"/>
      <c r="G268" s="728"/>
      <c r="H268" s="728"/>
      <c r="I268" s="161"/>
      <c r="J268" s="101"/>
    </row>
    <row r="269" spans="1:11" ht="30" hidden="1" customHeight="1" x14ac:dyDescent="0.25">
      <c r="A269" s="728"/>
      <c r="B269" s="1040"/>
      <c r="C269" s="1040"/>
      <c r="D269" s="1040"/>
      <c r="E269" s="1387"/>
      <c r="F269" s="1388"/>
      <c r="G269" s="728"/>
      <c r="H269" s="728"/>
      <c r="I269" s="161"/>
      <c r="J269" s="101"/>
    </row>
    <row r="270" spans="1:11" ht="43.5" hidden="1" customHeight="1" x14ac:dyDescent="0.25">
      <c r="A270" s="728"/>
      <c r="B270" s="1386"/>
      <c r="C270" s="1386"/>
      <c r="D270" s="1386"/>
      <c r="E270" s="1387"/>
      <c r="F270" s="1388"/>
      <c r="G270" s="728"/>
      <c r="H270" s="728"/>
      <c r="I270" s="161"/>
      <c r="J270" s="101"/>
    </row>
    <row r="271" spans="1:11" ht="48" hidden="1" customHeight="1" x14ac:dyDescent="0.25">
      <c r="A271" s="728"/>
      <c r="B271" s="1386"/>
      <c r="C271" s="1386"/>
      <c r="D271" s="1386"/>
      <c r="E271" s="1387"/>
      <c r="F271" s="1388"/>
      <c r="G271" s="728"/>
      <c r="H271" s="728"/>
      <c r="I271" s="161"/>
      <c r="J271" s="101"/>
    </row>
    <row r="272" spans="1:11" ht="30" hidden="1" customHeight="1" x14ac:dyDescent="0.25">
      <c r="A272" s="728"/>
      <c r="B272" s="1386"/>
      <c r="C272" s="1386"/>
      <c r="D272" s="1386"/>
      <c r="E272" s="1387"/>
      <c r="F272" s="1388"/>
      <c r="G272" s="728"/>
      <c r="H272" s="729"/>
      <c r="I272" s="161"/>
      <c r="J272" s="101"/>
    </row>
    <row r="273" spans="1:11" ht="30" hidden="1" customHeight="1" x14ac:dyDescent="0.25">
      <c r="A273" s="728"/>
      <c r="B273" s="1040"/>
      <c r="C273" s="1040"/>
      <c r="D273" s="1040"/>
      <c r="E273" s="1387"/>
      <c r="F273" s="1388"/>
      <c r="G273" s="728"/>
      <c r="H273" s="728"/>
      <c r="I273" s="161"/>
      <c r="J273" s="101"/>
    </row>
    <row r="274" spans="1:11" ht="30" hidden="1" customHeight="1" x14ac:dyDescent="0.25">
      <c r="A274" s="728"/>
      <c r="B274" s="666"/>
      <c r="C274" s="667"/>
      <c r="D274" s="668"/>
      <c r="E274" s="721"/>
      <c r="F274" s="722"/>
      <c r="G274" s="728"/>
      <c r="H274" s="728"/>
      <c r="I274" s="161"/>
      <c r="J274" s="101"/>
    </row>
    <row r="275" spans="1:11" ht="30" hidden="1" customHeight="1" x14ac:dyDescent="0.25">
      <c r="A275" s="733" t="s">
        <v>75</v>
      </c>
      <c r="B275" s="1357" t="s">
        <v>347</v>
      </c>
      <c r="C275" s="1358"/>
      <c r="D275" s="1359"/>
      <c r="E275" s="1349" t="s">
        <v>74</v>
      </c>
      <c r="F275" s="1350"/>
      <c r="G275" s="146" t="s">
        <v>74</v>
      </c>
      <c r="H275" s="146" t="s">
        <v>74</v>
      </c>
      <c r="I275" s="316" t="s">
        <v>74</v>
      </c>
      <c r="J275" s="319">
        <f>J276</f>
        <v>0</v>
      </c>
    </row>
    <row r="276" spans="1:11" ht="30" hidden="1" customHeight="1" x14ac:dyDescent="0.25">
      <c r="A276" s="728"/>
      <c r="B276" s="1386"/>
      <c r="C276" s="1386"/>
      <c r="D276" s="1386"/>
      <c r="E276" s="1387"/>
      <c r="F276" s="1388"/>
      <c r="G276" s="728"/>
      <c r="H276" s="728"/>
      <c r="I276" s="92"/>
      <c r="J276" s="101"/>
    </row>
    <row r="277" spans="1:11" ht="30" hidden="1" customHeight="1" x14ac:dyDescent="0.25">
      <c r="A277" s="733" t="s">
        <v>77</v>
      </c>
      <c r="B277" s="1357" t="s">
        <v>469</v>
      </c>
      <c r="C277" s="1358"/>
      <c r="D277" s="1359"/>
      <c r="E277" s="1349" t="s">
        <v>74</v>
      </c>
      <c r="F277" s="1350"/>
      <c r="G277" s="146" t="s">
        <v>74</v>
      </c>
      <c r="H277" s="146" t="s">
        <v>74</v>
      </c>
      <c r="I277" s="316" t="s">
        <v>74</v>
      </c>
      <c r="J277" s="319">
        <f>J278</f>
        <v>0</v>
      </c>
    </row>
    <row r="278" spans="1:11" ht="30" hidden="1" customHeight="1" x14ac:dyDescent="0.25">
      <c r="A278" s="728"/>
      <c r="B278" s="1386"/>
      <c r="C278" s="1386"/>
      <c r="D278" s="1386"/>
      <c r="E278" s="1387"/>
      <c r="F278" s="1388"/>
      <c r="G278" s="728"/>
      <c r="H278" s="728"/>
      <c r="I278" s="92"/>
      <c r="J278" s="101"/>
    </row>
    <row r="279" spans="1:11" ht="30" hidden="1" customHeight="1" x14ac:dyDescent="0.25">
      <c r="A279" s="733" t="s">
        <v>86</v>
      </c>
      <c r="B279" s="1357" t="s">
        <v>349</v>
      </c>
      <c r="C279" s="1358"/>
      <c r="D279" s="1359"/>
      <c r="E279" s="1349" t="s">
        <v>74</v>
      </c>
      <c r="F279" s="1350"/>
      <c r="G279" s="146" t="s">
        <v>74</v>
      </c>
      <c r="H279" s="146" t="s">
        <v>74</v>
      </c>
      <c r="I279" s="316" t="s">
        <v>74</v>
      </c>
      <c r="J279" s="319">
        <f>J280+J281</f>
        <v>0</v>
      </c>
      <c r="K279" s="1" t="s">
        <v>478</v>
      </c>
    </row>
    <row r="280" spans="1:11" ht="30" hidden="1" customHeight="1" x14ac:dyDescent="0.25">
      <c r="A280" s="676"/>
      <c r="B280" s="1017"/>
      <c r="C280" s="1018"/>
      <c r="D280" s="1019"/>
      <c r="E280" s="1034"/>
      <c r="F280" s="1035"/>
      <c r="G280" s="696"/>
      <c r="H280" s="696"/>
      <c r="I280" s="223"/>
      <c r="J280" s="704"/>
    </row>
    <row r="281" spans="1:11" ht="30" hidden="1" customHeight="1" x14ac:dyDescent="0.25">
      <c r="A281" s="676"/>
      <c r="B281" s="1017"/>
      <c r="C281" s="1018"/>
      <c r="D281" s="1019"/>
      <c r="E281" s="673"/>
      <c r="F281" s="674"/>
      <c r="G281" s="696"/>
      <c r="H281" s="696"/>
      <c r="I281" s="223"/>
      <c r="J281" s="704"/>
    </row>
    <row r="282" spans="1:11" ht="55.5" hidden="1" customHeight="1" x14ac:dyDescent="0.25">
      <c r="A282" s="733" t="s">
        <v>87</v>
      </c>
      <c r="B282" s="1357" t="s">
        <v>475</v>
      </c>
      <c r="C282" s="1358"/>
      <c r="D282" s="1359"/>
      <c r="E282" s="1349" t="s">
        <v>74</v>
      </c>
      <c r="F282" s="1350"/>
      <c r="G282" s="146" t="s">
        <v>74</v>
      </c>
      <c r="H282" s="146" t="s">
        <v>74</v>
      </c>
      <c r="I282" s="316" t="s">
        <v>74</v>
      </c>
      <c r="J282" s="227">
        <f>J283</f>
        <v>0</v>
      </c>
    </row>
    <row r="283" spans="1:11" ht="30" hidden="1" customHeight="1" x14ac:dyDescent="0.25">
      <c r="A283" s="676"/>
      <c r="B283" s="1017"/>
      <c r="C283" s="1018"/>
      <c r="D283" s="1019"/>
      <c r="E283" s="1034"/>
      <c r="F283" s="1035"/>
      <c r="G283" s="696"/>
      <c r="H283" s="696"/>
      <c r="I283" s="223"/>
      <c r="J283" s="226"/>
    </row>
    <row r="284" spans="1:11" ht="54.75" hidden="1" customHeight="1" x14ac:dyDescent="0.25">
      <c r="A284" s="733" t="s">
        <v>97</v>
      </c>
      <c r="B284" s="1357" t="s">
        <v>479</v>
      </c>
      <c r="C284" s="1358"/>
      <c r="D284" s="1359"/>
      <c r="E284" s="1349" t="s">
        <v>74</v>
      </c>
      <c r="F284" s="1350"/>
      <c r="G284" s="146" t="s">
        <v>74</v>
      </c>
      <c r="H284" s="146" t="s">
        <v>74</v>
      </c>
      <c r="I284" s="316" t="s">
        <v>74</v>
      </c>
      <c r="J284" s="227">
        <f>J285+J286+J287+J288</f>
        <v>0</v>
      </c>
    </row>
    <row r="285" spans="1:11" ht="30" hidden="1" customHeight="1" x14ac:dyDescent="0.25">
      <c r="A285" s="676"/>
      <c r="B285" s="1099"/>
      <c r="C285" s="1100"/>
      <c r="D285" s="1101"/>
      <c r="E285" s="1034"/>
      <c r="F285" s="1035"/>
      <c r="G285" s="696"/>
      <c r="H285" s="696"/>
      <c r="I285" s="223"/>
      <c r="J285" s="704"/>
    </row>
    <row r="286" spans="1:11" ht="30" hidden="1" customHeight="1" x14ac:dyDescent="0.25">
      <c r="A286" s="676"/>
      <c r="B286" s="1099"/>
      <c r="C286" s="1100"/>
      <c r="D286" s="1101"/>
      <c r="E286" s="1034"/>
      <c r="F286" s="1035"/>
      <c r="G286" s="696"/>
      <c r="H286" s="696"/>
      <c r="I286" s="223"/>
      <c r="J286" s="704"/>
    </row>
    <row r="287" spans="1:11" ht="30" hidden="1" customHeight="1" x14ac:dyDescent="0.25">
      <c r="A287" s="676"/>
      <c r="B287" s="1099"/>
      <c r="C287" s="1100"/>
      <c r="D287" s="1101"/>
      <c r="E287" s="1034"/>
      <c r="F287" s="1035"/>
      <c r="G287" s="696"/>
      <c r="H287" s="696"/>
      <c r="I287" s="223"/>
      <c r="J287" s="704"/>
    </row>
    <row r="288" spans="1:11" ht="30" hidden="1" customHeight="1" x14ac:dyDescent="0.25">
      <c r="A288" s="676"/>
      <c r="B288" s="1367"/>
      <c r="C288" s="1367"/>
      <c r="D288" s="1367"/>
      <c r="E288" s="1387"/>
      <c r="F288" s="1388"/>
      <c r="G288" s="728"/>
      <c r="H288" s="728"/>
      <c r="I288" s="92"/>
      <c r="J288" s="101"/>
    </row>
    <row r="289" spans="1:11" ht="30" customHeight="1" x14ac:dyDescent="0.25">
      <c r="A289" s="381"/>
      <c r="B289" s="1393" t="str">
        <f>B196</f>
        <v>Итого (благотворительность):</v>
      </c>
      <c r="C289" s="1393"/>
      <c r="D289" s="1393"/>
      <c r="E289" s="1394" t="s">
        <v>14</v>
      </c>
      <c r="F289" s="1395"/>
      <c r="G289" s="1396">
        <f>J259+J275+J277+J279+J282+J284</f>
        <v>2500</v>
      </c>
      <c r="H289" s="1397"/>
      <c r="I289" s="1397"/>
      <c r="J289" s="1397"/>
    </row>
    <row r="290" spans="1:11" ht="30" hidden="1" customHeight="1" x14ac:dyDescent="0.25">
      <c r="A290" s="1074" t="s">
        <v>375</v>
      </c>
      <c r="B290" s="1074"/>
      <c r="C290" s="1074"/>
      <c r="D290" s="1074"/>
      <c r="E290" s="1074"/>
      <c r="F290" s="1074"/>
      <c r="G290" s="1074"/>
      <c r="H290" s="1074"/>
      <c r="I290" s="1074"/>
      <c r="J290" s="1074"/>
    </row>
    <row r="291" spans="1:11" ht="30" hidden="1" customHeight="1" x14ac:dyDescent="0.25">
      <c r="A291" s="717" t="s">
        <v>1</v>
      </c>
      <c r="B291" s="1346" t="s">
        <v>44</v>
      </c>
      <c r="C291" s="1346"/>
      <c r="D291" s="1346"/>
      <c r="E291" s="1346" t="s">
        <v>58</v>
      </c>
      <c r="F291" s="1346"/>
      <c r="G291" s="1344" t="s">
        <v>66</v>
      </c>
      <c r="H291" s="1345"/>
      <c r="I291" s="1346" t="s">
        <v>60</v>
      </c>
      <c r="J291" s="1346"/>
    </row>
    <row r="292" spans="1:11" ht="30" hidden="1" customHeight="1" x14ac:dyDescent="0.25">
      <c r="A292" s="717">
        <v>1</v>
      </c>
      <c r="B292" s="1346">
        <v>2</v>
      </c>
      <c r="C292" s="1346"/>
      <c r="D292" s="1346"/>
      <c r="E292" s="1346">
        <v>3</v>
      </c>
      <c r="F292" s="1346"/>
      <c r="G292" s="1346">
        <v>4</v>
      </c>
      <c r="H292" s="1346"/>
      <c r="I292" s="1346">
        <v>5</v>
      </c>
      <c r="J292" s="1346"/>
    </row>
    <row r="293" spans="1:11" ht="30" hidden="1" customHeight="1" x14ac:dyDescent="0.25">
      <c r="A293" s="728" t="s">
        <v>27</v>
      </c>
      <c r="B293" s="1387"/>
      <c r="C293" s="1444"/>
      <c r="D293" s="1388"/>
      <c r="E293" s="1445"/>
      <c r="F293" s="1445"/>
      <c r="G293" s="1445"/>
      <c r="H293" s="1445"/>
      <c r="I293" s="1445"/>
      <c r="J293" s="1445"/>
    </row>
    <row r="294" spans="1:11" ht="30" hidden="1" customHeight="1" x14ac:dyDescent="0.25">
      <c r="A294" s="715"/>
      <c r="B294" s="1338" t="s">
        <v>13</v>
      </c>
      <c r="C294" s="1338"/>
      <c r="D294" s="1338"/>
      <c r="E294" s="1341" t="s">
        <v>14</v>
      </c>
      <c r="F294" s="1341"/>
      <c r="G294" s="1341" t="s">
        <v>14</v>
      </c>
      <c r="H294" s="1341"/>
      <c r="I294" s="1341">
        <f>I293</f>
        <v>0</v>
      </c>
      <c r="J294" s="1341"/>
    </row>
    <row r="295" spans="1:11" ht="15.75" hidden="1" customHeight="1" x14ac:dyDescent="0.25">
      <c r="A295" s="1442" t="s">
        <v>376</v>
      </c>
      <c r="B295" s="1442"/>
      <c r="C295" s="1442"/>
      <c r="D295" s="1442"/>
      <c r="E295" s="1442"/>
      <c r="F295" s="1442"/>
      <c r="G295" s="1442"/>
      <c r="H295" s="1442"/>
      <c r="I295" s="1442"/>
      <c r="J295" s="1442"/>
    </row>
    <row r="296" spans="1:11" ht="17.25" hidden="1" customHeight="1" x14ac:dyDescent="0.25">
      <c r="A296" s="717" t="s">
        <v>1</v>
      </c>
      <c r="B296" s="1344" t="s">
        <v>15</v>
      </c>
      <c r="C296" s="1392"/>
      <c r="D296" s="1345"/>
      <c r="E296" s="1344" t="s">
        <v>58</v>
      </c>
      <c r="F296" s="1345"/>
      <c r="G296" s="1344" t="s">
        <v>66</v>
      </c>
      <c r="H296" s="1345"/>
      <c r="I296" s="1344" t="s">
        <v>260</v>
      </c>
      <c r="J296" s="1345"/>
    </row>
    <row r="297" spans="1:11" ht="16.5" hidden="1" customHeight="1" x14ac:dyDescent="0.25">
      <c r="A297" s="717">
        <v>1</v>
      </c>
      <c r="B297" s="1344">
        <v>2</v>
      </c>
      <c r="C297" s="1392"/>
      <c r="D297" s="1345"/>
      <c r="E297" s="1344">
        <v>3</v>
      </c>
      <c r="F297" s="1345"/>
      <c r="G297" s="1344">
        <v>4</v>
      </c>
      <c r="H297" s="1345"/>
      <c r="I297" s="1344">
        <v>5</v>
      </c>
      <c r="J297" s="1345"/>
    </row>
    <row r="298" spans="1:11" ht="30" hidden="1" customHeight="1" x14ac:dyDescent="0.25">
      <c r="A298" s="733" t="s">
        <v>70</v>
      </c>
      <c r="B298" s="1357" t="s">
        <v>170</v>
      </c>
      <c r="C298" s="1358"/>
      <c r="D298" s="1359"/>
      <c r="E298" s="93"/>
      <c r="F298" s="93"/>
      <c r="G298" s="1362"/>
      <c r="H298" s="1363"/>
      <c r="I298" s="1401">
        <f>I299</f>
        <v>0</v>
      </c>
      <c r="J298" s="1390"/>
    </row>
    <row r="299" spans="1:11" ht="17.25" hidden="1" customHeight="1" x14ac:dyDescent="0.25">
      <c r="A299" s="728" t="s">
        <v>27</v>
      </c>
      <c r="B299" s="1377" t="s">
        <v>327</v>
      </c>
      <c r="C299" s="1378"/>
      <c r="D299" s="1379"/>
      <c r="E299" s="313" t="s">
        <v>300</v>
      </c>
      <c r="F299" s="313">
        <v>4</v>
      </c>
      <c r="G299" s="1373" t="s">
        <v>256</v>
      </c>
      <c r="H299" s="1374"/>
      <c r="I299" s="1430"/>
      <c r="J299" s="1381"/>
    </row>
    <row r="300" spans="1:11" ht="30" hidden="1" customHeight="1" x14ac:dyDescent="0.25">
      <c r="A300" s="733" t="s">
        <v>70</v>
      </c>
      <c r="B300" s="1357" t="s">
        <v>526</v>
      </c>
      <c r="C300" s="1358"/>
      <c r="D300" s="1359"/>
      <c r="E300" s="149" t="s">
        <v>74</v>
      </c>
      <c r="F300" s="149" t="s">
        <v>74</v>
      </c>
      <c r="G300" s="1349" t="s">
        <v>74</v>
      </c>
      <c r="H300" s="1350"/>
      <c r="I300" s="1401">
        <f>I301+I303+I302+I304</f>
        <v>0</v>
      </c>
      <c r="J300" s="1390"/>
    </row>
    <row r="301" spans="1:11" s="41" customFormat="1" ht="30" hidden="1" customHeight="1" x14ac:dyDescent="0.25">
      <c r="A301" s="728">
        <v>1</v>
      </c>
      <c r="B301" s="1099" t="s">
        <v>1139</v>
      </c>
      <c r="C301" s="1100"/>
      <c r="D301" s="1101"/>
      <c r="E301" s="313" t="s">
        <v>488</v>
      </c>
      <c r="F301" s="729">
        <v>33</v>
      </c>
      <c r="G301" s="1373" t="s">
        <v>74</v>
      </c>
      <c r="H301" s="1374"/>
      <c r="I301" s="1430">
        <v>0</v>
      </c>
      <c r="J301" s="1381"/>
      <c r="K301" s="41" t="s">
        <v>574</v>
      </c>
    </row>
    <row r="302" spans="1:11" s="41" customFormat="1" ht="30" hidden="1" customHeight="1" x14ac:dyDescent="0.25">
      <c r="A302" s="728">
        <v>2</v>
      </c>
      <c r="B302" s="1099" t="s">
        <v>565</v>
      </c>
      <c r="C302" s="1100"/>
      <c r="D302" s="1101"/>
      <c r="E302" s="313" t="s">
        <v>488</v>
      </c>
      <c r="F302" s="148">
        <v>33</v>
      </c>
      <c r="G302" s="1373" t="s">
        <v>74</v>
      </c>
      <c r="H302" s="1374"/>
      <c r="I302" s="1615">
        <v>0</v>
      </c>
      <c r="J302" s="1616"/>
    </row>
    <row r="303" spans="1:11" s="41" customFormat="1" ht="30" hidden="1" customHeight="1" x14ac:dyDescent="0.25">
      <c r="A303" s="728">
        <v>3</v>
      </c>
      <c r="B303" s="1099" t="s">
        <v>573</v>
      </c>
      <c r="C303" s="1100"/>
      <c r="D303" s="1101"/>
      <c r="E303" s="313" t="s">
        <v>488</v>
      </c>
      <c r="F303" s="148">
        <v>33</v>
      </c>
      <c r="G303" s="1373" t="s">
        <v>74</v>
      </c>
      <c r="H303" s="1374"/>
      <c r="I303" s="1617">
        <v>0</v>
      </c>
      <c r="J303" s="1618"/>
    </row>
    <row r="304" spans="1:11" ht="95.25" hidden="1" customHeight="1" x14ac:dyDescent="0.25">
      <c r="A304" s="728">
        <v>4</v>
      </c>
      <c r="B304" s="1099" t="s">
        <v>576</v>
      </c>
      <c r="C304" s="1100"/>
      <c r="D304" s="1101"/>
      <c r="E304" s="313" t="s">
        <v>488</v>
      </c>
      <c r="F304" s="148">
        <v>33</v>
      </c>
      <c r="G304" s="1373" t="s">
        <v>74</v>
      </c>
      <c r="H304" s="1374"/>
      <c r="I304" s="1615">
        <v>0</v>
      </c>
      <c r="J304" s="1616"/>
    </row>
    <row r="305" spans="1:11" ht="30" hidden="1" customHeight="1" x14ac:dyDescent="0.25">
      <c r="A305" s="733" t="s">
        <v>75</v>
      </c>
      <c r="B305" s="1357" t="s">
        <v>1084</v>
      </c>
      <c r="C305" s="1358"/>
      <c r="D305" s="1359"/>
      <c r="E305" s="1349" t="s">
        <v>74</v>
      </c>
      <c r="F305" s="1350"/>
      <c r="G305" s="1349" t="s">
        <v>74</v>
      </c>
      <c r="H305" s="1350"/>
      <c r="I305" s="1612">
        <f>SUM(I306:J309)</f>
        <v>0</v>
      </c>
      <c r="J305" s="1613"/>
    </row>
    <row r="306" spans="1:11" s="41" customFormat="1" ht="30" hidden="1" customHeight="1" x14ac:dyDescent="0.25">
      <c r="A306" s="95" t="s">
        <v>34</v>
      </c>
      <c r="B306" s="1353" t="s">
        <v>1085</v>
      </c>
      <c r="C306" s="1614"/>
      <c r="D306" s="1354"/>
      <c r="E306" s="313" t="s">
        <v>301</v>
      </c>
      <c r="F306" s="729">
        <v>1007</v>
      </c>
      <c r="G306" s="1372" t="s">
        <v>256</v>
      </c>
      <c r="H306" s="1372"/>
      <c r="I306" s="1364">
        <v>0</v>
      </c>
      <c r="J306" s="1365"/>
    </row>
    <row r="307" spans="1:11" ht="30" hidden="1" customHeight="1" x14ac:dyDescent="0.25">
      <c r="A307" s="728" t="s">
        <v>36</v>
      </c>
      <c r="B307" s="1353" t="s">
        <v>1086</v>
      </c>
      <c r="C307" s="1614"/>
      <c r="D307" s="1354"/>
      <c r="E307" s="313" t="s">
        <v>301</v>
      </c>
      <c r="F307" s="729">
        <v>1007</v>
      </c>
      <c r="G307" s="1372" t="s">
        <v>256</v>
      </c>
      <c r="H307" s="1372"/>
      <c r="I307" s="1364">
        <v>0</v>
      </c>
      <c r="J307" s="1365"/>
      <c r="K307" s="15"/>
    </row>
    <row r="308" spans="1:11" ht="30" hidden="1" customHeight="1" x14ac:dyDescent="0.25">
      <c r="A308" s="728"/>
      <c r="B308" s="1371"/>
      <c r="C308" s="1371"/>
      <c r="D308" s="1371"/>
      <c r="E308" s="313" t="s">
        <v>301</v>
      </c>
      <c r="F308" s="729">
        <v>1007</v>
      </c>
      <c r="G308" s="1372" t="s">
        <v>256</v>
      </c>
      <c r="H308" s="1372"/>
      <c r="I308" s="1364"/>
      <c r="J308" s="1365"/>
      <c r="K308" s="14"/>
    </row>
    <row r="309" spans="1:11" ht="30" hidden="1" customHeight="1" x14ac:dyDescent="0.25">
      <c r="A309" s="95"/>
      <c r="B309" s="1371"/>
      <c r="C309" s="1371"/>
      <c r="D309" s="1371"/>
      <c r="E309" s="313" t="s">
        <v>301</v>
      </c>
      <c r="F309" s="729">
        <v>1007</v>
      </c>
      <c r="G309" s="1372" t="s">
        <v>256</v>
      </c>
      <c r="H309" s="1372"/>
      <c r="I309" s="1364"/>
      <c r="J309" s="1365"/>
    </row>
    <row r="310" spans="1:11" ht="17.25" hidden="1" customHeight="1" x14ac:dyDescent="0.25">
      <c r="A310" s="728"/>
      <c r="B310" s="1338" t="s">
        <v>13</v>
      </c>
      <c r="C310" s="1338"/>
      <c r="D310" s="1338"/>
      <c r="E310" s="1339" t="s">
        <v>74</v>
      </c>
      <c r="F310" s="1340"/>
      <c r="G310" s="1341" t="s">
        <v>14</v>
      </c>
      <c r="H310" s="1341"/>
      <c r="I310" s="1611">
        <f>I305+I300</f>
        <v>0</v>
      </c>
      <c r="J310" s="1611"/>
    </row>
    <row r="311" spans="1:11" ht="21.75" customHeight="1" x14ac:dyDescent="0.25">
      <c r="A311" s="1391" t="s">
        <v>377</v>
      </c>
      <c r="B311" s="1391"/>
      <c r="C311" s="1391"/>
      <c r="D311" s="1391"/>
      <c r="E311" s="1391"/>
      <c r="F311" s="1391"/>
      <c r="G311" s="1391"/>
      <c r="H311" s="1391"/>
      <c r="I311" s="1391"/>
      <c r="J311" s="1391"/>
    </row>
    <row r="312" spans="1:11" ht="21.75" hidden="1" customHeight="1" x14ac:dyDescent="0.25">
      <c r="A312" s="1055" t="s">
        <v>489</v>
      </c>
      <c r="B312" s="1055"/>
      <c r="C312" s="1055"/>
      <c r="D312" s="1055"/>
      <c r="E312" s="1055"/>
      <c r="F312" s="1055"/>
      <c r="G312" s="1055"/>
      <c r="H312" s="1055"/>
      <c r="I312" s="1055"/>
      <c r="J312" s="1055"/>
    </row>
    <row r="313" spans="1:11" ht="21.75" hidden="1" customHeight="1" x14ac:dyDescent="0.25">
      <c r="A313" s="717" t="s">
        <v>1</v>
      </c>
      <c r="B313" s="1346" t="s">
        <v>15</v>
      </c>
      <c r="C313" s="1346"/>
      <c r="D313" s="1346"/>
      <c r="E313" s="1346" t="s">
        <v>58</v>
      </c>
      <c r="F313" s="1346"/>
      <c r="G313" s="1346" t="s">
        <v>66</v>
      </c>
      <c r="H313" s="1346"/>
      <c r="I313" s="1346" t="s">
        <v>260</v>
      </c>
      <c r="J313" s="1346"/>
    </row>
    <row r="314" spans="1:11" ht="21.75" hidden="1" customHeight="1" x14ac:dyDescent="0.25">
      <c r="A314" s="717">
        <v>1</v>
      </c>
      <c r="B314" s="1346">
        <v>2</v>
      </c>
      <c r="C314" s="1346"/>
      <c r="D314" s="1346"/>
      <c r="E314" s="1346">
        <v>3</v>
      </c>
      <c r="F314" s="1346"/>
      <c r="G314" s="1346">
        <v>4</v>
      </c>
      <c r="H314" s="1346"/>
      <c r="I314" s="1346">
        <v>5</v>
      </c>
      <c r="J314" s="1346"/>
    </row>
    <row r="315" spans="1:11" ht="39.75" hidden="1" customHeight="1" x14ac:dyDescent="0.25">
      <c r="A315" s="733" t="s">
        <v>70</v>
      </c>
      <c r="B315" s="1357" t="s">
        <v>172</v>
      </c>
      <c r="C315" s="1358"/>
      <c r="D315" s="1359"/>
      <c r="E315" s="93"/>
      <c r="F315" s="93"/>
      <c r="G315" s="1362"/>
      <c r="H315" s="1363"/>
      <c r="I315" s="1389">
        <f>SUM(I316:J317)</f>
        <v>0</v>
      </c>
      <c r="J315" s="1390"/>
    </row>
    <row r="316" spans="1:11" ht="35.25" hidden="1" customHeight="1" x14ac:dyDescent="0.25">
      <c r="A316" s="728" t="s">
        <v>27</v>
      </c>
      <c r="B316" s="1371" t="s">
        <v>173</v>
      </c>
      <c r="C316" s="1371"/>
      <c r="D316" s="1371"/>
      <c r="E316" s="313" t="s">
        <v>301</v>
      </c>
      <c r="F316" s="729">
        <v>822</v>
      </c>
      <c r="G316" s="1372" t="s">
        <v>256</v>
      </c>
      <c r="H316" s="1372"/>
      <c r="I316" s="1364"/>
      <c r="J316" s="1365"/>
    </row>
    <row r="317" spans="1:11" ht="21.75" hidden="1" customHeight="1" x14ac:dyDescent="0.25">
      <c r="A317" s="95" t="s">
        <v>27</v>
      </c>
      <c r="B317" s="1377"/>
      <c r="C317" s="1378"/>
      <c r="D317" s="1379"/>
      <c r="E317" s="313"/>
      <c r="F317" s="138"/>
      <c r="G317" s="1372"/>
      <c r="H317" s="1372"/>
      <c r="I317" s="1380"/>
      <c r="J317" s="1381"/>
    </row>
    <row r="318" spans="1:11" ht="21.75" hidden="1" customHeight="1" x14ac:dyDescent="0.25">
      <c r="A318" s="728"/>
      <c r="B318" s="1338" t="s">
        <v>13</v>
      </c>
      <c r="C318" s="1338"/>
      <c r="D318" s="1338"/>
      <c r="E318" s="1342" t="s">
        <v>74</v>
      </c>
      <c r="F318" s="1343"/>
      <c r="G318" s="1341" t="s">
        <v>14</v>
      </c>
      <c r="H318" s="1341"/>
      <c r="I318" s="1347">
        <f>I315</f>
        <v>0</v>
      </c>
      <c r="J318" s="1341"/>
    </row>
    <row r="319" spans="1:11" ht="15.75" hidden="1" x14ac:dyDescent="0.25">
      <c r="A319" s="1055" t="s">
        <v>490</v>
      </c>
      <c r="B319" s="1055"/>
      <c r="C319" s="1055"/>
      <c r="D319" s="1055"/>
      <c r="E319" s="1055"/>
      <c r="F319" s="1055"/>
      <c r="G319" s="1055"/>
      <c r="H319" s="1055"/>
      <c r="I319" s="1055"/>
      <c r="J319" s="1055"/>
    </row>
    <row r="320" spans="1:11" ht="15" hidden="1" customHeight="1" x14ac:dyDescent="0.25">
      <c r="A320" s="717" t="s">
        <v>1</v>
      </c>
      <c r="B320" s="1346" t="s">
        <v>15</v>
      </c>
      <c r="C320" s="1346"/>
      <c r="D320" s="1346"/>
      <c r="E320" s="1346" t="s">
        <v>58</v>
      </c>
      <c r="F320" s="1346"/>
      <c r="G320" s="1346" t="s">
        <v>66</v>
      </c>
      <c r="H320" s="1346"/>
      <c r="I320" s="1346" t="s">
        <v>260</v>
      </c>
      <c r="J320" s="1346"/>
    </row>
    <row r="321" spans="1:12" hidden="1" x14ac:dyDescent="0.25">
      <c r="A321" s="717">
        <v>1</v>
      </c>
      <c r="B321" s="1346">
        <v>2</v>
      </c>
      <c r="C321" s="1346"/>
      <c r="D321" s="1346"/>
      <c r="E321" s="1346">
        <v>3</v>
      </c>
      <c r="F321" s="1346"/>
      <c r="G321" s="1346">
        <v>4</v>
      </c>
      <c r="H321" s="1346"/>
      <c r="I321" s="1346">
        <v>5</v>
      </c>
      <c r="J321" s="1346"/>
    </row>
    <row r="322" spans="1:12" ht="30.75" hidden="1" customHeight="1" x14ac:dyDescent="0.25">
      <c r="A322" s="733" t="s">
        <v>70</v>
      </c>
      <c r="B322" s="1357" t="s">
        <v>172</v>
      </c>
      <c r="C322" s="1358"/>
      <c r="D322" s="1359"/>
      <c r="E322" s="93"/>
      <c r="F322" s="93"/>
      <c r="G322" s="1362"/>
      <c r="H322" s="1363"/>
      <c r="I322" s="1389">
        <f>SUM(I323:J324)</f>
        <v>0</v>
      </c>
      <c r="J322" s="1390"/>
      <c r="K322" s="139"/>
      <c r="L322" s="140"/>
    </row>
    <row r="323" spans="1:12" hidden="1" x14ac:dyDescent="0.25">
      <c r="A323" s="728" t="s">
        <v>27</v>
      </c>
      <c r="B323" s="1371" t="s">
        <v>173</v>
      </c>
      <c r="C323" s="1371"/>
      <c r="D323" s="1371"/>
      <c r="E323" s="313" t="s">
        <v>301</v>
      </c>
      <c r="F323" s="729"/>
      <c r="G323" s="1372" t="s">
        <v>256</v>
      </c>
      <c r="H323" s="1372"/>
      <c r="I323" s="1364"/>
      <c r="J323" s="1365"/>
      <c r="K323" s="139"/>
      <c r="L323" s="140"/>
    </row>
    <row r="324" spans="1:12" hidden="1" x14ac:dyDescent="0.25">
      <c r="A324" s="95" t="s">
        <v>27</v>
      </c>
      <c r="B324" s="1377"/>
      <c r="C324" s="1378"/>
      <c r="D324" s="1379"/>
      <c r="E324" s="313"/>
      <c r="F324" s="138"/>
      <c r="G324" s="1372"/>
      <c r="H324" s="1372"/>
      <c r="I324" s="1380"/>
      <c r="J324" s="1381"/>
    </row>
    <row r="325" spans="1:12" s="44" customFormat="1" ht="15" hidden="1" customHeight="1" x14ac:dyDescent="0.25">
      <c r="A325" s="728"/>
      <c r="B325" s="1338" t="s">
        <v>13</v>
      </c>
      <c r="C325" s="1338"/>
      <c r="D325" s="1338"/>
      <c r="E325" s="1342" t="s">
        <v>74</v>
      </c>
      <c r="F325" s="1343"/>
      <c r="G325" s="1341" t="s">
        <v>14</v>
      </c>
      <c r="H325" s="1341"/>
      <c r="I325" s="1347">
        <f>I322</f>
        <v>0</v>
      </c>
      <c r="J325" s="1341"/>
    </row>
    <row r="326" spans="1:12" s="44" customFormat="1" ht="15" hidden="1" customHeight="1" x14ac:dyDescent="0.25">
      <c r="A326" s="1055" t="s">
        <v>491</v>
      </c>
      <c r="B326" s="1055"/>
      <c r="C326" s="1055"/>
      <c r="D326" s="1055"/>
      <c r="E326" s="1055"/>
      <c r="F326" s="1055"/>
      <c r="G326" s="1055"/>
      <c r="H326" s="1055"/>
      <c r="I326" s="1055"/>
      <c r="J326" s="1055"/>
    </row>
    <row r="327" spans="1:12" s="44" customFormat="1" ht="15" hidden="1" customHeight="1" x14ac:dyDescent="0.2">
      <c r="A327" s="717" t="s">
        <v>1</v>
      </c>
      <c r="B327" s="1346" t="s">
        <v>15</v>
      </c>
      <c r="C327" s="1346"/>
      <c r="D327" s="1346"/>
      <c r="E327" s="1346" t="s">
        <v>58</v>
      </c>
      <c r="F327" s="1346"/>
      <c r="G327" s="1346" t="s">
        <v>66</v>
      </c>
      <c r="H327" s="1346"/>
      <c r="I327" s="1346" t="s">
        <v>260</v>
      </c>
      <c r="J327" s="1346"/>
    </row>
    <row r="328" spans="1:12" s="44" customFormat="1" ht="15" hidden="1" customHeight="1" x14ac:dyDescent="0.2">
      <c r="A328" s="717">
        <v>1</v>
      </c>
      <c r="B328" s="1346">
        <v>2</v>
      </c>
      <c r="C328" s="1346"/>
      <c r="D328" s="1346"/>
      <c r="E328" s="1346">
        <v>3</v>
      </c>
      <c r="F328" s="1346"/>
      <c r="G328" s="1346">
        <v>4</v>
      </c>
      <c r="H328" s="1346"/>
      <c r="I328" s="1346">
        <v>5</v>
      </c>
      <c r="J328" s="1346"/>
    </row>
    <row r="329" spans="1:12" s="44" customFormat="1" ht="39.75" hidden="1" customHeight="1" x14ac:dyDescent="0.25">
      <c r="A329" s="733" t="s">
        <v>70</v>
      </c>
      <c r="B329" s="1357" t="s">
        <v>172</v>
      </c>
      <c r="C329" s="1358"/>
      <c r="D329" s="1359"/>
      <c r="E329" s="93"/>
      <c r="F329" s="93"/>
      <c r="G329" s="1362"/>
      <c r="H329" s="1363"/>
      <c r="I329" s="1389">
        <f>SUM(I330:J331)</f>
        <v>0</v>
      </c>
      <c r="J329" s="1390"/>
    </row>
    <row r="330" spans="1:12" s="44" customFormat="1" ht="15" hidden="1" customHeight="1" x14ac:dyDescent="0.25">
      <c r="A330" s="728" t="s">
        <v>27</v>
      </c>
      <c r="B330" s="1371" t="s">
        <v>493</v>
      </c>
      <c r="C330" s="1371"/>
      <c r="D330" s="1371"/>
      <c r="E330" s="313"/>
      <c r="F330" s="729"/>
      <c r="G330" s="1372" t="s">
        <v>256</v>
      </c>
      <c r="H330" s="1372"/>
      <c r="I330" s="1364"/>
      <c r="J330" s="1365"/>
    </row>
    <row r="331" spans="1:12" s="45" customFormat="1" ht="15" hidden="1" customHeight="1" x14ac:dyDescent="0.25">
      <c r="A331" s="95" t="s">
        <v>27</v>
      </c>
      <c r="B331" s="1377"/>
      <c r="C331" s="1378"/>
      <c r="D331" s="1379"/>
      <c r="E331" s="313"/>
      <c r="F331" s="138"/>
      <c r="G331" s="1372"/>
      <c r="H331" s="1372"/>
      <c r="I331" s="1380"/>
      <c r="J331" s="1381"/>
    </row>
    <row r="332" spans="1:12" s="44" customFormat="1" ht="33" hidden="1" customHeight="1" x14ac:dyDescent="0.25">
      <c r="A332" s="728"/>
      <c r="B332" s="1338" t="s">
        <v>13</v>
      </c>
      <c r="C332" s="1338"/>
      <c r="D332" s="1338"/>
      <c r="E332" s="1342" t="s">
        <v>74</v>
      </c>
      <c r="F332" s="1343"/>
      <c r="G332" s="1341" t="s">
        <v>14</v>
      </c>
      <c r="H332" s="1341"/>
      <c r="I332" s="1347">
        <f>I329</f>
        <v>0</v>
      </c>
      <c r="J332" s="1341"/>
    </row>
    <row r="333" spans="1:12" s="45" customFormat="1" ht="15" hidden="1" customHeight="1" x14ac:dyDescent="0.25">
      <c r="A333" s="1055" t="s">
        <v>492</v>
      </c>
      <c r="B333" s="1055"/>
      <c r="C333" s="1055"/>
      <c r="D333" s="1055"/>
      <c r="E333" s="1055"/>
      <c r="F333" s="1055"/>
      <c r="G333" s="1055"/>
      <c r="H333" s="1055"/>
      <c r="I333" s="1055"/>
      <c r="J333" s="1055"/>
    </row>
    <row r="334" spans="1:12" s="45" customFormat="1" ht="15" hidden="1" customHeight="1" x14ac:dyDescent="0.25">
      <c r="A334" s="717" t="s">
        <v>1</v>
      </c>
      <c r="B334" s="1346" t="s">
        <v>15</v>
      </c>
      <c r="C334" s="1346"/>
      <c r="D334" s="1346"/>
      <c r="E334" s="1346" t="s">
        <v>58</v>
      </c>
      <c r="F334" s="1346"/>
      <c r="G334" s="1346" t="s">
        <v>66</v>
      </c>
      <c r="H334" s="1346"/>
      <c r="I334" s="1346" t="s">
        <v>260</v>
      </c>
      <c r="J334" s="1346"/>
    </row>
    <row r="335" spans="1:12" s="45" customFormat="1" ht="15" hidden="1" customHeight="1" x14ac:dyDescent="0.25">
      <c r="A335" s="717">
        <v>1</v>
      </c>
      <c r="B335" s="1346">
        <v>2</v>
      </c>
      <c r="C335" s="1346"/>
      <c r="D335" s="1346"/>
      <c r="E335" s="1346">
        <v>3</v>
      </c>
      <c r="F335" s="1346"/>
      <c r="G335" s="1346">
        <v>4</v>
      </c>
      <c r="H335" s="1346"/>
      <c r="I335" s="1346">
        <v>5</v>
      </c>
      <c r="J335" s="1346"/>
    </row>
    <row r="336" spans="1:12" s="45" customFormat="1" ht="38.25" hidden="1" customHeight="1" x14ac:dyDescent="0.25">
      <c r="A336" s="733" t="s">
        <v>70</v>
      </c>
      <c r="B336" s="1357" t="s">
        <v>172</v>
      </c>
      <c r="C336" s="1358"/>
      <c r="D336" s="1359"/>
      <c r="E336" s="93"/>
      <c r="F336" s="93"/>
      <c r="G336" s="1362"/>
      <c r="H336" s="1363"/>
      <c r="I336" s="1389">
        <f>SUM(I337:J338)</f>
        <v>0</v>
      </c>
      <c r="J336" s="1390"/>
    </row>
    <row r="337" spans="1:10" s="45" customFormat="1" ht="15" hidden="1" customHeight="1" x14ac:dyDescent="0.25">
      <c r="A337" s="728" t="s">
        <v>27</v>
      </c>
      <c r="B337" s="1371"/>
      <c r="C337" s="1371"/>
      <c r="D337" s="1371"/>
      <c r="E337" s="313" t="s">
        <v>301</v>
      </c>
      <c r="F337" s="729"/>
      <c r="G337" s="1372" t="s">
        <v>256</v>
      </c>
      <c r="H337" s="1372"/>
      <c r="I337" s="1364"/>
      <c r="J337" s="1365"/>
    </row>
    <row r="338" spans="1:10" s="45" customFormat="1" ht="15" hidden="1" customHeight="1" x14ac:dyDescent="0.25">
      <c r="A338" s="95" t="s">
        <v>27</v>
      </c>
      <c r="B338" s="1377"/>
      <c r="C338" s="1378"/>
      <c r="D338" s="1379"/>
      <c r="E338" s="313"/>
      <c r="F338" s="138"/>
      <c r="G338" s="1372"/>
      <c r="H338" s="1372"/>
      <c r="I338" s="1380"/>
      <c r="J338" s="1381"/>
    </row>
    <row r="339" spans="1:10" s="45" customFormat="1" ht="15" hidden="1" customHeight="1" x14ac:dyDescent="0.25">
      <c r="A339" s="728"/>
      <c r="B339" s="1338" t="s">
        <v>13</v>
      </c>
      <c r="C339" s="1338"/>
      <c r="D339" s="1338"/>
      <c r="E339" s="1342" t="s">
        <v>74</v>
      </c>
      <c r="F339" s="1343"/>
      <c r="G339" s="1341" t="s">
        <v>14</v>
      </c>
      <c r="H339" s="1341"/>
      <c r="I339" s="1347">
        <f>I336</f>
        <v>0</v>
      </c>
      <c r="J339" s="1341"/>
    </row>
    <row r="340" spans="1:10" s="45" customFormat="1" ht="15" hidden="1" customHeight="1" x14ac:dyDescent="0.25">
      <c r="A340" s="1055" t="s">
        <v>495</v>
      </c>
      <c r="B340" s="1055"/>
      <c r="C340" s="1055"/>
      <c r="D340" s="1055"/>
      <c r="E340" s="1055"/>
      <c r="F340" s="1055"/>
      <c r="G340" s="1055"/>
      <c r="H340" s="1055"/>
      <c r="I340" s="1055"/>
      <c r="J340" s="1055"/>
    </row>
    <row r="341" spans="1:10" s="45" customFormat="1" ht="15" hidden="1" customHeight="1" x14ac:dyDescent="0.25">
      <c r="A341" s="717" t="s">
        <v>1</v>
      </c>
      <c r="B341" s="1346" t="s">
        <v>15</v>
      </c>
      <c r="C341" s="1346"/>
      <c r="D341" s="1346"/>
      <c r="E341" s="1346" t="s">
        <v>58</v>
      </c>
      <c r="F341" s="1346"/>
      <c r="G341" s="1346" t="s">
        <v>66</v>
      </c>
      <c r="H341" s="1346"/>
      <c r="I341" s="1346" t="s">
        <v>260</v>
      </c>
      <c r="J341" s="1346"/>
    </row>
    <row r="342" spans="1:10" s="45" customFormat="1" ht="15" hidden="1" customHeight="1" x14ac:dyDescent="0.25">
      <c r="A342" s="717">
        <v>1</v>
      </c>
      <c r="B342" s="1346">
        <v>2</v>
      </c>
      <c r="C342" s="1346"/>
      <c r="D342" s="1346"/>
      <c r="E342" s="1346">
        <v>3</v>
      </c>
      <c r="F342" s="1346"/>
      <c r="G342" s="1346">
        <v>4</v>
      </c>
      <c r="H342" s="1346"/>
      <c r="I342" s="1346">
        <v>5</v>
      </c>
      <c r="J342" s="1346"/>
    </row>
    <row r="343" spans="1:10" s="45" customFormat="1" ht="36" hidden="1" customHeight="1" x14ac:dyDescent="0.25">
      <c r="A343" s="733" t="s">
        <v>70</v>
      </c>
      <c r="B343" s="1357" t="s">
        <v>172</v>
      </c>
      <c r="C343" s="1358"/>
      <c r="D343" s="1359"/>
      <c r="E343" s="93"/>
      <c r="F343" s="93"/>
      <c r="G343" s="1362"/>
      <c r="H343" s="1363"/>
      <c r="I343" s="1389">
        <f>SUM(I344:J345)</f>
        <v>0</v>
      </c>
      <c r="J343" s="1390"/>
    </row>
    <row r="344" spans="1:10" s="45" customFormat="1" ht="15" hidden="1" customHeight="1" x14ac:dyDescent="0.25">
      <c r="A344" s="728" t="s">
        <v>27</v>
      </c>
      <c r="B344" s="1371" t="s">
        <v>494</v>
      </c>
      <c r="C344" s="1371"/>
      <c r="D344" s="1371"/>
      <c r="E344" s="313" t="s">
        <v>301</v>
      </c>
      <c r="F344" s="729"/>
      <c r="G344" s="1372" t="s">
        <v>256</v>
      </c>
      <c r="H344" s="1372"/>
      <c r="I344" s="1364"/>
      <c r="J344" s="1365"/>
    </row>
    <row r="345" spans="1:10" s="45" customFormat="1" ht="15" hidden="1" customHeight="1" x14ac:dyDescent="0.25">
      <c r="A345" s="95" t="s">
        <v>27</v>
      </c>
      <c r="B345" s="1377"/>
      <c r="C345" s="1378"/>
      <c r="D345" s="1379"/>
      <c r="E345" s="313"/>
      <c r="F345" s="138"/>
      <c r="G345" s="1372"/>
      <c r="H345" s="1372"/>
      <c r="I345" s="1380"/>
      <c r="J345" s="1381"/>
    </row>
    <row r="346" spans="1:10" s="44" customFormat="1" ht="15.75" x14ac:dyDescent="0.25">
      <c r="A346" s="1056" t="s">
        <v>496</v>
      </c>
      <c r="B346" s="1056"/>
      <c r="C346" s="1056"/>
      <c r="D346" s="1056"/>
      <c r="E346" s="1056"/>
      <c r="F346" s="1056"/>
      <c r="G346" s="1056"/>
      <c r="H346" s="1056"/>
      <c r="I346" s="1056"/>
      <c r="J346" s="1056"/>
    </row>
    <row r="347" spans="1:10" s="44" customFormat="1" ht="25.5" x14ac:dyDescent="0.2">
      <c r="A347" s="717" t="s">
        <v>1</v>
      </c>
      <c r="B347" s="1346" t="s">
        <v>15</v>
      </c>
      <c r="C347" s="1346"/>
      <c r="D347" s="1346"/>
      <c r="E347" s="1346" t="s">
        <v>58</v>
      </c>
      <c r="F347" s="1346"/>
      <c r="G347" s="1346" t="s">
        <v>66</v>
      </c>
      <c r="H347" s="1346"/>
      <c r="I347" s="1346" t="s">
        <v>260</v>
      </c>
      <c r="J347" s="1346"/>
    </row>
    <row r="348" spans="1:10" s="44" customFormat="1" ht="12.75" x14ac:dyDescent="0.2">
      <c r="A348" s="717">
        <v>1</v>
      </c>
      <c r="B348" s="1346">
        <v>2</v>
      </c>
      <c r="C348" s="1346"/>
      <c r="D348" s="1346"/>
      <c r="E348" s="1346">
        <v>3</v>
      </c>
      <c r="F348" s="1346"/>
      <c r="G348" s="1346">
        <v>4</v>
      </c>
      <c r="H348" s="1346"/>
      <c r="I348" s="1346">
        <v>5</v>
      </c>
      <c r="J348" s="1346"/>
    </row>
    <row r="349" spans="1:10" s="44" customFormat="1" ht="32.25" customHeight="1" x14ac:dyDescent="0.25">
      <c r="A349" s="733">
        <v>1</v>
      </c>
      <c r="B349" s="1357" t="s">
        <v>172</v>
      </c>
      <c r="C349" s="1358"/>
      <c r="D349" s="1359"/>
      <c r="E349" s="93"/>
      <c r="F349" s="93"/>
      <c r="G349" s="1362"/>
      <c r="H349" s="1363"/>
      <c r="I349" s="1401">
        <f>I350+I351</f>
        <v>34000</v>
      </c>
      <c r="J349" s="1390"/>
    </row>
    <row r="350" spans="1:10" s="44" customFormat="1" ht="45.75" customHeight="1" x14ac:dyDescent="0.25">
      <c r="A350" s="728">
        <v>1</v>
      </c>
      <c r="B350" s="1040" t="s">
        <v>710</v>
      </c>
      <c r="C350" s="1040"/>
      <c r="D350" s="1040"/>
      <c r="E350" s="713"/>
      <c r="F350" s="705"/>
      <c r="G350" s="1196"/>
      <c r="H350" s="1196"/>
      <c r="I350" s="1240">
        <f>17000*2</f>
        <v>34000</v>
      </c>
      <c r="J350" s="1133"/>
    </row>
    <row r="351" spans="1:10" s="44" customFormat="1" ht="30" hidden="1" customHeight="1" x14ac:dyDescent="0.25">
      <c r="A351" s="728">
        <v>2</v>
      </c>
      <c r="B351" s="1040" t="s">
        <v>733</v>
      </c>
      <c r="C351" s="1040"/>
      <c r="D351" s="1040"/>
      <c r="E351" s="713"/>
      <c r="F351" s="705"/>
      <c r="G351" s="1196"/>
      <c r="H351" s="1196"/>
      <c r="I351" s="1240">
        <v>0</v>
      </c>
      <c r="J351" s="1133"/>
    </row>
    <row r="352" spans="1:10" s="44" customFormat="1" ht="28.5" hidden="1" customHeight="1" x14ac:dyDescent="0.25">
      <c r="A352" s="1055" t="s">
        <v>495</v>
      </c>
      <c r="B352" s="1055"/>
      <c r="C352" s="1055"/>
      <c r="D352" s="1055"/>
      <c r="E352" s="1055"/>
      <c r="F352" s="1055"/>
      <c r="G352" s="1055"/>
      <c r="H352" s="1055"/>
      <c r="I352" s="1055"/>
      <c r="J352" s="1055"/>
    </row>
    <row r="353" spans="1:10" s="44" customFormat="1" ht="42.75" hidden="1" customHeight="1" x14ac:dyDescent="0.2">
      <c r="A353" s="717" t="s">
        <v>1</v>
      </c>
      <c r="B353" s="1346" t="s">
        <v>15</v>
      </c>
      <c r="C353" s="1346"/>
      <c r="D353" s="1346"/>
      <c r="E353" s="1346" t="s">
        <v>58</v>
      </c>
      <c r="F353" s="1346"/>
      <c r="G353" s="1346" t="s">
        <v>66</v>
      </c>
      <c r="H353" s="1346"/>
      <c r="I353" s="1346" t="s">
        <v>260</v>
      </c>
      <c r="J353" s="1346"/>
    </row>
    <row r="354" spans="1:10" s="44" customFormat="1" ht="23.25" hidden="1" customHeight="1" x14ac:dyDescent="0.2">
      <c r="A354" s="717">
        <v>1</v>
      </c>
      <c r="B354" s="1346">
        <v>2</v>
      </c>
      <c r="C354" s="1346"/>
      <c r="D354" s="1346"/>
      <c r="E354" s="1346">
        <v>3</v>
      </c>
      <c r="F354" s="1346"/>
      <c r="G354" s="1346">
        <v>4</v>
      </c>
      <c r="H354" s="1346"/>
      <c r="I354" s="1346">
        <v>5</v>
      </c>
      <c r="J354" s="1346"/>
    </row>
    <row r="355" spans="1:10" s="44" customFormat="1" ht="33" hidden="1" customHeight="1" x14ac:dyDescent="0.25">
      <c r="A355" s="733" t="s">
        <v>70</v>
      </c>
      <c r="B355" s="1357" t="s">
        <v>172</v>
      </c>
      <c r="C355" s="1358"/>
      <c r="D355" s="1359"/>
      <c r="E355" s="93"/>
      <c r="F355" s="93"/>
      <c r="G355" s="1362"/>
      <c r="H355" s="1363"/>
      <c r="I355" s="1389">
        <f>SUM(I356:J357)</f>
        <v>0</v>
      </c>
      <c r="J355" s="1390"/>
    </row>
    <row r="356" spans="1:10" s="44" customFormat="1" ht="48" hidden="1" customHeight="1" x14ac:dyDescent="0.25">
      <c r="A356" s="728" t="s">
        <v>27</v>
      </c>
      <c r="B356" s="1371" t="s">
        <v>568</v>
      </c>
      <c r="C356" s="1371"/>
      <c r="D356" s="1371"/>
      <c r="E356" s="313" t="s">
        <v>301</v>
      </c>
      <c r="F356" s="729"/>
      <c r="G356" s="1372" t="s">
        <v>256</v>
      </c>
      <c r="H356" s="1372"/>
      <c r="I356" s="1364">
        <v>0</v>
      </c>
      <c r="J356" s="1365"/>
    </row>
    <row r="357" spans="1:10" ht="48.75" hidden="1" customHeight="1" x14ac:dyDescent="0.25">
      <c r="A357" s="95" t="s">
        <v>27</v>
      </c>
      <c r="B357" s="1377" t="s">
        <v>577</v>
      </c>
      <c r="C357" s="1378"/>
      <c r="D357" s="1379"/>
      <c r="E357" s="313"/>
      <c r="F357" s="138"/>
      <c r="G357" s="1372"/>
      <c r="H357" s="1372"/>
      <c r="I357" s="1380">
        <v>0</v>
      </c>
      <c r="J357" s="1381"/>
    </row>
    <row r="358" spans="1:10" ht="48.75" hidden="1" customHeight="1" x14ac:dyDescent="0.25">
      <c r="A358" s="1056" t="s">
        <v>496</v>
      </c>
      <c r="B358" s="1056"/>
      <c r="C358" s="1056"/>
      <c r="D358" s="1056"/>
      <c r="E358" s="1056"/>
      <c r="F358" s="1056"/>
      <c r="G358" s="1056"/>
      <c r="H358" s="1056"/>
      <c r="I358" s="1056"/>
      <c r="J358" s="1056"/>
    </row>
    <row r="359" spans="1:10" ht="26.25" hidden="1" customHeight="1" x14ac:dyDescent="0.25">
      <c r="A359" s="717" t="s">
        <v>1</v>
      </c>
      <c r="B359" s="1346" t="s">
        <v>15</v>
      </c>
      <c r="C359" s="1346"/>
      <c r="D359" s="1346"/>
      <c r="E359" s="1346" t="s">
        <v>58</v>
      </c>
      <c r="F359" s="1346"/>
      <c r="G359" s="1346" t="s">
        <v>66</v>
      </c>
      <c r="H359" s="1346"/>
      <c r="I359" s="1346" t="s">
        <v>260</v>
      </c>
      <c r="J359" s="1346"/>
    </row>
    <row r="360" spans="1:10" ht="23.25" hidden="1" customHeight="1" x14ac:dyDescent="0.25">
      <c r="A360" s="717">
        <v>1</v>
      </c>
      <c r="B360" s="1346">
        <v>2</v>
      </c>
      <c r="C360" s="1346"/>
      <c r="D360" s="1346"/>
      <c r="E360" s="1346">
        <v>3</v>
      </c>
      <c r="F360" s="1346"/>
      <c r="G360" s="1346">
        <v>4</v>
      </c>
      <c r="H360" s="1346"/>
      <c r="I360" s="1346">
        <v>5</v>
      </c>
      <c r="J360" s="1346"/>
    </row>
    <row r="361" spans="1:10" ht="48.75" hidden="1" customHeight="1" x14ac:dyDescent="0.25">
      <c r="A361" s="733">
        <v>1</v>
      </c>
      <c r="B361" s="1357" t="s">
        <v>578</v>
      </c>
      <c r="C361" s="1358"/>
      <c r="D361" s="1359"/>
      <c r="E361" s="93"/>
      <c r="F361" s="93"/>
      <c r="G361" s="1362"/>
      <c r="H361" s="1363"/>
      <c r="I361" s="1401">
        <f>I362+I363</f>
        <v>0</v>
      </c>
      <c r="J361" s="1390"/>
    </row>
    <row r="362" spans="1:10" ht="48.75" hidden="1" customHeight="1" x14ac:dyDescent="0.25">
      <c r="A362" s="728" t="s">
        <v>27</v>
      </c>
      <c r="B362" s="1245" t="s">
        <v>579</v>
      </c>
      <c r="C362" s="1245"/>
      <c r="D362" s="1245"/>
      <c r="E362" s="713"/>
      <c r="F362" s="705"/>
      <c r="G362" s="1196"/>
      <c r="H362" s="1196"/>
      <c r="I362" s="1240">
        <v>0</v>
      </c>
      <c r="J362" s="1133"/>
    </row>
    <row r="363" spans="1:10" ht="48.75" hidden="1" customHeight="1" x14ac:dyDescent="0.25">
      <c r="A363" s="728" t="s">
        <v>29</v>
      </c>
      <c r="B363" s="1245" t="s">
        <v>582</v>
      </c>
      <c r="C363" s="1245"/>
      <c r="D363" s="1245"/>
      <c r="E363" s="713"/>
      <c r="F363" s="705"/>
      <c r="G363" s="1196"/>
      <c r="H363" s="1196"/>
      <c r="I363" s="1222">
        <v>0</v>
      </c>
      <c r="J363" s="1222"/>
    </row>
    <row r="364" spans="1:10" ht="48.75" hidden="1" customHeight="1" x14ac:dyDescent="0.25">
      <c r="A364" s="95" t="s">
        <v>31</v>
      </c>
      <c r="B364" s="1445" t="s">
        <v>583</v>
      </c>
      <c r="C364" s="1445"/>
      <c r="D364" s="1445"/>
      <c r="E364" s="313"/>
      <c r="F364" s="138"/>
      <c r="G364" s="1372"/>
      <c r="H364" s="1372"/>
      <c r="I364" s="1641">
        <v>0</v>
      </c>
      <c r="J364" s="1641"/>
    </row>
    <row r="365" spans="1:10" ht="48.75" hidden="1" customHeight="1" x14ac:dyDescent="0.25">
      <c r="A365" s="242"/>
      <c r="B365" s="719"/>
      <c r="C365" s="719"/>
      <c r="D365" s="719"/>
      <c r="E365" s="261"/>
      <c r="F365" s="274"/>
      <c r="G365" s="435"/>
      <c r="H365" s="435"/>
      <c r="I365" s="720"/>
      <c r="J365" s="720"/>
    </row>
    <row r="366" spans="1:10" ht="15.75" hidden="1" x14ac:dyDescent="0.25">
      <c r="A366" s="1056" t="s">
        <v>501</v>
      </c>
      <c r="B366" s="1056"/>
      <c r="C366" s="1056"/>
      <c r="D366" s="1056"/>
      <c r="E366" s="1056"/>
      <c r="F366" s="1056"/>
      <c r="G366" s="1056"/>
      <c r="H366" s="1056"/>
      <c r="I366" s="1056"/>
      <c r="J366" s="1056"/>
    </row>
    <row r="367" spans="1:10" ht="25.5" hidden="1" x14ac:dyDescent="0.25">
      <c r="A367" s="717" t="s">
        <v>1</v>
      </c>
      <c r="B367" s="1346" t="s">
        <v>15</v>
      </c>
      <c r="C367" s="1346"/>
      <c r="D367" s="1346"/>
      <c r="E367" s="1346" t="s">
        <v>58</v>
      </c>
      <c r="F367" s="1346"/>
      <c r="G367" s="1346" t="s">
        <v>66</v>
      </c>
      <c r="H367" s="1346"/>
      <c r="I367" s="1346" t="s">
        <v>260</v>
      </c>
      <c r="J367" s="1346"/>
    </row>
    <row r="368" spans="1:10" hidden="1" x14ac:dyDescent="0.25">
      <c r="A368" s="717">
        <v>1</v>
      </c>
      <c r="B368" s="1346">
        <v>2</v>
      </c>
      <c r="C368" s="1346"/>
      <c r="D368" s="1346"/>
      <c r="E368" s="1346">
        <v>3</v>
      </c>
      <c r="F368" s="1346"/>
      <c r="G368" s="1346">
        <v>4</v>
      </c>
      <c r="H368" s="1346"/>
      <c r="I368" s="1346">
        <v>5</v>
      </c>
      <c r="J368" s="1346"/>
    </row>
    <row r="369" spans="1:10" ht="46.5" hidden="1" customHeight="1" x14ac:dyDescent="0.25">
      <c r="A369" s="229" t="s">
        <v>70</v>
      </c>
      <c r="B369" s="1357" t="s">
        <v>187</v>
      </c>
      <c r="C369" s="1358"/>
      <c r="D369" s="1359"/>
      <c r="E369" s="93"/>
      <c r="F369" s="90"/>
      <c r="G369" s="1610"/>
      <c r="H369" s="1610"/>
      <c r="I369" s="1389">
        <f>I370</f>
        <v>0</v>
      </c>
      <c r="J369" s="1390"/>
    </row>
    <row r="370" spans="1:10" hidden="1" x14ac:dyDescent="0.25">
      <c r="A370" s="95" t="s">
        <v>27</v>
      </c>
      <c r="B370" s="1245" t="s">
        <v>567</v>
      </c>
      <c r="C370" s="1245"/>
      <c r="D370" s="1245"/>
      <c r="E370" s="713"/>
      <c r="F370" s="705"/>
      <c r="G370" s="1196"/>
      <c r="H370" s="1196"/>
      <c r="I370" s="1240">
        <v>0</v>
      </c>
      <c r="J370" s="1133"/>
    </row>
    <row r="371" spans="1:10" hidden="1" x14ac:dyDescent="0.25">
      <c r="A371" s="95"/>
      <c r="B371" s="1026"/>
      <c r="C371" s="1052"/>
      <c r="D371" s="1027"/>
      <c r="E371" s="713"/>
      <c r="F371" s="705"/>
      <c r="G371" s="1044"/>
      <c r="H371" s="1045"/>
      <c r="I371" s="707"/>
      <c r="J371" s="685"/>
    </row>
    <row r="372" spans="1:10" ht="25.5" customHeight="1" x14ac:dyDescent="0.25">
      <c r="A372" s="95"/>
      <c r="B372" s="1338" t="s">
        <v>13</v>
      </c>
      <c r="C372" s="1338"/>
      <c r="D372" s="1338"/>
      <c r="E372" s="313"/>
      <c r="F372" s="729"/>
      <c r="G372" s="1372"/>
      <c r="H372" s="1372"/>
      <c r="I372" s="1336">
        <f>I315+I322+I329+I336+I343+I349+I355+I369+I361</f>
        <v>34000</v>
      </c>
      <c r="J372" s="1337"/>
    </row>
    <row r="373" spans="1:10" ht="15.75" hidden="1" x14ac:dyDescent="0.25">
      <c r="A373" s="1413" t="s">
        <v>378</v>
      </c>
      <c r="B373" s="1413"/>
      <c r="C373" s="1413"/>
      <c r="D373" s="1413"/>
      <c r="E373" s="1413"/>
      <c r="F373" s="1413"/>
      <c r="G373" s="1413"/>
      <c r="H373" s="1413"/>
      <c r="I373" s="1413"/>
      <c r="J373" s="1413"/>
    </row>
    <row r="374" spans="1:10" hidden="1" x14ac:dyDescent="0.25">
      <c r="A374" s="1414" t="s">
        <v>1</v>
      </c>
      <c r="B374" s="1416" t="s">
        <v>15</v>
      </c>
      <c r="C374" s="1417"/>
      <c r="D374" s="1418"/>
      <c r="E374" s="1416" t="s">
        <v>64</v>
      </c>
      <c r="F374" s="1418"/>
      <c r="G374" s="1346" t="s">
        <v>65</v>
      </c>
      <c r="H374" s="1346"/>
      <c r="I374" s="1346"/>
      <c r="J374" s="1346"/>
    </row>
    <row r="375" spans="1:10" ht="25.5" hidden="1" x14ac:dyDescent="0.25">
      <c r="A375" s="1415"/>
      <c r="B375" s="1419"/>
      <c r="C375" s="1420"/>
      <c r="D375" s="1421"/>
      <c r="E375" s="1419"/>
      <c r="F375" s="1421"/>
      <c r="G375" s="717" t="s">
        <v>298</v>
      </c>
      <c r="H375" s="717" t="s">
        <v>295</v>
      </c>
      <c r="I375" s="717" t="s">
        <v>296</v>
      </c>
      <c r="J375" s="717" t="s">
        <v>297</v>
      </c>
    </row>
    <row r="376" spans="1:10" hidden="1" x14ac:dyDescent="0.25">
      <c r="A376" s="717">
        <v>1</v>
      </c>
      <c r="B376" s="1346">
        <v>2</v>
      </c>
      <c r="C376" s="1346"/>
      <c r="D376" s="1346"/>
      <c r="E376" s="1344">
        <v>3</v>
      </c>
      <c r="F376" s="1345"/>
      <c r="G376" s="1346">
        <v>4</v>
      </c>
      <c r="H376" s="1346"/>
      <c r="I376" s="1346"/>
      <c r="J376" s="1346"/>
    </row>
    <row r="377" spans="1:10" hidden="1" x14ac:dyDescent="0.25">
      <c r="A377" s="728" t="s">
        <v>70</v>
      </c>
      <c r="B377" s="1386" t="s">
        <v>339</v>
      </c>
      <c r="C377" s="1386"/>
      <c r="D377" s="1386"/>
      <c r="E377" s="1387">
        <v>1</v>
      </c>
      <c r="F377" s="1388"/>
      <c r="G377" s="728" t="s">
        <v>299</v>
      </c>
      <c r="H377" s="728">
        <v>1</v>
      </c>
      <c r="I377" s="92"/>
      <c r="J377" s="101">
        <v>0</v>
      </c>
    </row>
    <row r="378" spans="1:10" hidden="1" x14ac:dyDescent="0.25">
      <c r="A378" s="728" t="s">
        <v>75</v>
      </c>
      <c r="B378" s="1386" t="s">
        <v>340</v>
      </c>
      <c r="C378" s="1386"/>
      <c r="D378" s="1386"/>
      <c r="E378" s="1387">
        <v>1</v>
      </c>
      <c r="F378" s="1388"/>
      <c r="G378" s="728" t="s">
        <v>299</v>
      </c>
      <c r="H378" s="728">
        <v>1</v>
      </c>
      <c r="I378" s="92"/>
      <c r="J378" s="101">
        <f t="shared" ref="J378:J379" si="18">H378*I378</f>
        <v>0</v>
      </c>
    </row>
    <row r="379" spans="1:10" hidden="1" x14ac:dyDescent="0.25">
      <c r="A379" s="728" t="s">
        <v>77</v>
      </c>
      <c r="B379" s="1386" t="s">
        <v>335</v>
      </c>
      <c r="C379" s="1386"/>
      <c r="D379" s="1386"/>
      <c r="E379" s="1387">
        <v>1</v>
      </c>
      <c r="F379" s="1388"/>
      <c r="G379" s="728" t="s">
        <v>299</v>
      </c>
      <c r="H379" s="729">
        <v>1</v>
      </c>
      <c r="I379" s="92"/>
      <c r="J379" s="101">
        <f t="shared" si="18"/>
        <v>0</v>
      </c>
    </row>
    <row r="380" spans="1:10" ht="15.75" hidden="1" x14ac:dyDescent="0.25">
      <c r="A380" s="381"/>
      <c r="B380" s="1393" t="s">
        <v>13</v>
      </c>
      <c r="C380" s="1393"/>
      <c r="D380" s="1393"/>
      <c r="E380" s="1394" t="s">
        <v>14</v>
      </c>
      <c r="F380" s="1395"/>
      <c r="G380" s="1396">
        <f>SUM(J377:J379)</f>
        <v>0</v>
      </c>
      <c r="H380" s="1397"/>
      <c r="I380" s="1397"/>
      <c r="J380" s="1397"/>
    </row>
    <row r="381" spans="1:10" hidden="1" x14ac:dyDescent="0.25">
      <c r="A381" s="81"/>
      <c r="B381" s="81"/>
      <c r="C381" s="81"/>
      <c r="D381" s="81"/>
      <c r="E381" s="81"/>
      <c r="F381" s="81"/>
      <c r="G381" s="81"/>
      <c r="H381" s="81"/>
      <c r="I381" s="81"/>
      <c r="J381" s="81"/>
    </row>
    <row r="382" spans="1:10" ht="32.25" customHeight="1" x14ac:dyDescent="0.25">
      <c r="A382" s="81"/>
      <c r="B382" s="81"/>
      <c r="C382" s="81"/>
      <c r="D382" s="81"/>
      <c r="E382" s="81"/>
      <c r="F382" s="81"/>
      <c r="G382" s="81"/>
      <c r="H382" s="96" t="s">
        <v>212</v>
      </c>
      <c r="I382" s="1441">
        <f>J87+J94+I105+I145+I166+I182+I196+I227+G254+G289+I294+I310+I372+G380</f>
        <v>307000.00000000006</v>
      </c>
      <c r="J382" s="1441"/>
    </row>
    <row r="383" spans="1:10" hidden="1" x14ac:dyDescent="0.25">
      <c r="A383" s="81"/>
      <c r="B383" s="81"/>
      <c r="C383" s="81"/>
      <c r="D383" s="81"/>
      <c r="E383" s="81"/>
      <c r="F383" s="81"/>
      <c r="G383" s="81"/>
      <c r="H383" s="97" t="s">
        <v>248</v>
      </c>
      <c r="I383" s="81"/>
      <c r="J383" s="81"/>
    </row>
    <row r="384" spans="1:10" hidden="1" x14ac:dyDescent="0.25">
      <c r="A384" s="81"/>
      <c r="B384" s="81"/>
      <c r="C384" s="81"/>
      <c r="D384" s="81"/>
      <c r="E384" s="81"/>
      <c r="F384" s="81"/>
      <c r="G384" s="81"/>
      <c r="H384" s="97" t="s">
        <v>262</v>
      </c>
      <c r="I384" s="1436">
        <f>J66+I99+I104+I127+I227+G254+I300+I349+G289+I196</f>
        <v>307000.00400000007</v>
      </c>
      <c r="J384" s="1436"/>
    </row>
    <row r="385" spans="1:12" hidden="1" x14ac:dyDescent="0.25">
      <c r="A385" s="81"/>
      <c r="B385" s="81"/>
      <c r="C385" s="81"/>
      <c r="D385" s="81"/>
      <c r="E385" s="81"/>
      <c r="F385" s="81"/>
      <c r="G385" s="81"/>
      <c r="H385" s="97" t="s">
        <v>527</v>
      </c>
      <c r="I385" s="1436">
        <f>J65+I144</f>
        <v>0</v>
      </c>
      <c r="J385" s="1436"/>
    </row>
    <row r="386" spans="1:12" hidden="1" x14ac:dyDescent="0.25">
      <c r="A386" s="81"/>
      <c r="B386" s="81"/>
      <c r="C386" s="81"/>
      <c r="D386" s="81"/>
      <c r="E386" s="81"/>
      <c r="F386" s="81"/>
      <c r="G386" s="81"/>
      <c r="H386" s="97" t="s">
        <v>331</v>
      </c>
      <c r="I386" s="1436">
        <v>0</v>
      </c>
      <c r="J386" s="1436"/>
    </row>
    <row r="387" spans="1:12" hidden="1" x14ac:dyDescent="0.25">
      <c r="A387" s="81"/>
      <c r="B387" s="81"/>
      <c r="C387" s="81"/>
      <c r="D387" s="81"/>
      <c r="E387" s="81"/>
      <c r="F387" s="81"/>
      <c r="G387" s="81"/>
      <c r="H387" s="97" t="s">
        <v>1081</v>
      </c>
      <c r="I387" s="1436">
        <f>I306</f>
        <v>0</v>
      </c>
      <c r="J387" s="1436"/>
    </row>
    <row r="388" spans="1:12" hidden="1" x14ac:dyDescent="0.25">
      <c r="A388" s="81"/>
      <c r="B388" s="81"/>
      <c r="C388" s="81"/>
      <c r="D388" s="81"/>
      <c r="E388" s="81"/>
      <c r="F388" s="81"/>
      <c r="G388" s="81"/>
      <c r="H388" s="97"/>
      <c r="I388" s="1436"/>
      <c r="J388" s="1436"/>
    </row>
    <row r="389" spans="1:12" hidden="1" x14ac:dyDescent="0.25">
      <c r="A389" s="81"/>
      <c r="B389" s="81"/>
      <c r="C389" s="81"/>
      <c r="D389" s="81"/>
      <c r="E389" s="81"/>
      <c r="F389" s="81"/>
      <c r="G389" s="81"/>
      <c r="H389" s="97"/>
      <c r="I389" s="1436"/>
      <c r="J389" s="1436"/>
    </row>
    <row r="390" spans="1:12" hidden="1" x14ac:dyDescent="0.25">
      <c r="A390" s="81"/>
      <c r="B390" s="81"/>
      <c r="C390" s="81"/>
      <c r="D390" s="81"/>
      <c r="E390" s="81"/>
      <c r="F390" s="81"/>
      <c r="G390" s="81"/>
      <c r="H390" s="97"/>
      <c r="I390" s="1436"/>
      <c r="J390" s="1436"/>
    </row>
    <row r="391" spans="1:12" hidden="1" x14ac:dyDescent="0.25">
      <c r="A391" s="81"/>
      <c r="B391" s="81"/>
      <c r="C391" s="81"/>
      <c r="D391" s="81"/>
      <c r="E391" s="81"/>
      <c r="F391" s="81"/>
      <c r="G391" s="81"/>
      <c r="H391" s="97"/>
      <c r="I391" s="1436"/>
      <c r="J391" s="1436"/>
    </row>
    <row r="392" spans="1:12" x14ac:dyDescent="0.25">
      <c r="A392" s="81"/>
      <c r="B392" s="81"/>
      <c r="C392" s="81"/>
      <c r="D392" s="81"/>
      <c r="E392" s="81"/>
      <c r="F392" s="81"/>
      <c r="G392" s="81"/>
      <c r="H392" s="97"/>
      <c r="I392" s="726"/>
      <c r="J392" s="726"/>
    </row>
    <row r="393" spans="1:12" x14ac:dyDescent="0.25">
      <c r="A393" s="1238" t="s">
        <v>211</v>
      </c>
      <c r="B393" s="1238"/>
      <c r="C393" s="1238"/>
      <c r="D393" s="367"/>
      <c r="E393" s="367"/>
      <c r="F393" s="368" t="s">
        <v>416</v>
      </c>
      <c r="G393" s="368"/>
      <c r="H393" s="368"/>
      <c r="I393" s="368"/>
      <c r="J393" s="44"/>
    </row>
    <row r="394" spans="1:12" s="164" customFormat="1" ht="15.75" x14ac:dyDescent="0.25">
      <c r="A394" s="727"/>
      <c r="B394" s="571"/>
      <c r="C394" s="571"/>
      <c r="D394" s="1236" t="s">
        <v>272</v>
      </c>
      <c r="E394" s="1236"/>
      <c r="F394" s="1237" t="s">
        <v>273</v>
      </c>
      <c r="G394" s="1237"/>
      <c r="H394" s="1237"/>
      <c r="I394" s="1237"/>
      <c r="J394" s="369"/>
      <c r="K394" s="292"/>
      <c r="L394" s="282">
        <f>I384+I390</f>
        <v>307000.00400000007</v>
      </c>
    </row>
    <row r="395" spans="1:12" x14ac:dyDescent="0.25">
      <c r="A395" s="1238" t="s">
        <v>415</v>
      </c>
      <c r="B395" s="1238"/>
      <c r="C395" s="1238"/>
      <c r="D395" s="367"/>
      <c r="E395" s="367"/>
      <c r="F395" s="368" t="s">
        <v>417</v>
      </c>
      <c r="G395" s="368"/>
      <c r="H395" s="368"/>
      <c r="I395" s="368"/>
      <c r="J395" s="44"/>
    </row>
    <row r="396" spans="1:12" x14ac:dyDescent="0.25">
      <c r="A396" s="706"/>
      <c r="B396" s="706"/>
      <c r="C396" s="706"/>
      <c r="D396" s="1241" t="s">
        <v>272</v>
      </c>
      <c r="E396" s="1241"/>
      <c r="F396" s="1258" t="s">
        <v>273</v>
      </c>
      <c r="G396" s="1258"/>
      <c r="H396" s="1258"/>
      <c r="I396" s="1258"/>
      <c r="J396" s="45"/>
    </row>
    <row r="397" spans="1:12" x14ac:dyDescent="0.25">
      <c r="A397" s="725"/>
      <c r="B397" s="725"/>
      <c r="C397" s="725"/>
      <c r="D397" s="1236"/>
      <c r="E397" s="1236"/>
      <c r="F397" s="1237"/>
      <c r="G397" s="1237"/>
      <c r="H397" s="1237"/>
      <c r="I397" s="1237"/>
      <c r="J397" s="44"/>
    </row>
    <row r="398" spans="1:12" x14ac:dyDescent="0.25">
      <c r="A398" s="725"/>
      <c r="B398" s="725"/>
      <c r="C398" s="725"/>
      <c r="D398" s="725"/>
      <c r="E398" s="725"/>
      <c r="F398" s="725"/>
      <c r="G398" s="44"/>
      <c r="H398" s="44"/>
      <c r="I398" s="44"/>
      <c r="J398" s="44"/>
    </row>
    <row r="399" spans="1:12" x14ac:dyDescent="0.25">
      <c r="A399" s="1437" t="s">
        <v>418</v>
      </c>
      <c r="B399" s="1437"/>
      <c r="C399" s="725"/>
      <c r="D399" s="725"/>
      <c r="E399" s="725"/>
      <c r="F399" s="725"/>
      <c r="G399" s="44"/>
      <c r="H399" s="44"/>
      <c r="I399" s="44"/>
      <c r="J399" s="44"/>
    </row>
    <row r="400" spans="1:12" x14ac:dyDescent="0.25">
      <c r="A400" s="725"/>
      <c r="B400" s="725"/>
      <c r="C400" s="725"/>
      <c r="D400" s="725"/>
      <c r="E400" s="725"/>
      <c r="F400" s="725"/>
      <c r="G400" s="44"/>
      <c r="H400" s="44"/>
      <c r="I400" s="44"/>
      <c r="J400" s="44"/>
    </row>
    <row r="401" spans="1:10" x14ac:dyDescent="0.25">
      <c r="A401" s="1434"/>
      <c r="B401" s="1434"/>
      <c r="C401" s="725"/>
      <c r="D401" s="725"/>
      <c r="E401" s="725"/>
      <c r="F401" s="725"/>
      <c r="G401" s="44"/>
      <c r="H401" s="44"/>
      <c r="I401" s="44"/>
      <c r="J401" s="44"/>
    </row>
  </sheetData>
  <mergeCells count="819">
    <mergeCell ref="I387:J387"/>
    <mergeCell ref="I382:J382"/>
    <mergeCell ref="A401:B401"/>
    <mergeCell ref="D397:E397"/>
    <mergeCell ref="F397:I397"/>
    <mergeCell ref="A399:B399"/>
    <mergeCell ref="A393:C393"/>
    <mergeCell ref="D394:E394"/>
    <mergeCell ref="F394:I394"/>
    <mergeCell ref="A395:C395"/>
    <mergeCell ref="D396:E396"/>
    <mergeCell ref="F396:I396"/>
    <mergeCell ref="G368:H368"/>
    <mergeCell ref="I368:J368"/>
    <mergeCell ref="G369:H369"/>
    <mergeCell ref="I369:J369"/>
    <mergeCell ref="G370:H370"/>
    <mergeCell ref="I370:J370"/>
    <mergeCell ref="G371:H371"/>
    <mergeCell ref="B372:D372"/>
    <mergeCell ref="G372:H372"/>
    <mergeCell ref="I372:J372"/>
    <mergeCell ref="B368:D368"/>
    <mergeCell ref="E368:F368"/>
    <mergeCell ref="B369:D369"/>
    <mergeCell ref="B370:D370"/>
    <mergeCell ref="B371:D371"/>
    <mergeCell ref="A1:J1"/>
    <mergeCell ref="A2:J2"/>
    <mergeCell ref="A3:J3"/>
    <mergeCell ref="A5:J5"/>
    <mergeCell ref="A8:J8"/>
    <mergeCell ref="A9:A11"/>
    <mergeCell ref="B9:B11"/>
    <mergeCell ref="C9:C11"/>
    <mergeCell ref="D9:G9"/>
    <mergeCell ref="H9:H11"/>
    <mergeCell ref="A22:J22"/>
    <mergeCell ref="A23:J23"/>
    <mergeCell ref="A36:J36"/>
    <mergeCell ref="A51:J51"/>
    <mergeCell ref="A56:J56"/>
    <mergeCell ref="A66:B66"/>
    <mergeCell ref="I9:I11"/>
    <mergeCell ref="J9:J11"/>
    <mergeCell ref="D10:D11"/>
    <mergeCell ref="E10:G10"/>
    <mergeCell ref="A13:J13"/>
    <mergeCell ref="A14:J14"/>
    <mergeCell ref="J71:J73"/>
    <mergeCell ref="D72:D73"/>
    <mergeCell ref="E72:G72"/>
    <mergeCell ref="A75:J75"/>
    <mergeCell ref="A82:I82"/>
    <mergeCell ref="A83:I83"/>
    <mergeCell ref="A67:I67"/>
    <mergeCell ref="A68:I68"/>
    <mergeCell ref="A71:A73"/>
    <mergeCell ref="B71:B73"/>
    <mergeCell ref="C71:C73"/>
    <mergeCell ref="D71:G71"/>
    <mergeCell ref="H71:H73"/>
    <mergeCell ref="I71:I73"/>
    <mergeCell ref="B91:D91"/>
    <mergeCell ref="E91:F91"/>
    <mergeCell ref="G91:H91"/>
    <mergeCell ref="I91:J91"/>
    <mergeCell ref="B92:D92"/>
    <mergeCell ref="E92:F92"/>
    <mergeCell ref="G92:H92"/>
    <mergeCell ref="I92:J92"/>
    <mergeCell ref="A85:J85"/>
    <mergeCell ref="A86:B86"/>
    <mergeCell ref="A87:I87"/>
    <mergeCell ref="A89:J89"/>
    <mergeCell ref="B90:D90"/>
    <mergeCell ref="E90:F90"/>
    <mergeCell ref="G90:H90"/>
    <mergeCell ref="I90:J90"/>
    <mergeCell ref="A95:J95"/>
    <mergeCell ref="B96:D96"/>
    <mergeCell ref="E96:F96"/>
    <mergeCell ref="I96:J96"/>
    <mergeCell ref="B97:D97"/>
    <mergeCell ref="E97:F97"/>
    <mergeCell ref="I97:J97"/>
    <mergeCell ref="B93:D93"/>
    <mergeCell ref="E93:F93"/>
    <mergeCell ref="G93:H93"/>
    <mergeCell ref="I93:J93"/>
    <mergeCell ref="B94:D94"/>
    <mergeCell ref="E94:F94"/>
    <mergeCell ref="G94:H94"/>
    <mergeCell ref="B102:D102"/>
    <mergeCell ref="E102:F102"/>
    <mergeCell ref="I102:J102"/>
    <mergeCell ref="A103:J103"/>
    <mergeCell ref="B104:D104"/>
    <mergeCell ref="E104:F104"/>
    <mergeCell ref="I104:J104"/>
    <mergeCell ref="A98:J98"/>
    <mergeCell ref="B99:D99"/>
    <mergeCell ref="E99:F99"/>
    <mergeCell ref="I99:J99"/>
    <mergeCell ref="A100:J100"/>
    <mergeCell ref="B101:D101"/>
    <mergeCell ref="E101:F101"/>
    <mergeCell ref="I101:J101"/>
    <mergeCell ref="B108:D108"/>
    <mergeCell ref="E108:F108"/>
    <mergeCell ref="I108:J108"/>
    <mergeCell ref="B109:D109"/>
    <mergeCell ref="E109:F109"/>
    <mergeCell ref="I109:J109"/>
    <mergeCell ref="B105:D105"/>
    <mergeCell ref="E105:F105"/>
    <mergeCell ref="I105:J105"/>
    <mergeCell ref="A106:J106"/>
    <mergeCell ref="B107:D107"/>
    <mergeCell ref="E107:F107"/>
    <mergeCell ref="I107:J107"/>
    <mergeCell ref="B113:F113"/>
    <mergeCell ref="G113:H113"/>
    <mergeCell ref="I113:J113"/>
    <mergeCell ref="B114:F114"/>
    <mergeCell ref="G114:H114"/>
    <mergeCell ref="I114:J114"/>
    <mergeCell ref="B110:D110"/>
    <mergeCell ref="E110:F110"/>
    <mergeCell ref="I110:J110"/>
    <mergeCell ref="A111:J111"/>
    <mergeCell ref="B112:F112"/>
    <mergeCell ref="G112:H112"/>
    <mergeCell ref="I112:J112"/>
    <mergeCell ref="B117:F117"/>
    <mergeCell ref="G117:H117"/>
    <mergeCell ref="I117:J117"/>
    <mergeCell ref="B118:F118"/>
    <mergeCell ref="G118:H118"/>
    <mergeCell ref="I118:J118"/>
    <mergeCell ref="B115:F115"/>
    <mergeCell ref="G115:H115"/>
    <mergeCell ref="I115:J115"/>
    <mergeCell ref="B116:F116"/>
    <mergeCell ref="G116:H116"/>
    <mergeCell ref="I116:J116"/>
    <mergeCell ref="B121:F121"/>
    <mergeCell ref="G121:H121"/>
    <mergeCell ref="I121:J121"/>
    <mergeCell ref="B122:F122"/>
    <mergeCell ref="G122:H122"/>
    <mergeCell ref="I122:J122"/>
    <mergeCell ref="B119:F119"/>
    <mergeCell ref="G119:H119"/>
    <mergeCell ref="I119:J119"/>
    <mergeCell ref="B120:F120"/>
    <mergeCell ref="G120:H120"/>
    <mergeCell ref="I120:J120"/>
    <mergeCell ref="B125:F125"/>
    <mergeCell ref="G125:H125"/>
    <mergeCell ref="I125:J125"/>
    <mergeCell ref="B126:F126"/>
    <mergeCell ref="G126:H126"/>
    <mergeCell ref="I126:J126"/>
    <mergeCell ref="B123:F123"/>
    <mergeCell ref="G123:H123"/>
    <mergeCell ref="I123:J123"/>
    <mergeCell ref="B124:F124"/>
    <mergeCell ref="G124:H124"/>
    <mergeCell ref="I124:J124"/>
    <mergeCell ref="B129:F129"/>
    <mergeCell ref="G129:H129"/>
    <mergeCell ref="I129:J129"/>
    <mergeCell ref="B130:F130"/>
    <mergeCell ref="G130:H130"/>
    <mergeCell ref="I130:J130"/>
    <mergeCell ref="B127:F127"/>
    <mergeCell ref="G127:H127"/>
    <mergeCell ref="I127:J127"/>
    <mergeCell ref="B128:F128"/>
    <mergeCell ref="G128:H128"/>
    <mergeCell ref="I128:J128"/>
    <mergeCell ref="B133:F133"/>
    <mergeCell ref="G133:H133"/>
    <mergeCell ref="I133:J133"/>
    <mergeCell ref="B134:F134"/>
    <mergeCell ref="G134:H134"/>
    <mergeCell ref="I134:J134"/>
    <mergeCell ref="B131:F131"/>
    <mergeCell ref="G131:H131"/>
    <mergeCell ref="I131:J131"/>
    <mergeCell ref="B132:F132"/>
    <mergeCell ref="G132:H132"/>
    <mergeCell ref="I132:J132"/>
    <mergeCell ref="B137:F137"/>
    <mergeCell ref="G137:H137"/>
    <mergeCell ref="I137:J137"/>
    <mergeCell ref="B138:F138"/>
    <mergeCell ref="G138:H138"/>
    <mergeCell ref="I138:J138"/>
    <mergeCell ref="B135:F135"/>
    <mergeCell ref="G135:H135"/>
    <mergeCell ref="I135:J135"/>
    <mergeCell ref="B136:F136"/>
    <mergeCell ref="G136:H136"/>
    <mergeCell ref="I136:J136"/>
    <mergeCell ref="B141:F141"/>
    <mergeCell ref="G141:H141"/>
    <mergeCell ref="I141:J141"/>
    <mergeCell ref="B142:F142"/>
    <mergeCell ref="G142:H142"/>
    <mergeCell ref="I142:J142"/>
    <mergeCell ref="B139:F139"/>
    <mergeCell ref="G139:H139"/>
    <mergeCell ref="I139:J139"/>
    <mergeCell ref="B140:F140"/>
    <mergeCell ref="G140:H140"/>
    <mergeCell ref="I140:J140"/>
    <mergeCell ref="K145:L145"/>
    <mergeCell ref="A146:J146"/>
    <mergeCell ref="A147:J147"/>
    <mergeCell ref="B150:D150"/>
    <mergeCell ref="E150:F150"/>
    <mergeCell ref="G150:H150"/>
    <mergeCell ref="I150:J150"/>
    <mergeCell ref="B143:F143"/>
    <mergeCell ref="G143:H143"/>
    <mergeCell ref="I143:J143"/>
    <mergeCell ref="B144:F144"/>
    <mergeCell ref="I144:J144"/>
    <mergeCell ref="B145:F145"/>
    <mergeCell ref="G145:H145"/>
    <mergeCell ref="I145:J145"/>
    <mergeCell ref="B153:D153"/>
    <mergeCell ref="E153:F153"/>
    <mergeCell ref="G153:H153"/>
    <mergeCell ref="I153:J153"/>
    <mergeCell ref="B154:D154"/>
    <mergeCell ref="E154:F154"/>
    <mergeCell ref="G154:H154"/>
    <mergeCell ref="I154:J154"/>
    <mergeCell ref="B151:D151"/>
    <mergeCell ref="E151:F151"/>
    <mergeCell ref="G151:H151"/>
    <mergeCell ref="I151:J151"/>
    <mergeCell ref="B152:D152"/>
    <mergeCell ref="E152:F152"/>
    <mergeCell ref="G152:H152"/>
    <mergeCell ref="I152:J152"/>
    <mergeCell ref="A161:A162"/>
    <mergeCell ref="B161:C162"/>
    <mergeCell ref="E161:F161"/>
    <mergeCell ref="G161:H161"/>
    <mergeCell ref="I161:J161"/>
    <mergeCell ref="E162:F162"/>
    <mergeCell ref="B155:D155"/>
    <mergeCell ref="E155:F155"/>
    <mergeCell ref="G155:H155"/>
    <mergeCell ref="I155:J155"/>
    <mergeCell ref="A156:J156"/>
    <mergeCell ref="B159:D159"/>
    <mergeCell ref="E159:F159"/>
    <mergeCell ref="G159:H159"/>
    <mergeCell ref="I159:J159"/>
    <mergeCell ref="G162:H162"/>
    <mergeCell ref="I162:J162"/>
    <mergeCell ref="B163:D163"/>
    <mergeCell ref="E163:F163"/>
    <mergeCell ref="G163:H163"/>
    <mergeCell ref="I163:J163"/>
    <mergeCell ref="B160:D160"/>
    <mergeCell ref="E160:F160"/>
    <mergeCell ref="G160:H160"/>
    <mergeCell ref="I160:J160"/>
    <mergeCell ref="B166:D166"/>
    <mergeCell ref="E166:F166"/>
    <mergeCell ref="G166:H166"/>
    <mergeCell ref="I166:J166"/>
    <mergeCell ref="A167:J167"/>
    <mergeCell ref="K167:L167"/>
    <mergeCell ref="B164:D164"/>
    <mergeCell ref="E164:F164"/>
    <mergeCell ref="G164:H164"/>
    <mergeCell ref="I164:J164"/>
    <mergeCell ref="B165:D165"/>
    <mergeCell ref="E165:F165"/>
    <mergeCell ref="G165:H165"/>
    <mergeCell ref="I165:J165"/>
    <mergeCell ref="B172:D172"/>
    <mergeCell ref="E172:F172"/>
    <mergeCell ref="G172:H172"/>
    <mergeCell ref="I172:J172"/>
    <mergeCell ref="B173:D173"/>
    <mergeCell ref="E173:F173"/>
    <mergeCell ref="G173:H173"/>
    <mergeCell ref="I173:J173"/>
    <mergeCell ref="B170:D170"/>
    <mergeCell ref="E170:F170"/>
    <mergeCell ref="G170:H170"/>
    <mergeCell ref="I170:J170"/>
    <mergeCell ref="B171:D171"/>
    <mergeCell ref="E171:F171"/>
    <mergeCell ref="G171:H171"/>
    <mergeCell ref="I171:J171"/>
    <mergeCell ref="B179:D179"/>
    <mergeCell ref="E179:F179"/>
    <mergeCell ref="G179:H179"/>
    <mergeCell ref="I179:J179"/>
    <mergeCell ref="B180:D180"/>
    <mergeCell ref="E180:F180"/>
    <mergeCell ref="G180:H180"/>
    <mergeCell ref="I180:J180"/>
    <mergeCell ref="A174:J174"/>
    <mergeCell ref="A177:J177"/>
    <mergeCell ref="B178:D178"/>
    <mergeCell ref="E178:F178"/>
    <mergeCell ref="G178:H178"/>
    <mergeCell ref="I178:J178"/>
    <mergeCell ref="A183:J183"/>
    <mergeCell ref="A186:J186"/>
    <mergeCell ref="B187:D187"/>
    <mergeCell ref="G187:H187"/>
    <mergeCell ref="I187:J187"/>
    <mergeCell ref="B188:D188"/>
    <mergeCell ref="G188:H188"/>
    <mergeCell ref="I188:J188"/>
    <mergeCell ref="B181:D181"/>
    <mergeCell ref="E181:F181"/>
    <mergeCell ref="G181:H181"/>
    <mergeCell ref="I181:J181"/>
    <mergeCell ref="B182:D182"/>
    <mergeCell ref="E182:F182"/>
    <mergeCell ref="G182:H182"/>
    <mergeCell ref="I182:J182"/>
    <mergeCell ref="B191:D191"/>
    <mergeCell ref="G191:H191"/>
    <mergeCell ref="I191:J191"/>
    <mergeCell ref="B192:D192"/>
    <mergeCell ref="G192:H192"/>
    <mergeCell ref="I192:J192"/>
    <mergeCell ref="B189:D189"/>
    <mergeCell ref="G189:H189"/>
    <mergeCell ref="I189:J189"/>
    <mergeCell ref="B190:D190"/>
    <mergeCell ref="G190:H190"/>
    <mergeCell ref="I190:J190"/>
    <mergeCell ref="B195:D195"/>
    <mergeCell ref="G195:H195"/>
    <mergeCell ref="I195:J195"/>
    <mergeCell ref="B196:D196"/>
    <mergeCell ref="G196:H196"/>
    <mergeCell ref="I196:J196"/>
    <mergeCell ref="B193:D193"/>
    <mergeCell ref="G193:H193"/>
    <mergeCell ref="I193:J193"/>
    <mergeCell ref="B194:D194"/>
    <mergeCell ref="G194:H194"/>
    <mergeCell ref="I194:J194"/>
    <mergeCell ref="B201:D201"/>
    <mergeCell ref="E201:F201"/>
    <mergeCell ref="G201:H201"/>
    <mergeCell ref="I201:J201"/>
    <mergeCell ref="B202:D202"/>
    <mergeCell ref="E202:F202"/>
    <mergeCell ref="G202:H202"/>
    <mergeCell ref="I202:J202"/>
    <mergeCell ref="A198:J198"/>
    <mergeCell ref="B199:D199"/>
    <mergeCell ref="E199:F199"/>
    <mergeCell ref="G199:H199"/>
    <mergeCell ref="I199:J199"/>
    <mergeCell ref="B200:D200"/>
    <mergeCell ref="E200:F200"/>
    <mergeCell ref="G200:H200"/>
    <mergeCell ref="I200:J200"/>
    <mergeCell ref="B206:D206"/>
    <mergeCell ref="F206:G206"/>
    <mergeCell ref="I206:J206"/>
    <mergeCell ref="B207:D207"/>
    <mergeCell ref="F207:G207"/>
    <mergeCell ref="I207:J207"/>
    <mergeCell ref="A203:J203"/>
    <mergeCell ref="B204:D204"/>
    <mergeCell ref="F204:G204"/>
    <mergeCell ref="I204:J204"/>
    <mergeCell ref="B205:D205"/>
    <mergeCell ref="F205:G205"/>
    <mergeCell ref="I205:J205"/>
    <mergeCell ref="B210:D210"/>
    <mergeCell ref="F210:G210"/>
    <mergeCell ref="I210:J210"/>
    <mergeCell ref="B211:D211"/>
    <mergeCell ref="F211:G211"/>
    <mergeCell ref="I211:J211"/>
    <mergeCell ref="B208:D208"/>
    <mergeCell ref="F208:G208"/>
    <mergeCell ref="I208:J208"/>
    <mergeCell ref="B209:D209"/>
    <mergeCell ref="F209:G209"/>
    <mergeCell ref="I209:J209"/>
    <mergeCell ref="B214:D214"/>
    <mergeCell ref="F214:G214"/>
    <mergeCell ref="I214:J214"/>
    <mergeCell ref="B215:D215"/>
    <mergeCell ref="F215:G215"/>
    <mergeCell ref="I215:J215"/>
    <mergeCell ref="B212:D212"/>
    <mergeCell ref="F212:G212"/>
    <mergeCell ref="I212:J212"/>
    <mergeCell ref="B213:D213"/>
    <mergeCell ref="F213:G213"/>
    <mergeCell ref="I213:J213"/>
    <mergeCell ref="B218:D218"/>
    <mergeCell ref="F218:G218"/>
    <mergeCell ref="I218:J218"/>
    <mergeCell ref="B219:D219"/>
    <mergeCell ref="F219:G219"/>
    <mergeCell ref="I219:J219"/>
    <mergeCell ref="B216:D216"/>
    <mergeCell ref="F216:G216"/>
    <mergeCell ref="I216:J216"/>
    <mergeCell ref="B217:D217"/>
    <mergeCell ref="F217:G217"/>
    <mergeCell ref="I217:J217"/>
    <mergeCell ref="B222:D222"/>
    <mergeCell ref="F222:G222"/>
    <mergeCell ref="I222:J222"/>
    <mergeCell ref="B223:D223"/>
    <mergeCell ref="F223:G223"/>
    <mergeCell ref="I223:J223"/>
    <mergeCell ref="B220:D220"/>
    <mergeCell ref="F220:G220"/>
    <mergeCell ref="I220:J220"/>
    <mergeCell ref="B221:D221"/>
    <mergeCell ref="F221:G221"/>
    <mergeCell ref="I221:J221"/>
    <mergeCell ref="B226:D226"/>
    <mergeCell ref="F226:G226"/>
    <mergeCell ref="I226:J226"/>
    <mergeCell ref="B227:D227"/>
    <mergeCell ref="F227:G227"/>
    <mergeCell ref="I227:J227"/>
    <mergeCell ref="B224:D224"/>
    <mergeCell ref="F224:G224"/>
    <mergeCell ref="I224:J224"/>
    <mergeCell ref="B225:D225"/>
    <mergeCell ref="F225:G225"/>
    <mergeCell ref="I225:J225"/>
    <mergeCell ref="A228:J228"/>
    <mergeCell ref="B229:D229"/>
    <mergeCell ref="E229:F229"/>
    <mergeCell ref="G229:H229"/>
    <mergeCell ref="I229:J229"/>
    <mergeCell ref="B230:D230"/>
    <mergeCell ref="E230:F230"/>
    <mergeCell ref="G230:H230"/>
    <mergeCell ref="I230:J230"/>
    <mergeCell ref="A233:J233"/>
    <mergeCell ref="A234:A235"/>
    <mergeCell ref="B234:D235"/>
    <mergeCell ref="E234:E235"/>
    <mergeCell ref="F234:F235"/>
    <mergeCell ref="G234:J234"/>
    <mergeCell ref="B231:D231"/>
    <mergeCell ref="E231:F231"/>
    <mergeCell ref="G231:H231"/>
    <mergeCell ref="I231:J231"/>
    <mergeCell ref="B232:D232"/>
    <mergeCell ref="E232:F232"/>
    <mergeCell ref="G232:H232"/>
    <mergeCell ref="I232:J232"/>
    <mergeCell ref="A241:A242"/>
    <mergeCell ref="B241:D242"/>
    <mergeCell ref="B243:D243"/>
    <mergeCell ref="B244:D244"/>
    <mergeCell ref="B245:D245"/>
    <mergeCell ref="B246:D246"/>
    <mergeCell ref="B236:D236"/>
    <mergeCell ref="G236:J236"/>
    <mergeCell ref="B237:D237"/>
    <mergeCell ref="B238:D238"/>
    <mergeCell ref="B239:D239"/>
    <mergeCell ref="B240:D240"/>
    <mergeCell ref="B253:D253"/>
    <mergeCell ref="B254:D254"/>
    <mergeCell ref="G254:J254"/>
    <mergeCell ref="A255:J255"/>
    <mergeCell ref="A256:A257"/>
    <mergeCell ref="B256:D257"/>
    <mergeCell ref="E256:F257"/>
    <mergeCell ref="G256:J256"/>
    <mergeCell ref="B247:D247"/>
    <mergeCell ref="B248:D248"/>
    <mergeCell ref="B249:D249"/>
    <mergeCell ref="B250:D250"/>
    <mergeCell ref="B251:D251"/>
    <mergeCell ref="B252:D252"/>
    <mergeCell ref="B261:D261"/>
    <mergeCell ref="E261:F261"/>
    <mergeCell ref="B262:D262"/>
    <mergeCell ref="E262:F262"/>
    <mergeCell ref="B263:D263"/>
    <mergeCell ref="E263:F263"/>
    <mergeCell ref="B258:D258"/>
    <mergeCell ref="E258:F258"/>
    <mergeCell ref="G258:J258"/>
    <mergeCell ref="B259:D259"/>
    <mergeCell ref="E259:F259"/>
    <mergeCell ref="B260:D260"/>
    <mergeCell ref="B267:D267"/>
    <mergeCell ref="E267:F267"/>
    <mergeCell ref="B268:D268"/>
    <mergeCell ref="E268:F268"/>
    <mergeCell ref="B269:D269"/>
    <mergeCell ref="E269:F269"/>
    <mergeCell ref="B264:D264"/>
    <mergeCell ref="E264:F264"/>
    <mergeCell ref="B265:D265"/>
    <mergeCell ref="E265:F265"/>
    <mergeCell ref="B266:D266"/>
    <mergeCell ref="E266:F266"/>
    <mergeCell ref="B275:D275"/>
    <mergeCell ref="E275:F275"/>
    <mergeCell ref="B276:D276"/>
    <mergeCell ref="E276:F276"/>
    <mergeCell ref="B270:D270"/>
    <mergeCell ref="E270:F270"/>
    <mergeCell ref="B271:D271"/>
    <mergeCell ref="E271:F271"/>
    <mergeCell ref="B272:D272"/>
    <mergeCell ref="E272:F272"/>
    <mergeCell ref="B273:D273"/>
    <mergeCell ref="E273:F273"/>
    <mergeCell ref="B280:D280"/>
    <mergeCell ref="B281:D281"/>
    <mergeCell ref="B282:D282"/>
    <mergeCell ref="E282:F282"/>
    <mergeCell ref="B283:D283"/>
    <mergeCell ref="E283:F283"/>
    <mergeCell ref="B277:D277"/>
    <mergeCell ref="E277:F277"/>
    <mergeCell ref="B278:D278"/>
    <mergeCell ref="E278:F278"/>
    <mergeCell ref="B279:D279"/>
    <mergeCell ref="E279:F279"/>
    <mergeCell ref="E280:F280"/>
    <mergeCell ref="B287:D287"/>
    <mergeCell ref="E287:F287"/>
    <mergeCell ref="B288:D288"/>
    <mergeCell ref="E288:F288"/>
    <mergeCell ref="B284:D284"/>
    <mergeCell ref="E284:F284"/>
    <mergeCell ref="B285:D285"/>
    <mergeCell ref="E285:F285"/>
    <mergeCell ref="B286:D286"/>
    <mergeCell ref="E286:F286"/>
    <mergeCell ref="B289:D289"/>
    <mergeCell ref="E289:F289"/>
    <mergeCell ref="G289:J289"/>
    <mergeCell ref="B292:D292"/>
    <mergeCell ref="E292:F292"/>
    <mergeCell ref="G292:H292"/>
    <mergeCell ref="I292:J292"/>
    <mergeCell ref="B293:D293"/>
    <mergeCell ref="E293:F293"/>
    <mergeCell ref="G293:H293"/>
    <mergeCell ref="I293:J293"/>
    <mergeCell ref="B291:D291"/>
    <mergeCell ref="E291:F291"/>
    <mergeCell ref="G291:H291"/>
    <mergeCell ref="I291:J291"/>
    <mergeCell ref="A290:J290"/>
    <mergeCell ref="B296:D296"/>
    <mergeCell ref="E296:F296"/>
    <mergeCell ref="G296:H296"/>
    <mergeCell ref="I296:J296"/>
    <mergeCell ref="B294:D294"/>
    <mergeCell ref="E294:F294"/>
    <mergeCell ref="G294:H294"/>
    <mergeCell ref="I294:J294"/>
    <mergeCell ref="A295:J295"/>
    <mergeCell ref="B299:D299"/>
    <mergeCell ref="G299:H299"/>
    <mergeCell ref="I299:J299"/>
    <mergeCell ref="B300:D300"/>
    <mergeCell ref="G300:H300"/>
    <mergeCell ref="I300:J300"/>
    <mergeCell ref="B297:D297"/>
    <mergeCell ref="G297:H297"/>
    <mergeCell ref="I297:J297"/>
    <mergeCell ref="B298:D298"/>
    <mergeCell ref="G298:H298"/>
    <mergeCell ref="I298:J298"/>
    <mergeCell ref="E297:F297"/>
    <mergeCell ref="B303:D303"/>
    <mergeCell ref="G303:H303"/>
    <mergeCell ref="I303:J303"/>
    <mergeCell ref="B304:D304"/>
    <mergeCell ref="G304:H304"/>
    <mergeCell ref="I304:J304"/>
    <mergeCell ref="B301:D301"/>
    <mergeCell ref="G301:H301"/>
    <mergeCell ref="I301:J301"/>
    <mergeCell ref="B302:D302"/>
    <mergeCell ref="G302:H302"/>
    <mergeCell ref="I302:J302"/>
    <mergeCell ref="B307:D307"/>
    <mergeCell ref="G307:H307"/>
    <mergeCell ref="I307:J307"/>
    <mergeCell ref="B308:D308"/>
    <mergeCell ref="G308:H308"/>
    <mergeCell ref="I308:J308"/>
    <mergeCell ref="B305:D305"/>
    <mergeCell ref="G305:H305"/>
    <mergeCell ref="I305:J305"/>
    <mergeCell ref="B306:D306"/>
    <mergeCell ref="G306:H306"/>
    <mergeCell ref="I306:J306"/>
    <mergeCell ref="E305:F305"/>
    <mergeCell ref="B313:D313"/>
    <mergeCell ref="E313:F313"/>
    <mergeCell ref="G313:H313"/>
    <mergeCell ref="I313:J313"/>
    <mergeCell ref="B309:D309"/>
    <mergeCell ref="G309:H309"/>
    <mergeCell ref="I309:J309"/>
    <mergeCell ref="A311:J311"/>
    <mergeCell ref="B310:D310"/>
    <mergeCell ref="E310:F310"/>
    <mergeCell ref="G310:H310"/>
    <mergeCell ref="I310:J310"/>
    <mergeCell ref="A312:J312"/>
    <mergeCell ref="B316:D316"/>
    <mergeCell ref="G316:H316"/>
    <mergeCell ref="I316:J316"/>
    <mergeCell ref="B317:D317"/>
    <mergeCell ref="G317:H317"/>
    <mergeCell ref="I317:J317"/>
    <mergeCell ref="B314:D314"/>
    <mergeCell ref="G314:H314"/>
    <mergeCell ref="I314:J314"/>
    <mergeCell ref="B315:D315"/>
    <mergeCell ref="G315:H315"/>
    <mergeCell ref="I315:J315"/>
    <mergeCell ref="E314:F314"/>
    <mergeCell ref="B320:D320"/>
    <mergeCell ref="E320:F320"/>
    <mergeCell ref="G320:H320"/>
    <mergeCell ref="I320:J320"/>
    <mergeCell ref="B318:D318"/>
    <mergeCell ref="E318:F318"/>
    <mergeCell ref="G318:H318"/>
    <mergeCell ref="I318:J318"/>
    <mergeCell ref="A319:J319"/>
    <mergeCell ref="B323:D323"/>
    <mergeCell ref="G323:H323"/>
    <mergeCell ref="I323:J323"/>
    <mergeCell ref="B324:D324"/>
    <mergeCell ref="G324:H324"/>
    <mergeCell ref="I324:J324"/>
    <mergeCell ref="B321:D321"/>
    <mergeCell ref="G321:H321"/>
    <mergeCell ref="I321:J321"/>
    <mergeCell ref="B322:D322"/>
    <mergeCell ref="G322:H322"/>
    <mergeCell ref="I322:J322"/>
    <mergeCell ref="E321:F321"/>
    <mergeCell ref="B327:D327"/>
    <mergeCell ref="E327:F327"/>
    <mergeCell ref="G327:H327"/>
    <mergeCell ref="I327:J327"/>
    <mergeCell ref="B325:D325"/>
    <mergeCell ref="E325:F325"/>
    <mergeCell ref="G325:H325"/>
    <mergeCell ref="I325:J325"/>
    <mergeCell ref="A326:J326"/>
    <mergeCell ref="B330:D330"/>
    <mergeCell ref="G330:H330"/>
    <mergeCell ref="I330:J330"/>
    <mergeCell ref="B331:D331"/>
    <mergeCell ref="G331:H331"/>
    <mergeCell ref="I331:J331"/>
    <mergeCell ref="B328:D328"/>
    <mergeCell ref="G328:H328"/>
    <mergeCell ref="I328:J328"/>
    <mergeCell ref="B329:D329"/>
    <mergeCell ref="G329:H329"/>
    <mergeCell ref="I329:J329"/>
    <mergeCell ref="E328:F328"/>
    <mergeCell ref="B334:D334"/>
    <mergeCell ref="E334:F334"/>
    <mergeCell ref="G334:H334"/>
    <mergeCell ref="I334:J334"/>
    <mergeCell ref="B332:D332"/>
    <mergeCell ref="E332:F332"/>
    <mergeCell ref="G332:H332"/>
    <mergeCell ref="I332:J332"/>
    <mergeCell ref="A333:J333"/>
    <mergeCell ref="B337:D337"/>
    <mergeCell ref="G337:H337"/>
    <mergeCell ref="I337:J337"/>
    <mergeCell ref="B338:D338"/>
    <mergeCell ref="G338:H338"/>
    <mergeCell ref="I338:J338"/>
    <mergeCell ref="B335:D335"/>
    <mergeCell ref="G335:H335"/>
    <mergeCell ref="I335:J335"/>
    <mergeCell ref="B336:D336"/>
    <mergeCell ref="G336:H336"/>
    <mergeCell ref="I336:J336"/>
    <mergeCell ref="E335:F335"/>
    <mergeCell ref="B339:D339"/>
    <mergeCell ref="E339:F339"/>
    <mergeCell ref="G339:H339"/>
    <mergeCell ref="I339:J339"/>
    <mergeCell ref="A340:J340"/>
    <mergeCell ref="E342:F342"/>
    <mergeCell ref="B347:D347"/>
    <mergeCell ref="E347:F347"/>
    <mergeCell ref="G347:H347"/>
    <mergeCell ref="I347:J347"/>
    <mergeCell ref="B342:D342"/>
    <mergeCell ref="G342:H342"/>
    <mergeCell ref="I342:J342"/>
    <mergeCell ref="B343:D343"/>
    <mergeCell ref="G343:H343"/>
    <mergeCell ref="I343:J343"/>
    <mergeCell ref="B341:D341"/>
    <mergeCell ref="E341:F341"/>
    <mergeCell ref="G341:H341"/>
    <mergeCell ref="I341:J341"/>
    <mergeCell ref="B348:D348"/>
    <mergeCell ref="G348:H348"/>
    <mergeCell ref="I348:J348"/>
    <mergeCell ref="B344:D344"/>
    <mergeCell ref="G344:H344"/>
    <mergeCell ref="I344:J344"/>
    <mergeCell ref="B345:D345"/>
    <mergeCell ref="G345:H345"/>
    <mergeCell ref="I345:J345"/>
    <mergeCell ref="A346:J346"/>
    <mergeCell ref="E348:F348"/>
    <mergeCell ref="B351:D351"/>
    <mergeCell ref="G351:H351"/>
    <mergeCell ref="I351:J351"/>
    <mergeCell ref="B349:D349"/>
    <mergeCell ref="G349:H349"/>
    <mergeCell ref="I349:J349"/>
    <mergeCell ref="B350:D350"/>
    <mergeCell ref="G350:H350"/>
    <mergeCell ref="I350:J350"/>
    <mergeCell ref="B359:D359"/>
    <mergeCell ref="E359:F359"/>
    <mergeCell ref="G359:H359"/>
    <mergeCell ref="I359:J359"/>
    <mergeCell ref="A352:J352"/>
    <mergeCell ref="B355:D355"/>
    <mergeCell ref="G355:H355"/>
    <mergeCell ref="I355:J355"/>
    <mergeCell ref="B356:D356"/>
    <mergeCell ref="G356:H356"/>
    <mergeCell ref="I356:J356"/>
    <mergeCell ref="B353:D353"/>
    <mergeCell ref="G353:H353"/>
    <mergeCell ref="I353:J353"/>
    <mergeCell ref="B354:D354"/>
    <mergeCell ref="E354:F354"/>
    <mergeCell ref="G354:H354"/>
    <mergeCell ref="I354:J354"/>
    <mergeCell ref="E353:F353"/>
    <mergeCell ref="B357:D357"/>
    <mergeCell ref="G357:H357"/>
    <mergeCell ref="I357:J357"/>
    <mergeCell ref="A358:J358"/>
    <mergeCell ref="E360:F360"/>
    <mergeCell ref="B367:D367"/>
    <mergeCell ref="E367:F367"/>
    <mergeCell ref="B362:D362"/>
    <mergeCell ref="G362:H362"/>
    <mergeCell ref="B363:D363"/>
    <mergeCell ref="G363:H363"/>
    <mergeCell ref="I363:J363"/>
    <mergeCell ref="I362:J362"/>
    <mergeCell ref="B364:D364"/>
    <mergeCell ref="G364:H364"/>
    <mergeCell ref="I364:J364"/>
    <mergeCell ref="A366:J366"/>
    <mergeCell ref="G367:H367"/>
    <mergeCell ref="I367:J367"/>
    <mergeCell ref="B360:D360"/>
    <mergeCell ref="G360:H360"/>
    <mergeCell ref="I360:J360"/>
    <mergeCell ref="B361:D361"/>
    <mergeCell ref="G361:H361"/>
    <mergeCell ref="I361:J361"/>
    <mergeCell ref="B378:D378"/>
    <mergeCell ref="E378:F378"/>
    <mergeCell ref="I388:J388"/>
    <mergeCell ref="I389:J389"/>
    <mergeCell ref="I390:J390"/>
    <mergeCell ref="I391:J391"/>
    <mergeCell ref="A373:J373"/>
    <mergeCell ref="A374:A375"/>
    <mergeCell ref="B374:D375"/>
    <mergeCell ref="E374:F375"/>
    <mergeCell ref="G374:J374"/>
    <mergeCell ref="B376:D376"/>
    <mergeCell ref="E376:F376"/>
    <mergeCell ref="G376:J376"/>
    <mergeCell ref="B377:D377"/>
    <mergeCell ref="E377:F377"/>
    <mergeCell ref="B379:D379"/>
    <mergeCell ref="E379:F379"/>
    <mergeCell ref="B380:D380"/>
    <mergeCell ref="E380:F380"/>
    <mergeCell ref="G380:J380"/>
    <mergeCell ref="I384:J384"/>
    <mergeCell ref="I385:J385"/>
    <mergeCell ref="I386:J386"/>
  </mergeCells>
  <pageMargins left="0.70866141732283472" right="0.70866141732283472" top="0.74803149606299213" bottom="0.74803149606299213" header="0.31496062992125984" footer="0.31496062992125984"/>
  <pageSetup paperSize="9" scale="44" fitToHeight="2"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326"/>
  <sheetViews>
    <sheetView zoomScaleSheetLayoutView="100" workbookViewId="0">
      <selection activeCell="M26" sqref="M26"/>
    </sheetView>
  </sheetViews>
  <sheetFormatPr defaultColWidth="9.140625" defaultRowHeight="15" x14ac:dyDescent="0.25"/>
  <cols>
    <col min="1" max="1" width="5.140625" style="1" customWidth="1"/>
    <col min="2" max="2" width="25" style="1" customWidth="1"/>
    <col min="3" max="4" width="9.140625" style="1"/>
    <col min="5" max="5" width="11.28515625" style="1" customWidth="1"/>
    <col min="6" max="6" width="10.7109375" style="1" customWidth="1"/>
    <col min="7" max="7" width="9.42578125" style="1" bestFit="1" customWidth="1"/>
    <col min="8" max="8" width="9.7109375" style="1" customWidth="1"/>
    <col min="9" max="9" width="10.140625" style="1" customWidth="1"/>
    <col min="10" max="10" width="14.5703125" style="1" customWidth="1"/>
    <col min="11" max="11" width="13.5703125" style="1" customWidth="1"/>
    <col min="12" max="12" width="23.42578125" style="1" customWidth="1"/>
    <col min="13" max="13" width="11.7109375" style="1" bestFit="1" customWidth="1"/>
    <col min="14" max="16384" width="9.140625" style="1"/>
  </cols>
  <sheetData>
    <row r="1" spans="1:10" ht="36.75" customHeight="1" x14ac:dyDescent="0.25">
      <c r="A1" s="1731" t="s">
        <v>68</v>
      </c>
      <c r="B1" s="1731"/>
      <c r="C1" s="1731"/>
      <c r="D1" s="1731"/>
      <c r="E1" s="1731"/>
      <c r="F1" s="1731"/>
      <c r="G1" s="1731"/>
      <c r="H1" s="1731"/>
      <c r="I1" s="1731"/>
      <c r="J1" s="1731"/>
    </row>
    <row r="2" spans="1:10" ht="15.75" x14ac:dyDescent="0.25">
      <c r="A2" s="60"/>
      <c r="B2" s="60"/>
      <c r="C2" s="60"/>
      <c r="D2" s="60"/>
      <c r="E2" s="60"/>
      <c r="F2" s="60"/>
      <c r="G2" s="60"/>
      <c r="H2" s="60"/>
      <c r="I2" s="60"/>
      <c r="J2" s="60"/>
    </row>
    <row r="3" spans="1:10" ht="34.5" customHeight="1" x14ac:dyDescent="0.25">
      <c r="A3" s="1732" t="s">
        <v>67</v>
      </c>
      <c r="B3" s="1732"/>
      <c r="C3" s="1732"/>
      <c r="D3" s="1732"/>
      <c r="E3" s="1732"/>
      <c r="F3" s="1732"/>
      <c r="G3" s="1732"/>
      <c r="H3" s="1732"/>
      <c r="I3" s="1732"/>
      <c r="J3" s="1732"/>
    </row>
    <row r="4" spans="1:10" ht="15.75" x14ac:dyDescent="0.25">
      <c r="A4" s="18"/>
    </row>
    <row r="5" spans="1:10" ht="39" customHeight="1" x14ac:dyDescent="0.25">
      <c r="A5" s="1733" t="s">
        <v>83</v>
      </c>
      <c r="B5" s="1733"/>
      <c r="C5" s="1733"/>
      <c r="D5" s="1733"/>
      <c r="E5" s="1733"/>
      <c r="F5" s="1733"/>
      <c r="G5" s="1733"/>
      <c r="H5" s="1733"/>
      <c r="I5" s="1733"/>
      <c r="J5" s="1733"/>
    </row>
    <row r="6" spans="1:10" ht="15.75" x14ac:dyDescent="0.25">
      <c r="A6" s="2"/>
      <c r="D6" s="52" t="s">
        <v>263</v>
      </c>
      <c r="E6" s="54" t="s">
        <v>266</v>
      </c>
      <c r="F6" s="53" t="s">
        <v>270</v>
      </c>
    </row>
    <row r="7" spans="1:10" ht="15.75" x14ac:dyDescent="0.25">
      <c r="A7" s="2"/>
    </row>
    <row r="8" spans="1:10" ht="15.75" x14ac:dyDescent="0.25">
      <c r="A8" s="2"/>
    </row>
    <row r="9" spans="1:10" ht="15.75" x14ac:dyDescent="0.25">
      <c r="A9" s="1660" t="s">
        <v>0</v>
      </c>
      <c r="B9" s="1660"/>
      <c r="C9" s="1660"/>
      <c r="D9" s="1660"/>
      <c r="E9" s="1660"/>
      <c r="F9" s="1660"/>
      <c r="G9" s="1660"/>
      <c r="H9" s="1660"/>
      <c r="I9" s="1660"/>
      <c r="J9" s="1660"/>
    </row>
    <row r="10" spans="1:10" ht="15.75" x14ac:dyDescent="0.25">
      <c r="A10" s="2"/>
    </row>
    <row r="11" spans="1:10" ht="15.75" x14ac:dyDescent="0.25">
      <c r="A11" s="2" t="s">
        <v>80</v>
      </c>
      <c r="C11" s="3">
        <v>111</v>
      </c>
      <c r="D11" s="3">
        <v>112</v>
      </c>
      <c r="E11" s="3">
        <v>119</v>
      </c>
      <c r="F11" s="4"/>
      <c r="G11" s="4"/>
      <c r="H11" s="4"/>
      <c r="I11" s="4"/>
      <c r="J11" s="4"/>
    </row>
    <row r="12" spans="1:10" ht="15.75" x14ac:dyDescent="0.25">
      <c r="A12" s="2" t="s">
        <v>81</v>
      </c>
      <c r="E12" s="5" t="s">
        <v>82</v>
      </c>
      <c r="F12" s="6"/>
      <c r="G12" s="5" t="s">
        <v>195</v>
      </c>
      <c r="H12" s="6"/>
      <c r="I12" s="6"/>
      <c r="J12" s="6"/>
    </row>
    <row r="13" spans="1:10" ht="15.75" x14ac:dyDescent="0.25">
      <c r="A13" s="2"/>
    </row>
    <row r="14" spans="1:10" ht="15.75" x14ac:dyDescent="0.25">
      <c r="A14" s="1660" t="s">
        <v>285</v>
      </c>
      <c r="B14" s="1660"/>
      <c r="C14" s="1660"/>
      <c r="D14" s="1660"/>
      <c r="E14" s="1660"/>
      <c r="F14" s="1660"/>
      <c r="G14" s="1660"/>
      <c r="H14" s="1660"/>
      <c r="I14" s="1660"/>
      <c r="J14" s="1660"/>
    </row>
    <row r="15" spans="1:10" ht="15.75" x14ac:dyDescent="0.25">
      <c r="A15" s="18"/>
    </row>
    <row r="16" spans="1:10" ht="33" customHeight="1" x14ac:dyDescent="0.25">
      <c r="A16" s="1651" t="s">
        <v>1</v>
      </c>
      <c r="B16" s="1651" t="s">
        <v>2</v>
      </c>
      <c r="C16" s="1651" t="s">
        <v>3</v>
      </c>
      <c r="D16" s="1651" t="s">
        <v>4</v>
      </c>
      <c r="E16" s="1651"/>
      <c r="F16" s="1651"/>
      <c r="G16" s="1651"/>
      <c r="H16" s="1651" t="s">
        <v>5</v>
      </c>
      <c r="I16" s="1651" t="s">
        <v>6</v>
      </c>
      <c r="J16" s="1651" t="s">
        <v>7</v>
      </c>
    </row>
    <row r="17" spans="1:10" x14ac:dyDescent="0.25">
      <c r="A17" s="1651"/>
      <c r="B17" s="1651"/>
      <c r="C17" s="1651"/>
      <c r="D17" s="1651" t="s">
        <v>8</v>
      </c>
      <c r="E17" s="1651" t="s">
        <v>9</v>
      </c>
      <c r="F17" s="1651"/>
      <c r="G17" s="1651"/>
      <c r="H17" s="1651"/>
      <c r="I17" s="1651"/>
      <c r="J17" s="1651"/>
    </row>
    <row r="18" spans="1:10" ht="69" customHeight="1" x14ac:dyDescent="0.25">
      <c r="A18" s="1651"/>
      <c r="B18" s="1651"/>
      <c r="C18" s="1651"/>
      <c r="D18" s="1651"/>
      <c r="E18" s="57" t="s">
        <v>10</v>
      </c>
      <c r="F18" s="57" t="s">
        <v>11</v>
      </c>
      <c r="G18" s="57" t="s">
        <v>12</v>
      </c>
      <c r="H18" s="1651"/>
      <c r="I18" s="1651"/>
      <c r="J18" s="1651"/>
    </row>
    <row r="19" spans="1:10" s="41" customFormat="1" ht="12.75" x14ac:dyDescent="0.2">
      <c r="A19" s="57">
        <v>1</v>
      </c>
      <c r="B19" s="57">
        <v>2</v>
      </c>
      <c r="C19" s="57">
        <v>3</v>
      </c>
      <c r="D19" s="57">
        <v>4</v>
      </c>
      <c r="E19" s="57">
        <v>5</v>
      </c>
      <c r="F19" s="57">
        <v>6</v>
      </c>
      <c r="G19" s="57">
        <v>7</v>
      </c>
      <c r="H19" s="57">
        <v>8</v>
      </c>
      <c r="I19" s="57">
        <v>9</v>
      </c>
      <c r="J19" s="57">
        <v>10</v>
      </c>
    </row>
    <row r="20" spans="1:10" x14ac:dyDescent="0.25">
      <c r="A20" s="55"/>
      <c r="B20" s="23" t="s">
        <v>206</v>
      </c>
      <c r="C20" s="24"/>
      <c r="D20" s="55"/>
      <c r="E20" s="55"/>
      <c r="F20" s="55"/>
      <c r="G20" s="55"/>
      <c r="H20" s="55"/>
      <c r="I20" s="55"/>
      <c r="J20" s="55"/>
    </row>
    <row r="21" spans="1:10" x14ac:dyDescent="0.25">
      <c r="A21" s="55" t="s">
        <v>70</v>
      </c>
      <c r="B21" s="25" t="s">
        <v>207</v>
      </c>
      <c r="C21" s="28"/>
      <c r="D21" s="20">
        <f>E21+F21+G21</f>
        <v>0</v>
      </c>
      <c r="E21" s="20"/>
      <c r="F21" s="20">
        <f>E21*9%</f>
        <v>0</v>
      </c>
      <c r="G21" s="20">
        <f>E21*21%</f>
        <v>0</v>
      </c>
      <c r="H21" s="21">
        <v>0.5</v>
      </c>
      <c r="I21" s="22">
        <v>1.7</v>
      </c>
      <c r="J21" s="37">
        <f>(C21*D21*(H21/100%+I21)*12)</f>
        <v>0</v>
      </c>
    </row>
    <row r="22" spans="1:10" ht="24.75" customHeight="1" x14ac:dyDescent="0.25">
      <c r="A22" s="55" t="s">
        <v>75</v>
      </c>
      <c r="B22" s="26" t="s">
        <v>208</v>
      </c>
      <c r="C22" s="28"/>
      <c r="D22" s="20">
        <f t="shared" ref="D22:D25" si="0">E22+F22+G22</f>
        <v>0</v>
      </c>
      <c r="E22" s="20"/>
      <c r="F22" s="20">
        <f t="shared" ref="F22:F25" si="1">E22*9%</f>
        <v>0</v>
      </c>
      <c r="G22" s="20">
        <f t="shared" ref="G22:G25" si="2">E22*21%</f>
        <v>0</v>
      </c>
      <c r="H22" s="21">
        <v>0.5</v>
      </c>
      <c r="I22" s="22">
        <v>1.7</v>
      </c>
      <c r="J22" s="37">
        <f t="shared" ref="J22:J25" si="3">(C22*D22*(H22/100%+I22)*12)</f>
        <v>0</v>
      </c>
    </row>
    <row r="23" spans="1:10" ht="26.25" x14ac:dyDescent="0.25">
      <c r="A23" s="55" t="s">
        <v>77</v>
      </c>
      <c r="B23" s="26" t="s">
        <v>209</v>
      </c>
      <c r="C23" s="28"/>
      <c r="D23" s="20">
        <f t="shared" si="0"/>
        <v>0</v>
      </c>
      <c r="E23" s="20"/>
      <c r="F23" s="20">
        <f t="shared" si="1"/>
        <v>0</v>
      </c>
      <c r="G23" s="20">
        <f t="shared" si="2"/>
        <v>0</v>
      </c>
      <c r="H23" s="21">
        <v>0.5</v>
      </c>
      <c r="I23" s="22">
        <v>1.7</v>
      </c>
      <c r="J23" s="37">
        <f t="shared" si="3"/>
        <v>0</v>
      </c>
    </row>
    <row r="24" spans="1:10" ht="39" x14ac:dyDescent="0.25">
      <c r="A24" s="55" t="s">
        <v>86</v>
      </c>
      <c r="B24" s="26" t="s">
        <v>210</v>
      </c>
      <c r="C24" s="28"/>
      <c r="D24" s="20">
        <f t="shared" si="0"/>
        <v>0</v>
      </c>
      <c r="E24" s="20"/>
      <c r="F24" s="20">
        <f t="shared" si="1"/>
        <v>0</v>
      </c>
      <c r="G24" s="20">
        <f t="shared" si="2"/>
        <v>0</v>
      </c>
      <c r="H24" s="21">
        <v>0.5</v>
      </c>
      <c r="I24" s="22">
        <v>1.7</v>
      </c>
      <c r="J24" s="37">
        <f t="shared" si="3"/>
        <v>0</v>
      </c>
    </row>
    <row r="25" spans="1:10" x14ac:dyDescent="0.25">
      <c r="A25" s="55" t="s">
        <v>87</v>
      </c>
      <c r="B25" s="26" t="s">
        <v>211</v>
      </c>
      <c r="C25" s="28"/>
      <c r="D25" s="20">
        <f t="shared" si="0"/>
        <v>0</v>
      </c>
      <c r="E25" s="20"/>
      <c r="F25" s="20">
        <f t="shared" si="1"/>
        <v>0</v>
      </c>
      <c r="G25" s="20">
        <f t="shared" si="2"/>
        <v>0</v>
      </c>
      <c r="H25" s="21">
        <v>0.5</v>
      </c>
      <c r="I25" s="22">
        <v>1.7</v>
      </c>
      <c r="J25" s="37">
        <f t="shared" si="3"/>
        <v>0</v>
      </c>
    </row>
    <row r="26" spans="1:10" x14ac:dyDescent="0.25">
      <c r="A26" s="63"/>
      <c r="B26" s="30" t="s">
        <v>212</v>
      </c>
      <c r="C26" s="31">
        <f>SUM(C21:C25)</f>
        <v>0</v>
      </c>
      <c r="D26" s="32"/>
      <c r="E26" s="32"/>
      <c r="F26" s="32"/>
      <c r="G26" s="32"/>
      <c r="H26" s="33"/>
      <c r="I26" s="34"/>
      <c r="J26" s="38">
        <f>SUM(J21:J25)</f>
        <v>0</v>
      </c>
    </row>
    <row r="27" spans="1:10" x14ac:dyDescent="0.25">
      <c r="A27" s="55"/>
      <c r="B27" s="23" t="s">
        <v>219</v>
      </c>
      <c r="C27" s="55"/>
      <c r="D27" s="55"/>
      <c r="E27" s="55"/>
      <c r="F27" s="55"/>
      <c r="G27" s="55"/>
      <c r="H27" s="55"/>
      <c r="I27" s="55"/>
      <c r="J27" s="61"/>
    </row>
    <row r="28" spans="1:10" x14ac:dyDescent="0.25">
      <c r="A28" s="27" t="s">
        <v>97</v>
      </c>
      <c r="B28" s="27" t="s">
        <v>220</v>
      </c>
      <c r="C28" s="27"/>
      <c r="D28" s="20">
        <f>E28+F28+G28</f>
        <v>0</v>
      </c>
      <c r="E28" s="20"/>
      <c r="F28" s="20">
        <f>E28*9%</f>
        <v>0</v>
      </c>
      <c r="G28" s="20">
        <f>E28*21%</f>
        <v>0</v>
      </c>
      <c r="H28" s="21">
        <v>0.5</v>
      </c>
      <c r="I28" s="22">
        <v>1.7</v>
      </c>
      <c r="J28" s="37">
        <f>(C28*D28*(H28/100%+I28)*12)</f>
        <v>0</v>
      </c>
    </row>
    <row r="29" spans="1:10" x14ac:dyDescent="0.25">
      <c r="A29" s="27" t="s">
        <v>116</v>
      </c>
      <c r="B29" s="26" t="s">
        <v>213</v>
      </c>
      <c r="C29" s="28"/>
      <c r="D29" s="20">
        <f>E29+F29+G29</f>
        <v>0</v>
      </c>
      <c r="E29" s="20"/>
      <c r="F29" s="20">
        <f>E29*9%</f>
        <v>0</v>
      </c>
      <c r="G29" s="20">
        <f>E29*21%</f>
        <v>0</v>
      </c>
      <c r="H29" s="21">
        <v>0.5</v>
      </c>
      <c r="I29" s="22">
        <v>1.7</v>
      </c>
      <c r="J29" s="37">
        <f>(C29*D29*(H29/100%+I29)*12)</f>
        <v>0</v>
      </c>
    </row>
    <row r="30" spans="1:10" x14ac:dyDescent="0.25">
      <c r="A30" s="27" t="s">
        <v>117</v>
      </c>
      <c r="B30" s="26" t="s">
        <v>214</v>
      </c>
      <c r="C30" s="28"/>
      <c r="D30" s="20">
        <f t="shared" ref="D30:D56" si="4">E30+F30+G30</f>
        <v>0</v>
      </c>
      <c r="E30" s="20"/>
      <c r="F30" s="20">
        <f t="shared" ref="F30:F56" si="5">E30*9%</f>
        <v>0</v>
      </c>
      <c r="G30" s="20">
        <f t="shared" ref="G30:G56" si="6">E30*21%</f>
        <v>0</v>
      </c>
      <c r="H30" s="21">
        <v>0.5</v>
      </c>
      <c r="I30" s="22">
        <v>1.7</v>
      </c>
      <c r="J30" s="37">
        <f t="shared" ref="J30:J56" si="7">(C30*D30*(H30/100%+I30)*12)</f>
        <v>0</v>
      </c>
    </row>
    <row r="31" spans="1:10" x14ac:dyDescent="0.25">
      <c r="A31" s="27" t="s">
        <v>118</v>
      </c>
      <c r="B31" s="26" t="s">
        <v>215</v>
      </c>
      <c r="C31" s="28"/>
      <c r="D31" s="20">
        <f t="shared" si="4"/>
        <v>0</v>
      </c>
      <c r="E31" s="20"/>
      <c r="F31" s="20">
        <f t="shared" si="5"/>
        <v>0</v>
      </c>
      <c r="G31" s="20">
        <f t="shared" si="6"/>
        <v>0</v>
      </c>
      <c r="H31" s="21">
        <v>0.5</v>
      </c>
      <c r="I31" s="22">
        <v>1.7</v>
      </c>
      <c r="J31" s="37">
        <f t="shared" si="7"/>
        <v>0</v>
      </c>
    </row>
    <row r="32" spans="1:10" ht="39" x14ac:dyDescent="0.25">
      <c r="A32" s="27" t="s">
        <v>119</v>
      </c>
      <c r="B32" s="26" t="s">
        <v>216</v>
      </c>
      <c r="C32" s="28"/>
      <c r="D32" s="20">
        <f t="shared" si="4"/>
        <v>0</v>
      </c>
      <c r="E32" s="20"/>
      <c r="F32" s="20">
        <f t="shared" si="5"/>
        <v>0</v>
      </c>
      <c r="G32" s="20">
        <f t="shared" si="6"/>
        <v>0</v>
      </c>
      <c r="H32" s="21">
        <v>0.5</v>
      </c>
      <c r="I32" s="22">
        <v>1.7</v>
      </c>
      <c r="J32" s="37">
        <f t="shared" si="7"/>
        <v>0</v>
      </c>
    </row>
    <row r="33" spans="1:10" x14ac:dyDescent="0.25">
      <c r="A33" s="27" t="s">
        <v>120</v>
      </c>
      <c r="B33" s="26" t="s">
        <v>217</v>
      </c>
      <c r="C33" s="28"/>
      <c r="D33" s="20">
        <f t="shared" si="4"/>
        <v>0</v>
      </c>
      <c r="E33" s="20"/>
      <c r="F33" s="20">
        <f t="shared" si="5"/>
        <v>0</v>
      </c>
      <c r="G33" s="20">
        <f t="shared" si="6"/>
        <v>0</v>
      </c>
      <c r="H33" s="21">
        <v>0.5</v>
      </c>
      <c r="I33" s="22">
        <v>1.7</v>
      </c>
      <c r="J33" s="37">
        <f t="shared" si="7"/>
        <v>0</v>
      </c>
    </row>
    <row r="34" spans="1:10" ht="26.25" x14ac:dyDescent="0.25">
      <c r="A34" s="27" t="s">
        <v>121</v>
      </c>
      <c r="B34" s="26" t="s">
        <v>218</v>
      </c>
      <c r="C34" s="29"/>
      <c r="D34" s="20">
        <f t="shared" si="4"/>
        <v>0</v>
      </c>
      <c r="E34" s="20"/>
      <c r="F34" s="20">
        <f t="shared" si="5"/>
        <v>0</v>
      </c>
      <c r="G34" s="20">
        <f t="shared" si="6"/>
        <v>0</v>
      </c>
      <c r="H34" s="21">
        <v>0.5</v>
      </c>
      <c r="I34" s="22">
        <v>1.7</v>
      </c>
      <c r="J34" s="37">
        <f t="shared" si="7"/>
        <v>0</v>
      </c>
    </row>
    <row r="35" spans="1:10" x14ac:dyDescent="0.25">
      <c r="A35" s="63"/>
      <c r="B35" s="30" t="s">
        <v>212</v>
      </c>
      <c r="C35" s="36">
        <f>SUM(C28:C34)</f>
        <v>0</v>
      </c>
      <c r="D35" s="32"/>
      <c r="E35" s="32"/>
      <c r="F35" s="32"/>
      <c r="G35" s="32"/>
      <c r="H35" s="33"/>
      <c r="I35" s="34"/>
      <c r="J35" s="38">
        <f>SUM(J28:J34)</f>
        <v>0</v>
      </c>
    </row>
    <row r="36" spans="1:10" x14ac:dyDescent="0.25">
      <c r="A36" s="55"/>
      <c r="B36" s="23" t="s">
        <v>221</v>
      </c>
      <c r="C36" s="55"/>
      <c r="D36" s="20"/>
      <c r="E36" s="55"/>
      <c r="F36" s="20"/>
      <c r="G36" s="20"/>
      <c r="H36" s="21"/>
      <c r="I36" s="22"/>
      <c r="J36" s="37"/>
    </row>
    <row r="37" spans="1:10" x14ac:dyDescent="0.25">
      <c r="A37" s="55" t="s">
        <v>122</v>
      </c>
      <c r="B37" s="27" t="s">
        <v>222</v>
      </c>
      <c r="C37" s="27"/>
      <c r="D37" s="20">
        <f t="shared" si="4"/>
        <v>0</v>
      </c>
      <c r="E37" s="20"/>
      <c r="F37" s="20">
        <f t="shared" si="5"/>
        <v>0</v>
      </c>
      <c r="G37" s="20">
        <f t="shared" si="6"/>
        <v>0</v>
      </c>
      <c r="H37" s="21">
        <v>0.5</v>
      </c>
      <c r="I37" s="22">
        <v>1.7</v>
      </c>
      <c r="J37" s="37">
        <f t="shared" si="7"/>
        <v>0</v>
      </c>
    </row>
    <row r="38" spans="1:10" x14ac:dyDescent="0.25">
      <c r="A38" s="55" t="s">
        <v>131</v>
      </c>
      <c r="B38" s="27" t="s">
        <v>223</v>
      </c>
      <c r="C38" s="27"/>
      <c r="D38" s="20">
        <f t="shared" si="4"/>
        <v>0</v>
      </c>
      <c r="E38" s="20"/>
      <c r="F38" s="20">
        <f t="shared" si="5"/>
        <v>0</v>
      </c>
      <c r="G38" s="20">
        <f t="shared" si="6"/>
        <v>0</v>
      </c>
      <c r="H38" s="21">
        <v>0.5</v>
      </c>
      <c r="I38" s="22">
        <v>1.7</v>
      </c>
      <c r="J38" s="37">
        <f t="shared" si="7"/>
        <v>0</v>
      </c>
    </row>
    <row r="39" spans="1:10" ht="26.25" x14ac:dyDescent="0.25">
      <c r="A39" s="55" t="s">
        <v>132</v>
      </c>
      <c r="B39" s="27" t="s">
        <v>224</v>
      </c>
      <c r="C39" s="27"/>
      <c r="D39" s="20">
        <f t="shared" si="4"/>
        <v>0</v>
      </c>
      <c r="E39" s="20"/>
      <c r="F39" s="20">
        <f t="shared" si="5"/>
        <v>0</v>
      </c>
      <c r="G39" s="20">
        <f t="shared" si="6"/>
        <v>0</v>
      </c>
      <c r="H39" s="21">
        <v>0.5</v>
      </c>
      <c r="I39" s="22">
        <v>1.7</v>
      </c>
      <c r="J39" s="37">
        <f t="shared" si="7"/>
        <v>0</v>
      </c>
    </row>
    <row r="40" spans="1:10" x14ac:dyDescent="0.25">
      <c r="A40" s="55" t="s">
        <v>133</v>
      </c>
      <c r="B40" s="27" t="s">
        <v>225</v>
      </c>
      <c r="C40" s="27"/>
      <c r="D40" s="20">
        <f t="shared" si="4"/>
        <v>0</v>
      </c>
      <c r="E40" s="20"/>
      <c r="F40" s="20">
        <f t="shared" si="5"/>
        <v>0</v>
      </c>
      <c r="G40" s="20">
        <f t="shared" si="6"/>
        <v>0</v>
      </c>
      <c r="H40" s="21">
        <v>0.5</v>
      </c>
      <c r="I40" s="22">
        <v>1.7</v>
      </c>
      <c r="J40" s="37">
        <f t="shared" si="7"/>
        <v>0</v>
      </c>
    </row>
    <row r="41" spans="1:10" x14ac:dyDescent="0.25">
      <c r="A41" s="55" t="s">
        <v>134</v>
      </c>
      <c r="B41" s="27" t="s">
        <v>226</v>
      </c>
      <c r="C41" s="27"/>
      <c r="D41" s="20">
        <f t="shared" si="4"/>
        <v>0</v>
      </c>
      <c r="E41" s="20"/>
      <c r="F41" s="20">
        <f t="shared" si="5"/>
        <v>0</v>
      </c>
      <c r="G41" s="20">
        <f t="shared" si="6"/>
        <v>0</v>
      </c>
      <c r="H41" s="21">
        <v>0.5</v>
      </c>
      <c r="I41" s="22">
        <v>1.7</v>
      </c>
      <c r="J41" s="37">
        <f t="shared" si="7"/>
        <v>0</v>
      </c>
    </row>
    <row r="42" spans="1:10" x14ac:dyDescent="0.25">
      <c r="A42" s="55" t="s">
        <v>200</v>
      </c>
      <c r="B42" s="27" t="s">
        <v>227</v>
      </c>
      <c r="C42" s="27"/>
      <c r="D42" s="20">
        <f t="shared" si="4"/>
        <v>0</v>
      </c>
      <c r="E42" s="20"/>
      <c r="F42" s="20">
        <f t="shared" si="5"/>
        <v>0</v>
      </c>
      <c r="G42" s="20">
        <f t="shared" si="6"/>
        <v>0</v>
      </c>
      <c r="H42" s="21">
        <v>0.5</v>
      </c>
      <c r="I42" s="22">
        <v>1.7</v>
      </c>
      <c r="J42" s="37">
        <f t="shared" si="7"/>
        <v>0</v>
      </c>
    </row>
    <row r="43" spans="1:10" x14ac:dyDescent="0.25">
      <c r="A43" s="55" t="s">
        <v>201</v>
      </c>
      <c r="B43" s="27" t="s">
        <v>228</v>
      </c>
      <c r="C43" s="27"/>
      <c r="D43" s="20">
        <f t="shared" si="4"/>
        <v>0</v>
      </c>
      <c r="E43" s="20"/>
      <c r="F43" s="20">
        <f t="shared" si="5"/>
        <v>0</v>
      </c>
      <c r="G43" s="20">
        <f t="shared" si="6"/>
        <v>0</v>
      </c>
      <c r="H43" s="21">
        <v>0.5</v>
      </c>
      <c r="I43" s="22">
        <v>1.7</v>
      </c>
      <c r="J43" s="37">
        <f t="shared" si="7"/>
        <v>0</v>
      </c>
    </row>
    <row r="44" spans="1:10" x14ac:dyDescent="0.25">
      <c r="A44" s="55" t="s">
        <v>237</v>
      </c>
      <c r="B44" s="27"/>
      <c r="C44" s="27"/>
      <c r="D44" s="20">
        <f t="shared" si="4"/>
        <v>0</v>
      </c>
      <c r="E44" s="20"/>
      <c r="F44" s="20">
        <f t="shared" si="5"/>
        <v>0</v>
      </c>
      <c r="G44" s="20">
        <f t="shared" si="6"/>
        <v>0</v>
      </c>
      <c r="H44" s="21">
        <v>0.5</v>
      </c>
      <c r="I44" s="22">
        <v>1.7</v>
      </c>
      <c r="J44" s="37">
        <f t="shared" si="7"/>
        <v>0</v>
      </c>
    </row>
    <row r="45" spans="1:10" x14ac:dyDescent="0.25">
      <c r="A45" s="55" t="s">
        <v>238</v>
      </c>
      <c r="B45" s="27"/>
      <c r="C45" s="27"/>
      <c r="D45" s="20">
        <f t="shared" si="4"/>
        <v>0</v>
      </c>
      <c r="E45" s="20"/>
      <c r="F45" s="20">
        <f t="shared" si="5"/>
        <v>0</v>
      </c>
      <c r="G45" s="20">
        <f t="shared" si="6"/>
        <v>0</v>
      </c>
      <c r="H45" s="21">
        <v>0.5</v>
      </c>
      <c r="I45" s="22">
        <v>1.7</v>
      </c>
      <c r="J45" s="37">
        <f t="shared" si="7"/>
        <v>0</v>
      </c>
    </row>
    <row r="46" spans="1:10" x14ac:dyDescent="0.25">
      <c r="A46" s="55" t="s">
        <v>239</v>
      </c>
      <c r="B46" s="27"/>
      <c r="C46" s="27"/>
      <c r="D46" s="20">
        <f t="shared" si="4"/>
        <v>0</v>
      </c>
      <c r="E46" s="20"/>
      <c r="F46" s="20">
        <f t="shared" si="5"/>
        <v>0</v>
      </c>
      <c r="G46" s="20">
        <f t="shared" si="6"/>
        <v>0</v>
      </c>
      <c r="H46" s="21">
        <v>0.5</v>
      </c>
      <c r="I46" s="22">
        <v>1.7</v>
      </c>
      <c r="J46" s="37">
        <f t="shared" si="7"/>
        <v>0</v>
      </c>
    </row>
    <row r="47" spans="1:10" x14ac:dyDescent="0.25">
      <c r="A47" s="55" t="s">
        <v>240</v>
      </c>
      <c r="B47" s="27"/>
      <c r="C47" s="27"/>
      <c r="D47" s="20">
        <f t="shared" si="4"/>
        <v>0</v>
      </c>
      <c r="E47" s="20"/>
      <c r="F47" s="20">
        <f t="shared" si="5"/>
        <v>0</v>
      </c>
      <c r="G47" s="20">
        <f t="shared" si="6"/>
        <v>0</v>
      </c>
      <c r="H47" s="21">
        <v>0.5</v>
      </c>
      <c r="I47" s="22">
        <v>1.7</v>
      </c>
      <c r="J47" s="37">
        <f t="shared" si="7"/>
        <v>0</v>
      </c>
    </row>
    <row r="48" spans="1:10" x14ac:dyDescent="0.25">
      <c r="A48" s="63"/>
      <c r="B48" s="30" t="s">
        <v>212</v>
      </c>
      <c r="C48" s="35">
        <f>SUM(C37:C47)</f>
        <v>0</v>
      </c>
      <c r="D48" s="32"/>
      <c r="E48" s="32"/>
      <c r="F48" s="32"/>
      <c r="G48" s="32"/>
      <c r="H48" s="33"/>
      <c r="I48" s="34"/>
      <c r="J48" s="38">
        <f>SUM(J37:J47)</f>
        <v>0</v>
      </c>
    </row>
    <row r="49" spans="1:10" x14ac:dyDescent="0.25">
      <c r="A49" s="55"/>
      <c r="B49" s="23" t="s">
        <v>229</v>
      </c>
      <c r="C49" s="55"/>
      <c r="D49" s="20"/>
      <c r="E49" s="55"/>
      <c r="F49" s="20"/>
      <c r="G49" s="20"/>
      <c r="H49" s="21"/>
      <c r="I49" s="22"/>
      <c r="J49" s="37"/>
    </row>
    <row r="50" spans="1:10" ht="25.5" x14ac:dyDescent="0.25">
      <c r="A50" s="55" t="s">
        <v>241</v>
      </c>
      <c r="B50" s="19" t="s">
        <v>230</v>
      </c>
      <c r="C50" s="27"/>
      <c r="D50" s="20">
        <f t="shared" si="4"/>
        <v>0</v>
      </c>
      <c r="E50" s="20"/>
      <c r="F50" s="20">
        <f t="shared" si="5"/>
        <v>0</v>
      </c>
      <c r="G50" s="20">
        <f t="shared" si="6"/>
        <v>0</v>
      </c>
      <c r="H50" s="21">
        <v>0.5</v>
      </c>
      <c r="I50" s="22">
        <v>1.7</v>
      </c>
      <c r="J50" s="37">
        <f t="shared" si="7"/>
        <v>0</v>
      </c>
    </row>
    <row r="51" spans="1:10" ht="38.25" x14ac:dyDescent="0.25">
      <c r="A51" s="55" t="s">
        <v>242</v>
      </c>
      <c r="B51" s="19" t="s">
        <v>231</v>
      </c>
      <c r="C51" s="27"/>
      <c r="D51" s="20">
        <f t="shared" si="4"/>
        <v>0</v>
      </c>
      <c r="E51" s="20"/>
      <c r="F51" s="20">
        <f t="shared" si="5"/>
        <v>0</v>
      </c>
      <c r="G51" s="20">
        <f t="shared" si="6"/>
        <v>0</v>
      </c>
      <c r="H51" s="21">
        <v>0.5</v>
      </c>
      <c r="I51" s="22">
        <v>1.7</v>
      </c>
      <c r="J51" s="37">
        <f t="shared" si="7"/>
        <v>0</v>
      </c>
    </row>
    <row r="52" spans="1:10" x14ac:dyDescent="0.25">
      <c r="A52" s="55" t="s">
        <v>243</v>
      </c>
      <c r="B52" s="19" t="s">
        <v>232</v>
      </c>
      <c r="C52" s="27"/>
      <c r="D52" s="20">
        <f t="shared" si="4"/>
        <v>0</v>
      </c>
      <c r="E52" s="20"/>
      <c r="F52" s="20">
        <f t="shared" si="5"/>
        <v>0</v>
      </c>
      <c r="G52" s="20">
        <f t="shared" si="6"/>
        <v>0</v>
      </c>
      <c r="H52" s="21">
        <v>0.5</v>
      </c>
      <c r="I52" s="22">
        <v>1.7</v>
      </c>
      <c r="J52" s="37">
        <f t="shared" si="7"/>
        <v>0</v>
      </c>
    </row>
    <row r="53" spans="1:10" x14ac:dyDescent="0.25">
      <c r="A53" s="55" t="s">
        <v>244</v>
      </c>
      <c r="B53" s="19" t="s">
        <v>233</v>
      </c>
      <c r="C53" s="27"/>
      <c r="D53" s="20">
        <f t="shared" si="4"/>
        <v>0</v>
      </c>
      <c r="E53" s="20"/>
      <c r="F53" s="20">
        <f t="shared" si="5"/>
        <v>0</v>
      </c>
      <c r="G53" s="20">
        <f t="shared" si="6"/>
        <v>0</v>
      </c>
      <c r="H53" s="21">
        <v>0.5</v>
      </c>
      <c r="I53" s="22">
        <v>1.7</v>
      </c>
      <c r="J53" s="37">
        <f t="shared" si="7"/>
        <v>0</v>
      </c>
    </row>
    <row r="54" spans="1:10" x14ac:dyDescent="0.25">
      <c r="A54" s="55" t="s">
        <v>245</v>
      </c>
      <c r="B54" s="19" t="s">
        <v>234</v>
      </c>
      <c r="C54" s="27"/>
      <c r="D54" s="20">
        <f t="shared" si="4"/>
        <v>0</v>
      </c>
      <c r="E54" s="20"/>
      <c r="F54" s="20">
        <f t="shared" si="5"/>
        <v>0</v>
      </c>
      <c r="G54" s="20">
        <f t="shared" si="6"/>
        <v>0</v>
      </c>
      <c r="H54" s="21">
        <v>0.5</v>
      </c>
      <c r="I54" s="22">
        <v>1.7</v>
      </c>
      <c r="J54" s="37">
        <f t="shared" si="7"/>
        <v>0</v>
      </c>
    </row>
    <row r="55" spans="1:10" x14ac:dyDescent="0.25">
      <c r="A55" s="55" t="s">
        <v>246</v>
      </c>
      <c r="B55" s="19" t="s">
        <v>235</v>
      </c>
      <c r="C55" s="27"/>
      <c r="D55" s="20">
        <f t="shared" si="4"/>
        <v>0</v>
      </c>
      <c r="E55" s="20"/>
      <c r="F55" s="20">
        <f t="shared" si="5"/>
        <v>0</v>
      </c>
      <c r="G55" s="20">
        <f t="shared" si="6"/>
        <v>0</v>
      </c>
      <c r="H55" s="21">
        <v>0.5</v>
      </c>
      <c r="I55" s="22">
        <v>1.7</v>
      </c>
      <c r="J55" s="37">
        <f t="shared" si="7"/>
        <v>0</v>
      </c>
    </row>
    <row r="56" spans="1:10" x14ac:dyDescent="0.25">
      <c r="A56" s="55" t="s">
        <v>247</v>
      </c>
      <c r="B56" s="19" t="s">
        <v>236</v>
      </c>
      <c r="C56" s="27"/>
      <c r="D56" s="20">
        <f t="shared" si="4"/>
        <v>0</v>
      </c>
      <c r="E56" s="20"/>
      <c r="F56" s="20">
        <f t="shared" si="5"/>
        <v>0</v>
      </c>
      <c r="G56" s="20">
        <f t="shared" si="6"/>
        <v>0</v>
      </c>
      <c r="H56" s="21">
        <v>0.5</v>
      </c>
      <c r="I56" s="22">
        <v>1.7</v>
      </c>
      <c r="J56" s="37">
        <f t="shared" si="7"/>
        <v>0</v>
      </c>
    </row>
    <row r="57" spans="1:10" x14ac:dyDescent="0.25">
      <c r="A57" s="63"/>
      <c r="B57" s="30" t="s">
        <v>212</v>
      </c>
      <c r="C57" s="35">
        <f>SUM(C50:C56)</f>
        <v>0</v>
      </c>
      <c r="D57" s="32"/>
      <c r="E57" s="32"/>
      <c r="F57" s="32"/>
      <c r="G57" s="32"/>
      <c r="H57" s="33"/>
      <c r="I57" s="34"/>
      <c r="J57" s="38">
        <f>SUM(J50:J56)</f>
        <v>0</v>
      </c>
    </row>
    <row r="58" spans="1:10" x14ac:dyDescent="0.25">
      <c r="A58" s="1680" t="s">
        <v>13</v>
      </c>
      <c r="B58" s="1681"/>
      <c r="C58" s="62">
        <f>C26+C35+C48+C57</f>
        <v>0</v>
      </c>
      <c r="D58" s="67"/>
      <c r="E58" s="55" t="s">
        <v>14</v>
      </c>
      <c r="F58" s="55" t="s">
        <v>14</v>
      </c>
      <c r="G58" s="55" t="s">
        <v>14</v>
      </c>
      <c r="H58" s="55" t="s">
        <v>14</v>
      </c>
      <c r="I58" s="55" t="s">
        <v>14</v>
      </c>
      <c r="J58" s="58">
        <f>ROUND(J26+J35+J48+J57,0)</f>
        <v>0</v>
      </c>
    </row>
    <row r="59" spans="1:10" ht="15.75" customHeight="1" x14ac:dyDescent="0.25">
      <c r="A59" s="1669" t="s">
        <v>284</v>
      </c>
      <c r="B59" s="1670"/>
      <c r="C59" s="1670"/>
      <c r="D59" s="1670"/>
      <c r="E59" s="1670"/>
      <c r="F59" s="1670"/>
      <c r="G59" s="1670"/>
      <c r="H59" s="1670"/>
      <c r="I59" s="1671"/>
      <c r="J59" s="58"/>
    </row>
    <row r="60" spans="1:10" x14ac:dyDescent="0.25">
      <c r="A60" s="1645" t="s">
        <v>13</v>
      </c>
      <c r="B60" s="1645"/>
      <c r="C60" s="62"/>
      <c r="D60" s="67"/>
      <c r="E60" s="55" t="s">
        <v>14</v>
      </c>
      <c r="F60" s="55" t="s">
        <v>14</v>
      </c>
      <c r="G60" s="55" t="s">
        <v>14</v>
      </c>
      <c r="H60" s="55" t="s">
        <v>14</v>
      </c>
      <c r="I60" s="55" t="s">
        <v>14</v>
      </c>
      <c r="J60" s="56">
        <f>J58+J59</f>
        <v>0</v>
      </c>
    </row>
    <row r="61" spans="1:10" ht="15.75" x14ac:dyDescent="0.25">
      <c r="A61" s="7"/>
    </row>
    <row r="62" spans="1:10" ht="33.75" customHeight="1" x14ac:dyDescent="0.25">
      <c r="A62" s="1710" t="s">
        <v>286</v>
      </c>
      <c r="B62" s="1710"/>
      <c r="C62" s="1710"/>
      <c r="D62" s="1710"/>
      <c r="E62" s="1710"/>
      <c r="F62" s="1710"/>
      <c r="G62" s="1710"/>
      <c r="H62" s="1710"/>
      <c r="I62" s="1710"/>
      <c r="J62" s="1710"/>
    </row>
    <row r="63" spans="1:10" ht="16.5" customHeight="1" x14ac:dyDescent="0.25">
      <c r="A63" s="2"/>
    </row>
    <row r="64" spans="1:10" ht="44.25" customHeight="1" x14ac:dyDescent="0.25">
      <c r="A64" s="57" t="s">
        <v>1</v>
      </c>
      <c r="B64" s="1651" t="s">
        <v>15</v>
      </c>
      <c r="C64" s="1651"/>
      <c r="D64" s="1651"/>
      <c r="E64" s="1651" t="s">
        <v>16</v>
      </c>
      <c r="F64" s="1651"/>
      <c r="G64" s="57" t="s">
        <v>17</v>
      </c>
      <c r="H64" s="57" t="s">
        <v>18</v>
      </c>
      <c r="I64" s="1651" t="s">
        <v>104</v>
      </c>
      <c r="J64" s="1651"/>
    </row>
    <row r="65" spans="1:10" s="41" customFormat="1" ht="12.75" x14ac:dyDescent="0.2">
      <c r="A65" s="57">
        <v>1</v>
      </c>
      <c r="B65" s="1651">
        <v>2</v>
      </c>
      <c r="C65" s="1651"/>
      <c r="D65" s="1651"/>
      <c r="E65" s="1651">
        <v>3</v>
      </c>
      <c r="F65" s="1651"/>
      <c r="G65" s="57">
        <v>4</v>
      </c>
      <c r="H65" s="57">
        <v>5</v>
      </c>
      <c r="I65" s="1651">
        <v>6</v>
      </c>
      <c r="J65" s="1651"/>
    </row>
    <row r="66" spans="1:10" ht="45" customHeight="1" x14ac:dyDescent="0.25">
      <c r="A66" s="63" t="s">
        <v>70</v>
      </c>
      <c r="B66" s="1662" t="s">
        <v>78</v>
      </c>
      <c r="C66" s="1663"/>
      <c r="D66" s="1664"/>
      <c r="E66" s="1707" t="s">
        <v>74</v>
      </c>
      <c r="F66" s="1707"/>
      <c r="G66" s="63" t="s">
        <v>74</v>
      </c>
      <c r="H66" s="63" t="s">
        <v>74</v>
      </c>
      <c r="I66" s="1706">
        <f>I67+I68+I69</f>
        <v>0</v>
      </c>
      <c r="J66" s="1707"/>
    </row>
    <row r="67" spans="1:10" ht="30" customHeight="1" x14ac:dyDescent="0.25">
      <c r="A67" s="55" t="s">
        <v>27</v>
      </c>
      <c r="B67" s="1669" t="s">
        <v>71</v>
      </c>
      <c r="C67" s="1670"/>
      <c r="D67" s="1671"/>
      <c r="E67" s="1708"/>
      <c r="F67" s="1708"/>
      <c r="G67" s="55"/>
      <c r="H67" s="55"/>
      <c r="I67" s="1657">
        <f>E67*G67*H67</f>
        <v>0</v>
      </c>
      <c r="J67" s="1657"/>
    </row>
    <row r="68" spans="1:10" ht="30" customHeight="1" x14ac:dyDescent="0.25">
      <c r="A68" s="55" t="s">
        <v>29</v>
      </c>
      <c r="B68" s="1645" t="s">
        <v>72</v>
      </c>
      <c r="C68" s="1645"/>
      <c r="D68" s="1645"/>
      <c r="E68" s="1708"/>
      <c r="F68" s="1708"/>
      <c r="G68" s="55"/>
      <c r="H68" s="55"/>
      <c r="I68" s="1657">
        <f>E68*G68*H68</f>
        <v>0</v>
      </c>
      <c r="J68" s="1657"/>
    </row>
    <row r="69" spans="1:10" ht="30" customHeight="1" x14ac:dyDescent="0.25">
      <c r="A69" s="55" t="s">
        <v>31</v>
      </c>
      <c r="B69" s="1645" t="s">
        <v>73</v>
      </c>
      <c r="C69" s="1645"/>
      <c r="D69" s="1645"/>
      <c r="E69" s="1708"/>
      <c r="F69" s="1708"/>
      <c r="G69" s="55"/>
      <c r="H69" s="55"/>
      <c r="I69" s="1657">
        <f>E69*G69*H69</f>
        <v>0</v>
      </c>
      <c r="J69" s="1657"/>
    </row>
    <row r="70" spans="1:10" ht="30" customHeight="1" x14ac:dyDescent="0.25">
      <c r="A70" s="63" t="s">
        <v>75</v>
      </c>
      <c r="B70" s="1662" t="s">
        <v>76</v>
      </c>
      <c r="C70" s="1663"/>
      <c r="D70" s="1664"/>
      <c r="E70" s="1729"/>
      <c r="F70" s="1729"/>
      <c r="G70" s="63"/>
      <c r="H70" s="63"/>
      <c r="I70" s="1730">
        <f>E70*G70*H70</f>
        <v>0</v>
      </c>
      <c r="J70" s="1730"/>
    </row>
    <row r="71" spans="1:10" ht="45" customHeight="1" x14ac:dyDescent="0.25">
      <c r="A71" s="63" t="s">
        <v>77</v>
      </c>
      <c r="B71" s="1662" t="s">
        <v>69</v>
      </c>
      <c r="C71" s="1663"/>
      <c r="D71" s="1664"/>
      <c r="E71" s="1729"/>
      <c r="F71" s="1729"/>
      <c r="G71" s="63"/>
      <c r="H71" s="63"/>
      <c r="I71" s="1730">
        <f>E71*G71*H71</f>
        <v>0</v>
      </c>
      <c r="J71" s="1730"/>
    </row>
    <row r="72" spans="1:10" ht="15" customHeight="1" x14ac:dyDescent="0.25">
      <c r="A72" s="55"/>
      <c r="B72" s="1711"/>
      <c r="C72" s="1712"/>
      <c r="D72" s="1713"/>
      <c r="E72" s="1708"/>
      <c r="F72" s="1708"/>
      <c r="G72" s="55"/>
      <c r="H72" s="55"/>
      <c r="I72" s="1657"/>
      <c r="J72" s="1657"/>
    </row>
    <row r="73" spans="1:10" ht="15" customHeight="1" x14ac:dyDescent="0.25">
      <c r="A73" s="55"/>
      <c r="B73" s="1645" t="s">
        <v>13</v>
      </c>
      <c r="C73" s="1645"/>
      <c r="D73" s="1645"/>
      <c r="E73" s="1646" t="s">
        <v>14</v>
      </c>
      <c r="F73" s="1646"/>
      <c r="G73" s="55" t="s">
        <v>14</v>
      </c>
      <c r="H73" s="55" t="s">
        <v>14</v>
      </c>
      <c r="I73" s="1658">
        <f>I66+I70+I71</f>
        <v>0</v>
      </c>
      <c r="J73" s="1659"/>
    </row>
    <row r="75" spans="1:10" ht="15.75" customHeight="1" x14ac:dyDescent="0.25">
      <c r="A75" s="1710" t="s">
        <v>287</v>
      </c>
      <c r="B75" s="1710"/>
      <c r="C75" s="1710"/>
      <c r="D75" s="1710"/>
      <c r="E75" s="1710"/>
      <c r="F75" s="1710"/>
      <c r="G75" s="1710"/>
      <c r="H75" s="1710"/>
      <c r="I75" s="1710"/>
      <c r="J75" s="1710"/>
    </row>
    <row r="76" spans="1:10" ht="15.75" x14ac:dyDescent="0.25">
      <c r="A76" s="2"/>
    </row>
    <row r="77" spans="1:10" s="41" customFormat="1" ht="69" customHeight="1" x14ac:dyDescent="0.2">
      <c r="A77" s="57" t="s">
        <v>1</v>
      </c>
      <c r="B77" s="1651" t="s">
        <v>15</v>
      </c>
      <c r="C77" s="1651"/>
      <c r="D77" s="1651"/>
      <c r="E77" s="1677" t="s">
        <v>20</v>
      </c>
      <c r="F77" s="1679"/>
      <c r="G77" s="57" t="s">
        <v>21</v>
      </c>
      <c r="H77" s="57" t="s">
        <v>22</v>
      </c>
      <c r="I77" s="1651" t="s">
        <v>19</v>
      </c>
      <c r="J77" s="1651"/>
    </row>
    <row r="78" spans="1:10" s="41" customFormat="1" ht="12.75" x14ac:dyDescent="0.2">
      <c r="A78" s="57">
        <v>1</v>
      </c>
      <c r="B78" s="1651">
        <v>2</v>
      </c>
      <c r="C78" s="1651"/>
      <c r="D78" s="1651"/>
      <c r="E78" s="1677">
        <v>3</v>
      </c>
      <c r="F78" s="1679"/>
      <c r="G78" s="57">
        <v>4</v>
      </c>
      <c r="H78" s="57">
        <v>5</v>
      </c>
      <c r="I78" s="1651">
        <v>6</v>
      </c>
      <c r="J78" s="1651"/>
    </row>
    <row r="79" spans="1:10" ht="45" customHeight="1" x14ac:dyDescent="0.25">
      <c r="A79" s="69" t="s">
        <v>70</v>
      </c>
      <c r="B79" s="1725" t="s">
        <v>79</v>
      </c>
      <c r="C79" s="1726"/>
      <c r="D79" s="1727"/>
      <c r="E79" s="1680"/>
      <c r="F79" s="1681"/>
      <c r="G79" s="55"/>
      <c r="H79" s="55">
        <v>85</v>
      </c>
      <c r="I79" s="1657">
        <f>E79*G79*H79</f>
        <v>0</v>
      </c>
      <c r="J79" s="1657"/>
    </row>
    <row r="80" spans="1:10" x14ac:dyDescent="0.25">
      <c r="A80" s="69"/>
      <c r="B80" s="1728"/>
      <c r="C80" s="1728"/>
      <c r="D80" s="1728"/>
      <c r="E80" s="1680"/>
      <c r="F80" s="1681"/>
      <c r="G80" s="55"/>
      <c r="H80" s="55"/>
      <c r="I80" s="1649"/>
      <c r="J80" s="1649"/>
    </row>
    <row r="81" spans="1:10" x14ac:dyDescent="0.25">
      <c r="A81" s="69"/>
      <c r="B81" s="1724" t="s">
        <v>13</v>
      </c>
      <c r="C81" s="1724"/>
      <c r="D81" s="1724"/>
      <c r="E81" s="1680" t="s">
        <v>14</v>
      </c>
      <c r="F81" s="1681"/>
      <c r="G81" s="55" t="s">
        <v>14</v>
      </c>
      <c r="H81" s="55" t="s">
        <v>14</v>
      </c>
      <c r="I81" s="1658">
        <f>SUM(I79:J80)</f>
        <v>0</v>
      </c>
      <c r="J81" s="1659"/>
    </row>
    <row r="83" spans="1:10" ht="51.75" customHeight="1" x14ac:dyDescent="0.25">
      <c r="A83" s="1710" t="s">
        <v>288</v>
      </c>
      <c r="B83" s="1710"/>
      <c r="C83" s="1710"/>
      <c r="D83" s="1710"/>
      <c r="E83" s="1710"/>
      <c r="F83" s="1710"/>
      <c r="G83" s="1710"/>
      <c r="H83" s="1710"/>
      <c r="I83" s="1710"/>
      <c r="J83" s="1710"/>
    </row>
    <row r="84" spans="1:10" ht="15.75" x14ac:dyDescent="0.25">
      <c r="A84" s="2"/>
    </row>
    <row r="85" spans="1:10" s="41" customFormat="1" ht="43.5" customHeight="1" x14ac:dyDescent="0.2">
      <c r="A85" s="57" t="s">
        <v>1</v>
      </c>
      <c r="B85" s="1651" t="s">
        <v>23</v>
      </c>
      <c r="C85" s="1651"/>
      <c r="D85" s="1651"/>
      <c r="E85" s="1651"/>
      <c r="F85" s="1651"/>
      <c r="G85" s="1651" t="s">
        <v>24</v>
      </c>
      <c r="H85" s="1651"/>
      <c r="I85" s="1651" t="s">
        <v>25</v>
      </c>
      <c r="J85" s="1651"/>
    </row>
    <row r="86" spans="1:10" s="41" customFormat="1" ht="12.75" x14ac:dyDescent="0.2">
      <c r="A86" s="57">
        <v>1</v>
      </c>
      <c r="B86" s="1651">
        <v>2</v>
      </c>
      <c r="C86" s="1651"/>
      <c r="D86" s="1651"/>
      <c r="E86" s="1651"/>
      <c r="F86" s="1651"/>
      <c r="G86" s="1651">
        <v>3</v>
      </c>
      <c r="H86" s="1651"/>
      <c r="I86" s="1651">
        <v>4</v>
      </c>
      <c r="J86" s="1651"/>
    </row>
    <row r="87" spans="1:10" ht="16.5" customHeight="1" x14ac:dyDescent="0.25">
      <c r="A87" s="63" t="s">
        <v>70</v>
      </c>
      <c r="B87" s="1719" t="s">
        <v>26</v>
      </c>
      <c r="C87" s="1719"/>
      <c r="D87" s="1719"/>
      <c r="E87" s="1719"/>
      <c r="F87" s="1719"/>
      <c r="G87" s="1707" t="s">
        <v>14</v>
      </c>
      <c r="H87" s="1707"/>
      <c r="I87" s="1721">
        <f>SUM(I89:J91)</f>
        <v>0</v>
      </c>
      <c r="J87" s="1721"/>
    </row>
    <row r="88" spans="1:10" ht="15.75" customHeight="1" x14ac:dyDescent="0.25">
      <c r="A88" s="17"/>
      <c r="B88" s="1680" t="s">
        <v>9</v>
      </c>
      <c r="C88" s="1705"/>
      <c r="D88" s="1705"/>
      <c r="E88" s="1705"/>
      <c r="F88" s="1681"/>
      <c r="G88" s="1649"/>
      <c r="H88" s="1649"/>
      <c r="I88" s="1718"/>
      <c r="J88" s="1718"/>
    </row>
    <row r="89" spans="1:10" ht="15.75" customHeight="1" x14ac:dyDescent="0.25">
      <c r="A89" s="55" t="s">
        <v>27</v>
      </c>
      <c r="B89" s="1723" t="s">
        <v>28</v>
      </c>
      <c r="C89" s="1723"/>
      <c r="D89" s="1723"/>
      <c r="E89" s="1723"/>
      <c r="F89" s="1723"/>
      <c r="G89" s="1722"/>
      <c r="H89" s="1722"/>
      <c r="I89" s="1718">
        <f>G89*22%</f>
        <v>0</v>
      </c>
      <c r="J89" s="1718"/>
    </row>
    <row r="90" spans="1:10" ht="15.75" customHeight="1" x14ac:dyDescent="0.25">
      <c r="A90" s="55" t="s">
        <v>29</v>
      </c>
      <c r="B90" s="1661" t="s">
        <v>30</v>
      </c>
      <c r="C90" s="1661"/>
      <c r="D90" s="1661"/>
      <c r="E90" s="1661"/>
      <c r="F90" s="1661"/>
      <c r="G90" s="1649"/>
      <c r="H90" s="1649"/>
      <c r="I90" s="1718"/>
      <c r="J90" s="1718"/>
    </row>
    <row r="91" spans="1:10" ht="31.5" customHeight="1" x14ac:dyDescent="0.25">
      <c r="A91" s="55" t="s">
        <v>31</v>
      </c>
      <c r="B91" s="1717" t="s">
        <v>32</v>
      </c>
      <c r="C91" s="1717"/>
      <c r="D91" s="1717"/>
      <c r="E91" s="1717"/>
      <c r="F91" s="1717"/>
      <c r="G91" s="1649"/>
      <c r="H91" s="1649"/>
      <c r="I91" s="1718"/>
      <c r="J91" s="1718"/>
    </row>
    <row r="92" spans="1:10" ht="32.25" customHeight="1" x14ac:dyDescent="0.25">
      <c r="A92" s="63" t="s">
        <v>75</v>
      </c>
      <c r="B92" s="1719" t="s">
        <v>33</v>
      </c>
      <c r="C92" s="1719"/>
      <c r="D92" s="1719"/>
      <c r="E92" s="1719"/>
      <c r="F92" s="1719"/>
      <c r="G92" s="1707" t="s">
        <v>14</v>
      </c>
      <c r="H92" s="1707"/>
      <c r="I92" s="1721">
        <f>SUM(I94:J98)</f>
        <v>0</v>
      </c>
      <c r="J92" s="1721"/>
    </row>
    <row r="93" spans="1:10" ht="15.75" customHeight="1" x14ac:dyDescent="0.25">
      <c r="A93" s="17"/>
      <c r="B93" s="1680" t="s">
        <v>9</v>
      </c>
      <c r="C93" s="1705"/>
      <c r="D93" s="1705"/>
      <c r="E93" s="1705"/>
      <c r="F93" s="1681"/>
      <c r="G93" s="1649"/>
      <c r="H93" s="1649"/>
      <c r="I93" s="1718"/>
      <c r="J93" s="1718"/>
    </row>
    <row r="94" spans="1:10" ht="32.25" customHeight="1" x14ac:dyDescent="0.25">
      <c r="A94" s="55" t="s">
        <v>34</v>
      </c>
      <c r="B94" s="1717" t="s">
        <v>35</v>
      </c>
      <c r="C94" s="1717"/>
      <c r="D94" s="1717"/>
      <c r="E94" s="1717"/>
      <c r="F94" s="1717"/>
      <c r="G94" s="1722"/>
      <c r="H94" s="1722"/>
      <c r="I94" s="1718">
        <f>G94*2.9%</f>
        <v>0</v>
      </c>
      <c r="J94" s="1718"/>
    </row>
    <row r="95" spans="1:10" ht="31.5" customHeight="1" x14ac:dyDescent="0.25">
      <c r="A95" s="55" t="s">
        <v>36</v>
      </c>
      <c r="B95" s="1717" t="s">
        <v>37</v>
      </c>
      <c r="C95" s="1717"/>
      <c r="D95" s="1717"/>
      <c r="E95" s="1717"/>
      <c r="F95" s="1717"/>
      <c r="G95" s="1649"/>
      <c r="H95" s="1649"/>
      <c r="I95" s="1718"/>
      <c r="J95" s="1718"/>
    </row>
    <row r="96" spans="1:10" ht="31.5" customHeight="1" x14ac:dyDescent="0.25">
      <c r="A96" s="55" t="s">
        <v>38</v>
      </c>
      <c r="B96" s="1717" t="s">
        <v>39</v>
      </c>
      <c r="C96" s="1717"/>
      <c r="D96" s="1717"/>
      <c r="E96" s="1717"/>
      <c r="F96" s="1717"/>
      <c r="G96" s="1722"/>
      <c r="H96" s="1722"/>
      <c r="I96" s="1718">
        <f>G96*0.2%</f>
        <v>0</v>
      </c>
      <c r="J96" s="1718"/>
    </row>
    <row r="97" spans="1:10" ht="31.5" customHeight="1" x14ac:dyDescent="0.25">
      <c r="A97" s="55" t="s">
        <v>40</v>
      </c>
      <c r="B97" s="1717" t="s">
        <v>41</v>
      </c>
      <c r="C97" s="1717"/>
      <c r="D97" s="1717"/>
      <c r="E97" s="1717"/>
      <c r="F97" s="1717"/>
      <c r="G97" s="1649"/>
      <c r="H97" s="1649"/>
      <c r="I97" s="1718"/>
      <c r="J97" s="1718"/>
    </row>
    <row r="98" spans="1:10" ht="31.5" customHeight="1" x14ac:dyDescent="0.25">
      <c r="A98" s="55" t="s">
        <v>42</v>
      </c>
      <c r="B98" s="1717" t="s">
        <v>41</v>
      </c>
      <c r="C98" s="1717"/>
      <c r="D98" s="1717"/>
      <c r="E98" s="1717"/>
      <c r="F98" s="1717"/>
      <c r="G98" s="1649"/>
      <c r="H98" s="1649"/>
      <c r="I98" s="1718"/>
      <c r="J98" s="1718"/>
    </row>
    <row r="99" spans="1:10" ht="31.5" customHeight="1" x14ac:dyDescent="0.25">
      <c r="A99" s="63" t="s">
        <v>77</v>
      </c>
      <c r="B99" s="1719" t="s">
        <v>43</v>
      </c>
      <c r="C99" s="1719"/>
      <c r="D99" s="1719"/>
      <c r="E99" s="1719"/>
      <c r="F99" s="1719"/>
      <c r="G99" s="1720"/>
      <c r="H99" s="1720"/>
      <c r="I99" s="1721">
        <f>G99*5.1%</f>
        <v>0</v>
      </c>
      <c r="J99" s="1721"/>
    </row>
    <row r="100" spans="1:10" x14ac:dyDescent="0.25">
      <c r="A100" s="55"/>
      <c r="B100" s="1645" t="s">
        <v>13</v>
      </c>
      <c r="C100" s="1645"/>
      <c r="D100" s="1645"/>
      <c r="E100" s="1645"/>
      <c r="F100" s="1645"/>
      <c r="G100" s="1646" t="s">
        <v>14</v>
      </c>
      <c r="H100" s="1646"/>
      <c r="I100" s="1715">
        <f>I87+I92+I99</f>
        <v>0</v>
      </c>
      <c r="J100" s="1715"/>
    </row>
    <row r="101" spans="1:10" ht="15.75" x14ac:dyDescent="0.25">
      <c r="A101" s="7"/>
    </row>
    <row r="102" spans="1:10" ht="42" customHeight="1" x14ac:dyDescent="0.25">
      <c r="A102" s="1716" t="s">
        <v>205</v>
      </c>
      <c r="B102" s="1716"/>
      <c r="C102" s="1716"/>
      <c r="D102" s="1716"/>
      <c r="E102" s="1716"/>
      <c r="F102" s="1716"/>
      <c r="G102" s="1716"/>
      <c r="H102" s="1716"/>
      <c r="I102" s="1716"/>
      <c r="J102" s="1716"/>
    </row>
    <row r="105" spans="1:10" ht="15.75" customHeight="1" x14ac:dyDescent="0.25">
      <c r="A105" s="1710" t="s">
        <v>84</v>
      </c>
      <c r="B105" s="1710"/>
      <c r="C105" s="1710"/>
      <c r="D105" s="1710"/>
      <c r="E105" s="1710"/>
      <c r="F105" s="1710"/>
      <c r="G105" s="1710"/>
      <c r="H105" s="1710"/>
      <c r="I105" s="1710"/>
      <c r="J105" s="1710"/>
    </row>
    <row r="106" spans="1:10" ht="15.75" x14ac:dyDescent="0.25">
      <c r="A106" s="2"/>
    </row>
    <row r="107" spans="1:10" ht="15.75" x14ac:dyDescent="0.25">
      <c r="A107" s="2" t="s">
        <v>80</v>
      </c>
      <c r="C107" s="3"/>
      <c r="D107" s="3"/>
      <c r="E107" s="3"/>
      <c r="F107" s="4"/>
      <c r="G107" s="4"/>
      <c r="H107" s="4"/>
      <c r="I107" s="4"/>
      <c r="J107" s="4"/>
    </row>
    <row r="108" spans="1:10" ht="15.75" x14ac:dyDescent="0.25">
      <c r="A108" s="2" t="s">
        <v>81</v>
      </c>
      <c r="E108" s="5"/>
      <c r="F108" s="6"/>
      <c r="G108" s="6"/>
      <c r="H108" s="6"/>
      <c r="I108" s="6"/>
      <c r="J108" s="6"/>
    </row>
    <row r="109" spans="1:10" ht="15.75" x14ac:dyDescent="0.25">
      <c r="A109" s="7"/>
    </row>
    <row r="110" spans="1:10" s="41" customFormat="1" ht="31.5" customHeight="1" x14ac:dyDescent="0.2">
      <c r="A110" s="57" t="s">
        <v>1</v>
      </c>
      <c r="B110" s="1651" t="s">
        <v>44</v>
      </c>
      <c r="C110" s="1651"/>
      <c r="D110" s="1651"/>
      <c r="E110" s="1651" t="s">
        <v>45</v>
      </c>
      <c r="F110" s="1651"/>
      <c r="G110" s="1651" t="s">
        <v>46</v>
      </c>
      <c r="H110" s="1651"/>
      <c r="I110" s="1651" t="s">
        <v>102</v>
      </c>
      <c r="J110" s="1651"/>
    </row>
    <row r="111" spans="1:10" s="41" customFormat="1" ht="12.75" x14ac:dyDescent="0.2">
      <c r="A111" s="57">
        <v>1</v>
      </c>
      <c r="B111" s="1651">
        <v>2</v>
      </c>
      <c r="C111" s="1651"/>
      <c r="D111" s="1651"/>
      <c r="E111" s="1651">
        <v>3</v>
      </c>
      <c r="F111" s="1651"/>
      <c r="G111" s="1651">
        <v>4</v>
      </c>
      <c r="H111" s="1651"/>
      <c r="I111" s="1651">
        <v>5</v>
      </c>
      <c r="J111" s="1651"/>
    </row>
    <row r="112" spans="1:10" x14ac:dyDescent="0.25">
      <c r="A112" s="55"/>
      <c r="B112" s="1646"/>
      <c r="C112" s="1646"/>
      <c r="D112" s="1646"/>
      <c r="E112" s="1646"/>
      <c r="F112" s="1646"/>
      <c r="G112" s="1646"/>
      <c r="H112" s="1646"/>
      <c r="I112" s="1646"/>
      <c r="J112" s="1646"/>
    </row>
    <row r="113" spans="1:11" x14ac:dyDescent="0.25">
      <c r="A113" s="55"/>
      <c r="B113" s="1646"/>
      <c r="C113" s="1646"/>
      <c r="D113" s="1646"/>
      <c r="E113" s="1646"/>
      <c r="F113" s="1646"/>
      <c r="G113" s="1646"/>
      <c r="H113" s="1646"/>
      <c r="I113" s="1646"/>
      <c r="J113" s="1646"/>
    </row>
    <row r="114" spans="1:11" x14ac:dyDescent="0.25">
      <c r="A114" s="55"/>
      <c r="B114" s="1645" t="s">
        <v>13</v>
      </c>
      <c r="C114" s="1645"/>
      <c r="D114" s="1645"/>
      <c r="E114" s="1646" t="s">
        <v>14</v>
      </c>
      <c r="F114" s="1646"/>
      <c r="G114" s="1646" t="s">
        <v>14</v>
      </c>
      <c r="H114" s="1646"/>
      <c r="I114" s="1646"/>
      <c r="J114" s="1646"/>
    </row>
    <row r="115" spans="1:11" ht="15.75" x14ac:dyDescent="0.25">
      <c r="A115" s="7"/>
    </row>
    <row r="116" spans="1:11" ht="15.75" x14ac:dyDescent="0.25">
      <c r="A116" s="7"/>
    </row>
    <row r="117" spans="1:11" ht="18" customHeight="1" x14ac:dyDescent="0.25">
      <c r="A117" s="1710" t="s">
        <v>293</v>
      </c>
      <c r="B117" s="1710"/>
      <c r="C117" s="1710"/>
      <c r="D117" s="1710"/>
      <c r="E117" s="1710"/>
      <c r="F117" s="1710"/>
      <c r="G117" s="1710"/>
      <c r="H117" s="1710"/>
      <c r="I117" s="1710"/>
      <c r="J117" s="1710"/>
    </row>
    <row r="118" spans="1:11" ht="15.75" x14ac:dyDescent="0.25">
      <c r="A118" s="2"/>
    </row>
    <row r="119" spans="1:11" ht="15.75" x14ac:dyDescent="0.25">
      <c r="A119" s="2" t="s">
        <v>80</v>
      </c>
      <c r="C119" s="3">
        <v>851</v>
      </c>
      <c r="D119" s="3">
        <v>852</v>
      </c>
      <c r="E119" s="3">
        <v>853</v>
      </c>
      <c r="F119" s="3"/>
      <c r="G119" s="4"/>
      <c r="H119" s="4"/>
      <c r="I119" s="4"/>
      <c r="J119" s="4"/>
    </row>
    <row r="120" spans="1:11" ht="15.75" x14ac:dyDescent="0.25">
      <c r="A120" s="2" t="s">
        <v>81</v>
      </c>
      <c r="E120" s="5" t="s">
        <v>82</v>
      </c>
      <c r="F120" s="6"/>
      <c r="G120" s="5"/>
      <c r="H120" s="6"/>
      <c r="I120" s="6"/>
      <c r="J120" s="6"/>
    </row>
    <row r="121" spans="1:11" ht="15.75" x14ac:dyDescent="0.25">
      <c r="A121" s="2"/>
    </row>
    <row r="122" spans="1:11" s="41" customFormat="1" ht="54" customHeight="1" x14ac:dyDescent="0.2">
      <c r="A122" s="57" t="s">
        <v>1</v>
      </c>
      <c r="B122" s="1651" t="s">
        <v>15</v>
      </c>
      <c r="C122" s="1651"/>
      <c r="D122" s="1651"/>
      <c r="E122" s="1651" t="s">
        <v>47</v>
      </c>
      <c r="F122" s="1651"/>
      <c r="G122" s="1651" t="s">
        <v>48</v>
      </c>
      <c r="H122" s="1651"/>
      <c r="I122" s="1651" t="s">
        <v>103</v>
      </c>
      <c r="J122" s="1651"/>
    </row>
    <row r="123" spans="1:11" s="41" customFormat="1" ht="12.75" x14ac:dyDescent="0.2">
      <c r="A123" s="57">
        <v>1</v>
      </c>
      <c r="B123" s="1651">
        <v>2</v>
      </c>
      <c r="C123" s="1651"/>
      <c r="D123" s="1651"/>
      <c r="E123" s="1651">
        <v>3</v>
      </c>
      <c r="F123" s="1651"/>
      <c r="G123" s="1651">
        <v>4</v>
      </c>
      <c r="H123" s="1651"/>
      <c r="I123" s="1651">
        <v>5</v>
      </c>
      <c r="J123" s="1651"/>
    </row>
    <row r="124" spans="1:11" x14ac:dyDescent="0.25">
      <c r="A124" s="55" t="s">
        <v>70</v>
      </c>
      <c r="B124" s="1711" t="s">
        <v>289</v>
      </c>
      <c r="C124" s="1712"/>
      <c r="D124" s="1713"/>
      <c r="E124" s="1708"/>
      <c r="F124" s="1646"/>
      <c r="G124" s="1714">
        <v>2.2000000000000002</v>
      </c>
      <c r="H124" s="1714"/>
      <c r="I124" s="1657">
        <f>ROUND((E124*G124)/100,2)</f>
        <v>0</v>
      </c>
      <c r="J124" s="1657"/>
      <c r="K124" s="1" t="s">
        <v>88</v>
      </c>
    </row>
    <row r="125" spans="1:11" x14ac:dyDescent="0.25">
      <c r="A125" s="55" t="s">
        <v>75</v>
      </c>
      <c r="B125" s="1711" t="s">
        <v>290</v>
      </c>
      <c r="C125" s="1712"/>
      <c r="D125" s="1713"/>
      <c r="E125" s="1646"/>
      <c r="F125" s="1646"/>
      <c r="G125" s="1646"/>
      <c r="H125" s="1646"/>
      <c r="I125" s="1657"/>
      <c r="J125" s="1657"/>
      <c r="K125" s="1" t="s">
        <v>89</v>
      </c>
    </row>
    <row r="126" spans="1:11" ht="30" customHeight="1" x14ac:dyDescent="0.25">
      <c r="A126" s="55" t="s">
        <v>77</v>
      </c>
      <c r="B126" s="1711" t="s">
        <v>291</v>
      </c>
      <c r="C126" s="1712"/>
      <c r="D126" s="1713"/>
      <c r="E126" s="1646"/>
      <c r="F126" s="1646"/>
      <c r="G126" s="1646"/>
      <c r="H126" s="1646"/>
      <c r="I126" s="1657"/>
      <c r="J126" s="1657"/>
      <c r="K126" s="1" t="s">
        <v>90</v>
      </c>
    </row>
    <row r="127" spans="1:11" ht="44.25" customHeight="1" x14ac:dyDescent="0.25">
      <c r="A127" s="55" t="s">
        <v>86</v>
      </c>
      <c r="B127" s="1711" t="s">
        <v>292</v>
      </c>
      <c r="C127" s="1712"/>
      <c r="D127" s="1713"/>
      <c r="E127" s="1646"/>
      <c r="F127" s="1646"/>
      <c r="G127" s="1646"/>
      <c r="H127" s="1646"/>
      <c r="I127" s="1657"/>
      <c r="J127" s="1657"/>
      <c r="K127" s="1" t="s">
        <v>89</v>
      </c>
    </row>
    <row r="128" spans="1:11" x14ac:dyDescent="0.25">
      <c r="A128" s="55"/>
      <c r="B128" s="1645" t="s">
        <v>13</v>
      </c>
      <c r="C128" s="1645"/>
      <c r="D128" s="1645"/>
      <c r="E128" s="1646"/>
      <c r="F128" s="1646"/>
      <c r="G128" s="1646" t="s">
        <v>14</v>
      </c>
      <c r="H128" s="1646"/>
      <c r="I128" s="1658">
        <f>I124+I125+I126+I127</f>
        <v>0</v>
      </c>
      <c r="J128" s="1659"/>
    </row>
    <row r="129" spans="1:10" ht="15.75" x14ac:dyDescent="0.25">
      <c r="A129" s="7"/>
    </row>
    <row r="130" spans="1:10" ht="15.75" x14ac:dyDescent="0.25">
      <c r="A130" s="7"/>
    </row>
    <row r="131" spans="1:10" ht="15.75" customHeight="1" x14ac:dyDescent="0.25">
      <c r="A131" s="1710" t="s">
        <v>85</v>
      </c>
      <c r="B131" s="1710"/>
      <c r="C131" s="1710"/>
      <c r="D131" s="1710"/>
      <c r="E131" s="1710"/>
      <c r="F131" s="1710"/>
      <c r="G131" s="1710"/>
      <c r="H131" s="1710"/>
      <c r="I131" s="1710"/>
      <c r="J131" s="1710"/>
    </row>
    <row r="132" spans="1:10" ht="15.75" x14ac:dyDescent="0.25">
      <c r="A132" s="2"/>
    </row>
    <row r="133" spans="1:10" ht="15.75" x14ac:dyDescent="0.25">
      <c r="A133" s="2" t="s">
        <v>80</v>
      </c>
      <c r="C133" s="3"/>
      <c r="D133" s="3"/>
      <c r="E133" s="3"/>
      <c r="F133" s="4"/>
      <c r="G133" s="4"/>
      <c r="H133" s="4"/>
      <c r="I133" s="4"/>
      <c r="J133" s="4"/>
    </row>
    <row r="134" spans="1:10" ht="15.75" x14ac:dyDescent="0.25">
      <c r="A134" s="2" t="s">
        <v>81</v>
      </c>
      <c r="E134" s="5"/>
      <c r="F134" s="6"/>
      <c r="G134" s="6"/>
      <c r="H134" s="6"/>
      <c r="I134" s="6"/>
      <c r="J134" s="6"/>
    </row>
    <row r="135" spans="1:10" ht="15.75" x14ac:dyDescent="0.25">
      <c r="A135" s="2"/>
    </row>
    <row r="136" spans="1:10" s="41" customFormat="1" ht="30" customHeight="1" x14ac:dyDescent="0.2">
      <c r="A136" s="57" t="s">
        <v>1</v>
      </c>
      <c r="B136" s="1651" t="s">
        <v>44</v>
      </c>
      <c r="C136" s="1651"/>
      <c r="D136" s="1651"/>
      <c r="E136" s="1651" t="s">
        <v>45</v>
      </c>
      <c r="F136" s="1651"/>
      <c r="G136" s="1651" t="s">
        <v>46</v>
      </c>
      <c r="H136" s="1651"/>
      <c r="I136" s="1651" t="s">
        <v>102</v>
      </c>
      <c r="J136" s="1651"/>
    </row>
    <row r="137" spans="1:10" s="41" customFormat="1" ht="12.75" x14ac:dyDescent="0.2">
      <c r="A137" s="57">
        <v>1</v>
      </c>
      <c r="B137" s="1651">
        <v>2</v>
      </c>
      <c r="C137" s="1651"/>
      <c r="D137" s="1651"/>
      <c r="E137" s="1651">
        <v>3</v>
      </c>
      <c r="F137" s="1651"/>
      <c r="G137" s="1651">
        <v>4</v>
      </c>
      <c r="H137" s="1651"/>
      <c r="I137" s="1651">
        <v>5</v>
      </c>
      <c r="J137" s="1651"/>
    </row>
    <row r="138" spans="1:10" x14ac:dyDescent="0.25">
      <c r="A138" s="55"/>
      <c r="B138" s="1646"/>
      <c r="C138" s="1646"/>
      <c r="D138" s="1646"/>
      <c r="E138" s="1646"/>
      <c r="F138" s="1646"/>
      <c r="G138" s="1646"/>
      <c r="H138" s="1646"/>
      <c r="I138" s="1646"/>
      <c r="J138" s="1646"/>
    </row>
    <row r="139" spans="1:10" x14ac:dyDescent="0.25">
      <c r="A139" s="55"/>
      <c r="B139" s="1646"/>
      <c r="C139" s="1646"/>
      <c r="D139" s="1646"/>
      <c r="E139" s="1646"/>
      <c r="F139" s="1646"/>
      <c r="G139" s="1646"/>
      <c r="H139" s="1646"/>
      <c r="I139" s="1646"/>
      <c r="J139" s="1646"/>
    </row>
    <row r="140" spans="1:10" x14ac:dyDescent="0.25">
      <c r="A140" s="55"/>
      <c r="B140" s="1645" t="s">
        <v>13</v>
      </c>
      <c r="C140" s="1645"/>
      <c r="D140" s="1645"/>
      <c r="E140" s="1646" t="s">
        <v>14</v>
      </c>
      <c r="F140" s="1646"/>
      <c r="G140" s="1646" t="s">
        <v>14</v>
      </c>
      <c r="H140" s="1646"/>
      <c r="I140" s="1646"/>
      <c r="J140" s="1646"/>
    </row>
    <row r="141" spans="1:10" ht="15.75" x14ac:dyDescent="0.25">
      <c r="A141" s="7"/>
    </row>
    <row r="142" spans="1:10" ht="15.75" x14ac:dyDescent="0.25">
      <c r="A142" s="7"/>
    </row>
    <row r="143" spans="1:10" ht="15.75" x14ac:dyDescent="0.25">
      <c r="A143" s="1660" t="s">
        <v>91</v>
      </c>
      <c r="B143" s="1660"/>
      <c r="C143" s="1660"/>
      <c r="D143" s="1660"/>
      <c r="E143" s="1660"/>
      <c r="F143" s="1660"/>
      <c r="G143" s="1660"/>
      <c r="H143" s="1660"/>
      <c r="I143" s="1660"/>
      <c r="J143" s="1660"/>
    </row>
    <row r="144" spans="1:10" ht="15.75" x14ac:dyDescent="0.25">
      <c r="A144" s="2"/>
    </row>
    <row r="145" spans="1:10" ht="15.75" x14ac:dyDescent="0.25">
      <c r="A145" s="2" t="s">
        <v>80</v>
      </c>
      <c r="C145" s="3"/>
      <c r="D145" s="3"/>
      <c r="E145" s="3"/>
      <c r="F145" s="4"/>
      <c r="G145" s="4"/>
      <c r="H145" s="4"/>
      <c r="I145" s="4"/>
      <c r="J145" s="4"/>
    </row>
    <row r="146" spans="1:10" ht="15.75" x14ac:dyDescent="0.25">
      <c r="A146" s="2" t="s">
        <v>81</v>
      </c>
      <c r="E146" s="5"/>
      <c r="F146" s="6"/>
      <c r="G146" s="5"/>
      <c r="H146" s="6"/>
      <c r="I146" s="6"/>
      <c r="J146" s="6"/>
    </row>
    <row r="147" spans="1:10" ht="15.75" x14ac:dyDescent="0.25">
      <c r="A147" s="2"/>
    </row>
    <row r="148" spans="1:10" s="41" customFormat="1" ht="30" customHeight="1" x14ac:dyDescent="0.2">
      <c r="A148" s="57" t="s">
        <v>1</v>
      </c>
      <c r="B148" s="1651" t="s">
        <v>44</v>
      </c>
      <c r="C148" s="1651"/>
      <c r="D148" s="1651"/>
      <c r="E148" s="1651" t="s">
        <v>45</v>
      </c>
      <c r="F148" s="1651"/>
      <c r="G148" s="1651" t="s">
        <v>46</v>
      </c>
      <c r="H148" s="1651"/>
      <c r="I148" s="1651" t="s">
        <v>102</v>
      </c>
      <c r="J148" s="1651"/>
    </row>
    <row r="149" spans="1:10" s="41" customFormat="1" ht="12.75" x14ac:dyDescent="0.2">
      <c r="A149" s="57">
        <v>1</v>
      </c>
      <c r="B149" s="1651">
        <v>2</v>
      </c>
      <c r="C149" s="1651"/>
      <c r="D149" s="1651"/>
      <c r="E149" s="1651">
        <v>3</v>
      </c>
      <c r="F149" s="1651"/>
      <c r="G149" s="1651">
        <v>4</v>
      </c>
      <c r="H149" s="1651"/>
      <c r="I149" s="1651">
        <v>5</v>
      </c>
      <c r="J149" s="1651"/>
    </row>
    <row r="150" spans="1:10" x14ac:dyDescent="0.25">
      <c r="A150" s="55"/>
      <c r="B150" s="1646"/>
      <c r="C150" s="1646"/>
      <c r="D150" s="1646"/>
      <c r="E150" s="1646"/>
      <c r="F150" s="1646"/>
      <c r="G150" s="1646"/>
      <c r="H150" s="1646"/>
      <c r="I150" s="1646"/>
      <c r="J150" s="1646"/>
    </row>
    <row r="151" spans="1:10" x14ac:dyDescent="0.25">
      <c r="A151" s="55"/>
      <c r="B151" s="1646"/>
      <c r="C151" s="1646"/>
      <c r="D151" s="1646"/>
      <c r="E151" s="1646"/>
      <c r="F151" s="1646"/>
      <c r="G151" s="1646"/>
      <c r="H151" s="1646"/>
      <c r="I151" s="1646"/>
      <c r="J151" s="1646"/>
    </row>
    <row r="152" spans="1:10" x14ac:dyDescent="0.25">
      <c r="A152" s="55"/>
      <c r="B152" s="1645" t="s">
        <v>13</v>
      </c>
      <c r="C152" s="1645"/>
      <c r="D152" s="1645"/>
      <c r="E152" s="1646" t="s">
        <v>14</v>
      </c>
      <c r="F152" s="1646"/>
      <c r="G152" s="1646" t="s">
        <v>14</v>
      </c>
      <c r="H152" s="1646"/>
      <c r="I152" s="1646"/>
      <c r="J152" s="1646"/>
    </row>
    <row r="153" spans="1:10" ht="15.75" x14ac:dyDescent="0.25">
      <c r="A153" s="7"/>
    </row>
    <row r="154" spans="1:10" ht="15.75" x14ac:dyDescent="0.25">
      <c r="A154" s="7"/>
    </row>
    <row r="155" spans="1:10" ht="15.75" x14ac:dyDescent="0.25">
      <c r="A155" s="1660" t="s">
        <v>49</v>
      </c>
      <c r="B155" s="1660"/>
      <c r="C155" s="1660"/>
      <c r="D155" s="1660"/>
      <c r="E155" s="1660"/>
      <c r="F155" s="1660"/>
      <c r="G155" s="1660"/>
      <c r="H155" s="1660"/>
      <c r="I155" s="1660"/>
      <c r="J155" s="1660"/>
    </row>
    <row r="156" spans="1:10" ht="15.75" x14ac:dyDescent="0.25">
      <c r="A156" s="60"/>
      <c r="B156" s="60"/>
      <c r="C156" s="60"/>
      <c r="D156" s="60"/>
      <c r="E156" s="60"/>
      <c r="F156" s="60"/>
      <c r="G156" s="60"/>
      <c r="H156" s="60"/>
      <c r="I156" s="60"/>
      <c r="J156" s="60"/>
    </row>
    <row r="157" spans="1:10" ht="15.75" x14ac:dyDescent="0.25">
      <c r="A157" s="2" t="s">
        <v>80</v>
      </c>
      <c r="C157" s="3">
        <v>244</v>
      </c>
      <c r="D157" s="3"/>
      <c r="E157" s="3"/>
      <c r="F157" s="4"/>
      <c r="G157" s="4"/>
      <c r="H157" s="4"/>
      <c r="I157" s="4"/>
      <c r="J157" s="4"/>
    </row>
    <row r="158" spans="1:10" ht="15.75" x14ac:dyDescent="0.25">
      <c r="A158" s="2" t="s">
        <v>81</v>
      </c>
      <c r="E158" s="5" t="s">
        <v>82</v>
      </c>
      <c r="F158" s="6"/>
      <c r="G158" s="5" t="s">
        <v>195</v>
      </c>
      <c r="H158" s="6"/>
      <c r="I158" s="6"/>
      <c r="J158" s="6"/>
    </row>
    <row r="159" spans="1:10" ht="15.75" customHeight="1" x14ac:dyDescent="0.25">
      <c r="A159" s="7"/>
    </row>
    <row r="160" spans="1:10" ht="15.75" x14ac:dyDescent="0.25">
      <c r="A160" s="1660" t="s">
        <v>294</v>
      </c>
      <c r="B160" s="1660"/>
      <c r="C160" s="1660"/>
      <c r="D160" s="1660"/>
      <c r="E160" s="1660"/>
      <c r="F160" s="1660"/>
      <c r="G160" s="1660"/>
      <c r="H160" s="1660"/>
      <c r="I160" s="1660"/>
      <c r="J160" s="1660"/>
    </row>
    <row r="161" spans="1:10" ht="15.75" x14ac:dyDescent="0.25">
      <c r="A161" s="8"/>
    </row>
    <row r="162" spans="1:10" s="41" customFormat="1" ht="45" customHeight="1" x14ac:dyDescent="0.2">
      <c r="A162" s="57" t="s">
        <v>1</v>
      </c>
      <c r="B162" s="1651" t="s">
        <v>15</v>
      </c>
      <c r="C162" s="1651"/>
      <c r="D162" s="1651"/>
      <c r="E162" s="57" t="s">
        <v>50</v>
      </c>
      <c r="F162" s="57" t="s">
        <v>51</v>
      </c>
      <c r="G162" s="1651" t="s">
        <v>52</v>
      </c>
      <c r="H162" s="1651"/>
      <c r="I162" s="1651" t="s">
        <v>104</v>
      </c>
      <c r="J162" s="1651"/>
    </row>
    <row r="163" spans="1:10" s="41" customFormat="1" ht="12.75" x14ac:dyDescent="0.2">
      <c r="A163" s="57">
        <v>1</v>
      </c>
      <c r="B163" s="1651">
        <v>2</v>
      </c>
      <c r="C163" s="1651"/>
      <c r="D163" s="1651"/>
      <c r="E163" s="57">
        <v>3</v>
      </c>
      <c r="F163" s="57">
        <v>4</v>
      </c>
      <c r="G163" s="1651">
        <v>5</v>
      </c>
      <c r="H163" s="1651"/>
      <c r="I163" s="1651">
        <v>6</v>
      </c>
      <c r="J163" s="1651"/>
    </row>
    <row r="164" spans="1:10" x14ac:dyDescent="0.25">
      <c r="A164" s="55" t="s">
        <v>70</v>
      </c>
      <c r="B164" s="1661" t="s">
        <v>92</v>
      </c>
      <c r="C164" s="1661"/>
      <c r="D164" s="1661"/>
      <c r="E164" s="55"/>
      <c r="F164" s="55">
        <v>12</v>
      </c>
      <c r="G164" s="1709"/>
      <c r="H164" s="1709"/>
      <c r="I164" s="1657">
        <f>E164*F164*G164</f>
        <v>0</v>
      </c>
      <c r="J164" s="1657"/>
    </row>
    <row r="165" spans="1:10" ht="30" customHeight="1" x14ac:dyDescent="0.25">
      <c r="A165" s="55" t="s">
        <v>75</v>
      </c>
      <c r="B165" s="1661" t="s">
        <v>93</v>
      </c>
      <c r="C165" s="1661"/>
      <c r="D165" s="1661"/>
      <c r="E165" s="55"/>
      <c r="F165" s="55">
        <v>12</v>
      </c>
      <c r="G165" s="1709"/>
      <c r="H165" s="1709"/>
      <c r="I165" s="1657">
        <f>E165*F165*G165</f>
        <v>0</v>
      </c>
      <c r="J165" s="1657"/>
    </row>
    <row r="166" spans="1:10" ht="30" customHeight="1" x14ac:dyDescent="0.25">
      <c r="A166" s="55" t="s">
        <v>94</v>
      </c>
      <c r="B166" s="1661" t="s">
        <v>95</v>
      </c>
      <c r="C166" s="1661"/>
      <c r="D166" s="1661"/>
      <c r="E166" s="55">
        <v>1</v>
      </c>
      <c r="F166" s="55">
        <v>12</v>
      </c>
      <c r="G166" s="1708"/>
      <c r="H166" s="1708"/>
      <c r="I166" s="1657">
        <f>E166*F166*G166</f>
        <v>0</v>
      </c>
      <c r="J166" s="1657"/>
    </row>
    <row r="167" spans="1:10" ht="45.75" customHeight="1" x14ac:dyDescent="0.25">
      <c r="A167" s="55" t="s">
        <v>86</v>
      </c>
      <c r="B167" s="1661" t="s">
        <v>96</v>
      </c>
      <c r="C167" s="1661"/>
      <c r="D167" s="1661"/>
      <c r="E167" s="55">
        <v>1</v>
      </c>
      <c r="F167" s="55">
        <v>1</v>
      </c>
      <c r="G167" s="1708"/>
      <c r="H167" s="1708"/>
      <c r="I167" s="1657">
        <f t="shared" ref="I167:I169" si="8">E167*F167*G167</f>
        <v>0</v>
      </c>
      <c r="J167" s="1657"/>
    </row>
    <row r="168" spans="1:10" ht="60" customHeight="1" x14ac:dyDescent="0.25">
      <c r="A168" s="55" t="s">
        <v>87</v>
      </c>
      <c r="B168" s="1661" t="s">
        <v>98</v>
      </c>
      <c r="C168" s="1661"/>
      <c r="D168" s="1661"/>
      <c r="E168" s="55">
        <v>1</v>
      </c>
      <c r="F168" s="55">
        <v>1</v>
      </c>
      <c r="G168" s="1708"/>
      <c r="H168" s="1708"/>
      <c r="I168" s="1657">
        <f t="shared" si="8"/>
        <v>0</v>
      </c>
      <c r="J168" s="1657"/>
    </row>
    <row r="169" spans="1:10" ht="60" customHeight="1" x14ac:dyDescent="0.25">
      <c r="A169" s="55" t="s">
        <v>97</v>
      </c>
      <c r="B169" s="1661" t="s">
        <v>99</v>
      </c>
      <c r="C169" s="1661"/>
      <c r="D169" s="1661"/>
      <c r="E169" s="55">
        <v>1</v>
      </c>
      <c r="F169" s="55">
        <v>1</v>
      </c>
      <c r="G169" s="1708"/>
      <c r="H169" s="1708"/>
      <c r="I169" s="1657">
        <f t="shared" si="8"/>
        <v>0</v>
      </c>
      <c r="J169" s="1657"/>
    </row>
    <row r="170" spans="1:10" ht="30" customHeight="1" x14ac:dyDescent="0.25">
      <c r="A170" s="55" t="s">
        <v>116</v>
      </c>
      <c r="B170" s="1661" t="s">
        <v>199</v>
      </c>
      <c r="C170" s="1661"/>
      <c r="D170" s="1661"/>
      <c r="E170" s="55">
        <v>1</v>
      </c>
      <c r="F170" s="55">
        <v>10</v>
      </c>
      <c r="G170" s="1472"/>
      <c r="H170" s="1472"/>
      <c r="I170" s="1657">
        <f>E170*F170*G170</f>
        <v>0</v>
      </c>
      <c r="J170" s="1657"/>
    </row>
    <row r="171" spans="1:10" x14ac:dyDescent="0.25">
      <c r="A171" s="55"/>
      <c r="B171" s="1661"/>
      <c r="C171" s="1661"/>
      <c r="D171" s="1661"/>
      <c r="E171" s="55"/>
      <c r="F171" s="55"/>
      <c r="G171" s="1646"/>
      <c r="H171" s="1646"/>
      <c r="I171" s="1646"/>
      <c r="J171" s="1646"/>
    </row>
    <row r="172" spans="1:10" x14ac:dyDescent="0.25">
      <c r="A172" s="55"/>
      <c r="B172" s="1645" t="s">
        <v>13</v>
      </c>
      <c r="C172" s="1645"/>
      <c r="D172" s="1645"/>
      <c r="E172" s="55" t="s">
        <v>14</v>
      </c>
      <c r="F172" s="55" t="s">
        <v>14</v>
      </c>
      <c r="G172" s="1646" t="s">
        <v>14</v>
      </c>
      <c r="H172" s="1646"/>
      <c r="I172" s="1658">
        <f>SUM(I164:J171)</f>
        <v>0</v>
      </c>
      <c r="J172" s="1659"/>
    </row>
    <row r="173" spans="1:10" ht="15.75" x14ac:dyDescent="0.25">
      <c r="A173" s="7"/>
    </row>
    <row r="174" spans="1:10" ht="15.75" x14ac:dyDescent="0.25">
      <c r="A174" s="1660" t="s">
        <v>278</v>
      </c>
      <c r="B174" s="1660"/>
      <c r="C174" s="1660"/>
      <c r="D174" s="1660"/>
      <c r="E174" s="1660"/>
      <c r="F174" s="1660"/>
      <c r="G174" s="1660"/>
      <c r="H174" s="1660"/>
      <c r="I174" s="1660"/>
      <c r="J174" s="1660"/>
    </row>
    <row r="175" spans="1:10" ht="15.75" x14ac:dyDescent="0.25">
      <c r="A175" s="8"/>
    </row>
    <row r="176" spans="1:10" s="41" customFormat="1" ht="30" customHeight="1" x14ac:dyDescent="0.2">
      <c r="A176" s="57" t="s">
        <v>1</v>
      </c>
      <c r="B176" s="1651" t="s">
        <v>15</v>
      </c>
      <c r="C176" s="1651"/>
      <c r="D176" s="1651"/>
      <c r="E176" s="1651" t="s">
        <v>53</v>
      </c>
      <c r="F176" s="1651"/>
      <c r="G176" s="1651" t="s">
        <v>54</v>
      </c>
      <c r="H176" s="1651"/>
      <c r="I176" s="1651" t="s">
        <v>260</v>
      </c>
      <c r="J176" s="1651"/>
    </row>
    <row r="177" spans="1:10" s="41" customFormat="1" ht="12.75" x14ac:dyDescent="0.2">
      <c r="A177" s="57">
        <v>1</v>
      </c>
      <c r="B177" s="1651">
        <v>2</v>
      </c>
      <c r="C177" s="1651"/>
      <c r="D177" s="1651"/>
      <c r="E177" s="1651">
        <v>3</v>
      </c>
      <c r="F177" s="1651"/>
      <c r="G177" s="1651">
        <v>4</v>
      </c>
      <c r="H177" s="1651"/>
      <c r="I177" s="1651">
        <v>5</v>
      </c>
      <c r="J177" s="1651"/>
    </row>
    <row r="178" spans="1:10" x14ac:dyDescent="0.25">
      <c r="A178" s="55"/>
      <c r="B178" s="1646"/>
      <c r="C178" s="1646"/>
      <c r="D178" s="1646"/>
      <c r="E178" s="1646"/>
      <c r="F178" s="1646"/>
      <c r="G178" s="1646"/>
      <c r="H178" s="1646"/>
      <c r="I178" s="1646"/>
      <c r="J178" s="1646"/>
    </row>
    <row r="179" spans="1:10" x14ac:dyDescent="0.25">
      <c r="A179" s="55"/>
      <c r="B179" s="1646"/>
      <c r="C179" s="1646"/>
      <c r="D179" s="1646"/>
      <c r="E179" s="1646"/>
      <c r="F179" s="1646"/>
      <c r="G179" s="1646"/>
      <c r="H179" s="1646"/>
      <c r="I179" s="1646"/>
      <c r="J179" s="1646"/>
    </row>
    <row r="180" spans="1:10" x14ac:dyDescent="0.25">
      <c r="A180" s="55"/>
      <c r="B180" s="1645" t="s">
        <v>13</v>
      </c>
      <c r="C180" s="1645"/>
      <c r="D180" s="1645"/>
      <c r="E180" s="1646"/>
      <c r="F180" s="1646"/>
      <c r="G180" s="1646"/>
      <c r="H180" s="1646"/>
      <c r="I180" s="1646"/>
      <c r="J180" s="1646"/>
    </row>
    <row r="181" spans="1:10" ht="15.75" x14ac:dyDescent="0.25">
      <c r="A181" s="7"/>
    </row>
    <row r="182" spans="1:10" ht="15.75" x14ac:dyDescent="0.25">
      <c r="A182" s="1660" t="s">
        <v>274</v>
      </c>
      <c r="B182" s="1660"/>
      <c r="C182" s="1660"/>
      <c r="D182" s="1660"/>
      <c r="E182" s="1660"/>
      <c r="F182" s="1660"/>
      <c r="G182" s="1660"/>
      <c r="H182" s="1660"/>
      <c r="I182" s="1660"/>
      <c r="J182" s="1660"/>
    </row>
    <row r="183" spans="1:10" ht="15.75" x14ac:dyDescent="0.25">
      <c r="A183" s="8"/>
    </row>
    <row r="184" spans="1:10" s="41" customFormat="1" ht="45" customHeight="1" x14ac:dyDescent="0.2">
      <c r="A184" s="57" t="s">
        <v>1</v>
      </c>
      <c r="B184" s="1651" t="s">
        <v>44</v>
      </c>
      <c r="C184" s="1651"/>
      <c r="D184" s="1651"/>
      <c r="E184" s="57" t="s">
        <v>55</v>
      </c>
      <c r="F184" s="1651" t="s">
        <v>56</v>
      </c>
      <c r="G184" s="1651"/>
      <c r="H184" s="57" t="s">
        <v>57</v>
      </c>
      <c r="I184" s="1651" t="s">
        <v>104</v>
      </c>
      <c r="J184" s="1651"/>
    </row>
    <row r="185" spans="1:10" s="41" customFormat="1" ht="12.75" x14ac:dyDescent="0.2">
      <c r="A185" s="57">
        <v>1</v>
      </c>
      <c r="B185" s="1651">
        <v>2</v>
      </c>
      <c r="C185" s="1651"/>
      <c r="D185" s="1651"/>
      <c r="E185" s="57">
        <v>3</v>
      </c>
      <c r="F185" s="1651">
        <v>4</v>
      </c>
      <c r="G185" s="1651"/>
      <c r="H185" s="57">
        <v>5</v>
      </c>
      <c r="I185" s="1651">
        <v>6</v>
      </c>
      <c r="J185" s="1651"/>
    </row>
    <row r="186" spans="1:10" ht="30" customHeight="1" x14ac:dyDescent="0.25">
      <c r="A186" s="63" t="s">
        <v>70</v>
      </c>
      <c r="B186" s="1662" t="s">
        <v>151</v>
      </c>
      <c r="C186" s="1663"/>
      <c r="D186" s="1664"/>
      <c r="E186" s="68">
        <f>E187+E188</f>
        <v>0</v>
      </c>
      <c r="F186" s="9"/>
      <c r="G186" s="9"/>
      <c r="H186" s="10">
        <f>F188/F187-100%</f>
        <v>5.4001501904199944E-2</v>
      </c>
      <c r="I186" s="1706">
        <f>I187+I188</f>
        <v>0</v>
      </c>
      <c r="J186" s="1707"/>
    </row>
    <row r="187" spans="1:10" ht="15" customHeight="1" x14ac:dyDescent="0.25">
      <c r="A187" s="55"/>
      <c r="B187" s="1646" t="s">
        <v>100</v>
      </c>
      <c r="C187" s="1646"/>
      <c r="D187" s="1646"/>
      <c r="E187" s="61"/>
      <c r="F187" s="66">
        <v>1491.44</v>
      </c>
      <c r="G187" s="66">
        <f>F187*1.18</f>
        <v>1759.8992000000001</v>
      </c>
      <c r="H187" s="55"/>
      <c r="I187" s="1657">
        <f>ROUND(E187*G187,2)</f>
        <v>0</v>
      </c>
      <c r="J187" s="1657"/>
    </row>
    <row r="188" spans="1:10" ht="15" customHeight="1" x14ac:dyDescent="0.25">
      <c r="A188" s="55"/>
      <c r="B188" s="1646" t="s">
        <v>101</v>
      </c>
      <c r="C188" s="1646"/>
      <c r="D188" s="1646"/>
      <c r="E188" s="61"/>
      <c r="F188" s="66">
        <v>1571.98</v>
      </c>
      <c r="G188" s="66">
        <f>F188*1.18</f>
        <v>1854.9363999999998</v>
      </c>
      <c r="H188" s="55"/>
      <c r="I188" s="1657">
        <f>ROUND(E188*G188,2)</f>
        <v>0</v>
      </c>
      <c r="J188" s="1657"/>
    </row>
    <row r="189" spans="1:10" ht="29.25" customHeight="1" x14ac:dyDescent="0.25">
      <c r="A189" s="63" t="s">
        <v>75</v>
      </c>
      <c r="B189" s="1662" t="s">
        <v>152</v>
      </c>
      <c r="C189" s="1663"/>
      <c r="D189" s="1664"/>
      <c r="E189" s="68">
        <f>E190+E191</f>
        <v>0</v>
      </c>
      <c r="F189" s="9"/>
      <c r="G189" s="9"/>
      <c r="H189" s="10">
        <f>F191/F190-100%</f>
        <v>5.0501367365542338E-2</v>
      </c>
      <c r="I189" s="1706">
        <f>I190+I191</f>
        <v>0</v>
      </c>
      <c r="J189" s="1707"/>
    </row>
    <row r="190" spans="1:10" ht="15" customHeight="1" x14ac:dyDescent="0.25">
      <c r="A190" s="55"/>
      <c r="B190" s="1646" t="s">
        <v>100</v>
      </c>
      <c r="C190" s="1646"/>
      <c r="D190" s="1646"/>
      <c r="E190" s="61"/>
      <c r="F190" s="66">
        <v>109.7</v>
      </c>
      <c r="G190" s="66">
        <f>F190*1.18</f>
        <v>129.446</v>
      </c>
      <c r="H190" s="55"/>
      <c r="I190" s="1657">
        <f>ROUND(E190*G190,2)</f>
        <v>0</v>
      </c>
      <c r="J190" s="1657"/>
    </row>
    <row r="191" spans="1:10" ht="15" customHeight="1" x14ac:dyDescent="0.25">
      <c r="A191" s="55"/>
      <c r="B191" s="1646" t="s">
        <v>101</v>
      </c>
      <c r="C191" s="1646"/>
      <c r="D191" s="1646"/>
      <c r="E191" s="61"/>
      <c r="F191" s="66">
        <v>115.24</v>
      </c>
      <c r="G191" s="66">
        <f>F191*1.18</f>
        <v>135.98319999999998</v>
      </c>
      <c r="H191" s="55"/>
      <c r="I191" s="1657">
        <f>ROUND(E191*G191,2)</f>
        <v>0</v>
      </c>
      <c r="J191" s="1657"/>
    </row>
    <row r="192" spans="1:10" ht="30" customHeight="1" x14ac:dyDescent="0.25">
      <c r="A192" s="63" t="s">
        <v>77</v>
      </c>
      <c r="B192" s="1662" t="s">
        <v>153</v>
      </c>
      <c r="C192" s="1663"/>
      <c r="D192" s="1664"/>
      <c r="E192" s="68">
        <f>E193+E194</f>
        <v>0</v>
      </c>
      <c r="F192" s="9"/>
      <c r="G192" s="9"/>
      <c r="H192" s="10">
        <f>F194/F193-100%</f>
        <v>4.430538172715881E-2</v>
      </c>
      <c r="I192" s="1706">
        <f>I193+I194</f>
        <v>0</v>
      </c>
      <c r="J192" s="1707"/>
    </row>
    <row r="193" spans="1:10" ht="15" customHeight="1" x14ac:dyDescent="0.25">
      <c r="A193" s="55"/>
      <c r="B193" s="1646" t="s">
        <v>100</v>
      </c>
      <c r="C193" s="1646"/>
      <c r="D193" s="1646"/>
      <c r="E193" s="61"/>
      <c r="F193" s="66">
        <v>39.950000000000003</v>
      </c>
      <c r="G193" s="66">
        <f>F193*1.18</f>
        <v>47.140999999999998</v>
      </c>
      <c r="H193" s="55"/>
      <c r="I193" s="1657">
        <f>ROUND(E193*G193,2)</f>
        <v>0</v>
      </c>
      <c r="J193" s="1657"/>
    </row>
    <row r="194" spans="1:10" ht="15" customHeight="1" x14ac:dyDescent="0.25">
      <c r="A194" s="55"/>
      <c r="B194" s="1646" t="s">
        <v>101</v>
      </c>
      <c r="C194" s="1646"/>
      <c r="D194" s="1646"/>
      <c r="E194" s="61"/>
      <c r="F194" s="66">
        <v>41.72</v>
      </c>
      <c r="G194" s="66">
        <f>F194*1.18</f>
        <v>49.229599999999998</v>
      </c>
      <c r="H194" s="55"/>
      <c r="I194" s="1657">
        <f>ROUND(E194*G194,2)</f>
        <v>0</v>
      </c>
      <c r="J194" s="1657"/>
    </row>
    <row r="195" spans="1:10" ht="29.25" customHeight="1" x14ac:dyDescent="0.25">
      <c r="A195" s="63" t="s">
        <v>86</v>
      </c>
      <c r="B195" s="1662" t="s">
        <v>154</v>
      </c>
      <c r="C195" s="1663"/>
      <c r="D195" s="1664"/>
      <c r="E195" s="68">
        <f>E196+E197</f>
        <v>0</v>
      </c>
      <c r="F195" s="9"/>
      <c r="G195" s="9"/>
      <c r="H195" s="10">
        <f>F197/F196-100%</f>
        <v>5.1196670135275735E-2</v>
      </c>
      <c r="I195" s="1706">
        <f>I196+I197</f>
        <v>0</v>
      </c>
      <c r="J195" s="1707"/>
    </row>
    <row r="196" spans="1:10" ht="15" customHeight="1" x14ac:dyDescent="0.25">
      <c r="A196" s="55"/>
      <c r="B196" s="1646" t="s">
        <v>100</v>
      </c>
      <c r="C196" s="1646"/>
      <c r="D196" s="1646"/>
      <c r="E196" s="61">
        <f>E190+E193</f>
        <v>0</v>
      </c>
      <c r="F196" s="66">
        <v>48.05</v>
      </c>
      <c r="G196" s="66">
        <f>F196*1.18</f>
        <v>56.698999999999991</v>
      </c>
      <c r="H196" s="55"/>
      <c r="I196" s="1657">
        <f>ROUND(E196*G196,2)</f>
        <v>0</v>
      </c>
      <c r="J196" s="1657"/>
    </row>
    <row r="197" spans="1:10" ht="15" customHeight="1" x14ac:dyDescent="0.25">
      <c r="A197" s="55"/>
      <c r="B197" s="1646" t="s">
        <v>101</v>
      </c>
      <c r="C197" s="1646"/>
      <c r="D197" s="1646"/>
      <c r="E197" s="61">
        <f>E191+E194</f>
        <v>0</v>
      </c>
      <c r="F197" s="66">
        <v>50.51</v>
      </c>
      <c r="G197" s="66">
        <f>F197*1.18</f>
        <v>59.601799999999997</v>
      </c>
      <c r="H197" s="55"/>
      <c r="I197" s="1657">
        <f>ROUND(E197*G197,2)</f>
        <v>0</v>
      </c>
      <c r="J197" s="1657"/>
    </row>
    <row r="198" spans="1:10" ht="30" customHeight="1" x14ac:dyDescent="0.25">
      <c r="A198" s="63" t="s">
        <v>87</v>
      </c>
      <c r="B198" s="1662" t="s">
        <v>155</v>
      </c>
      <c r="C198" s="1663"/>
      <c r="D198" s="1664"/>
      <c r="E198" s="68">
        <f>E199+E200</f>
        <v>0</v>
      </c>
      <c r="F198" s="9"/>
      <c r="G198" s="9"/>
      <c r="H198" s="10">
        <f>F200/F199-100%</f>
        <v>-0.10130467674525312</v>
      </c>
      <c r="I198" s="1706">
        <f>I199+I200</f>
        <v>0</v>
      </c>
      <c r="J198" s="1707"/>
    </row>
    <row r="199" spans="1:10" ht="15" customHeight="1" x14ac:dyDescent="0.25">
      <c r="A199" s="55"/>
      <c r="B199" s="1646" t="s">
        <v>100</v>
      </c>
      <c r="C199" s="1646"/>
      <c r="D199" s="1646"/>
      <c r="E199" s="61"/>
      <c r="F199" s="66">
        <v>4837.9799999999996</v>
      </c>
      <c r="G199" s="66">
        <f>F199*1.18</f>
        <v>5708.8163999999988</v>
      </c>
      <c r="H199" s="55"/>
      <c r="I199" s="1657">
        <f>ROUND(E199*G199,2)</f>
        <v>0</v>
      </c>
      <c r="J199" s="1657"/>
    </row>
    <row r="200" spans="1:10" ht="15" customHeight="1" x14ac:dyDescent="0.25">
      <c r="A200" s="55"/>
      <c r="B200" s="1646" t="s">
        <v>101</v>
      </c>
      <c r="C200" s="1646"/>
      <c r="D200" s="1646"/>
      <c r="E200" s="61"/>
      <c r="F200" s="66">
        <v>4347.87</v>
      </c>
      <c r="G200" s="66">
        <f>F200*1.18</f>
        <v>5130.4865999999993</v>
      </c>
      <c r="H200" s="55"/>
      <c r="I200" s="1657">
        <f>ROUND(E200*G200,2)</f>
        <v>0</v>
      </c>
      <c r="J200" s="1657"/>
    </row>
    <row r="201" spans="1:10" ht="15" customHeight="1" x14ac:dyDescent="0.25">
      <c r="A201" s="55"/>
      <c r="B201" s="1646"/>
      <c r="C201" s="1646"/>
      <c r="D201" s="1646"/>
      <c r="E201" s="61"/>
      <c r="F201" s="66"/>
      <c r="G201" s="66"/>
      <c r="H201" s="55"/>
      <c r="I201" s="1646"/>
      <c r="J201" s="1646"/>
    </row>
    <row r="202" spans="1:10" ht="15" customHeight="1" x14ac:dyDescent="0.25">
      <c r="A202" s="55"/>
      <c r="B202" s="1645" t="s">
        <v>13</v>
      </c>
      <c r="C202" s="1645"/>
      <c r="D202" s="1645"/>
      <c r="E202" s="55" t="s">
        <v>14</v>
      </c>
      <c r="F202" s="1646" t="s">
        <v>14</v>
      </c>
      <c r="G202" s="1646"/>
      <c r="H202" s="55" t="s">
        <v>14</v>
      </c>
      <c r="I202" s="1658">
        <f>I186+I189+I192+I195+I198+I201</f>
        <v>0</v>
      </c>
      <c r="J202" s="1659"/>
    </row>
    <row r="203" spans="1:10" ht="15.75" x14ac:dyDescent="0.25">
      <c r="A203" s="7"/>
    </row>
    <row r="204" spans="1:10" ht="15.75" x14ac:dyDescent="0.25">
      <c r="A204" s="1660" t="s">
        <v>279</v>
      </c>
      <c r="B204" s="1660"/>
      <c r="C204" s="1660"/>
      <c r="D204" s="1660"/>
      <c r="E204" s="1660"/>
      <c r="F204" s="1660"/>
      <c r="G204" s="1660"/>
      <c r="H204" s="1660"/>
      <c r="I204" s="1660"/>
      <c r="J204" s="1660"/>
    </row>
    <row r="205" spans="1:10" ht="15.75" x14ac:dyDescent="0.25">
      <c r="A205" s="2"/>
    </row>
    <row r="206" spans="1:10" s="41" customFormat="1" ht="31.5" customHeight="1" x14ac:dyDescent="0.2">
      <c r="A206" s="57" t="s">
        <v>1</v>
      </c>
      <c r="B206" s="1651" t="s">
        <v>44</v>
      </c>
      <c r="C206" s="1651"/>
      <c r="D206" s="1651"/>
      <c r="E206" s="1651" t="s">
        <v>58</v>
      </c>
      <c r="F206" s="1651"/>
      <c r="G206" s="1651" t="s">
        <v>59</v>
      </c>
      <c r="H206" s="1651"/>
      <c r="I206" s="1651" t="s">
        <v>60</v>
      </c>
      <c r="J206" s="1651"/>
    </row>
    <row r="207" spans="1:10" s="41" customFormat="1" ht="12.75" x14ac:dyDescent="0.2">
      <c r="A207" s="57">
        <v>1</v>
      </c>
      <c r="B207" s="1651">
        <v>2</v>
      </c>
      <c r="C207" s="1651"/>
      <c r="D207" s="1651"/>
      <c r="E207" s="1651">
        <v>3</v>
      </c>
      <c r="F207" s="1651"/>
      <c r="G207" s="1651">
        <v>4</v>
      </c>
      <c r="H207" s="1651"/>
      <c r="I207" s="1651">
        <v>5</v>
      </c>
      <c r="J207" s="1651"/>
    </row>
    <row r="208" spans="1:10" ht="15" customHeight="1" x14ac:dyDescent="0.25">
      <c r="A208" s="55"/>
      <c r="B208" s="1680"/>
      <c r="C208" s="1705"/>
      <c r="D208" s="1681"/>
      <c r="E208" s="1646"/>
      <c r="F208" s="1646"/>
      <c r="G208" s="1646"/>
      <c r="H208" s="1646"/>
      <c r="I208" s="1646"/>
      <c r="J208" s="1646"/>
    </row>
    <row r="209" spans="1:12" x14ac:dyDescent="0.25">
      <c r="A209" s="55"/>
      <c r="B209" s="1646"/>
      <c r="C209" s="1646"/>
      <c r="D209" s="1646"/>
      <c r="E209" s="1646"/>
      <c r="F209" s="1646"/>
      <c r="G209" s="1646"/>
      <c r="H209" s="1646"/>
      <c r="I209" s="1646"/>
      <c r="J209" s="1646"/>
    </row>
    <row r="210" spans="1:12" x14ac:dyDescent="0.25">
      <c r="A210" s="55"/>
      <c r="B210" s="1645" t="s">
        <v>13</v>
      </c>
      <c r="C210" s="1645"/>
      <c r="D210" s="1645"/>
      <c r="E210" s="1646" t="s">
        <v>14</v>
      </c>
      <c r="F210" s="1646"/>
      <c r="G210" s="1646" t="s">
        <v>14</v>
      </c>
      <c r="H210" s="1646"/>
      <c r="I210" s="1646"/>
      <c r="J210" s="1646"/>
    </row>
    <row r="211" spans="1:12" ht="15.75" x14ac:dyDescent="0.25">
      <c r="A211" s="7"/>
    </row>
    <row r="212" spans="1:12" ht="15.75" x14ac:dyDescent="0.25">
      <c r="A212" s="1660" t="s">
        <v>275</v>
      </c>
      <c r="B212" s="1660"/>
      <c r="C212" s="1660"/>
      <c r="D212" s="1660"/>
      <c r="E212" s="1660"/>
      <c r="F212" s="1660"/>
      <c r="G212" s="1660"/>
      <c r="H212" s="1660"/>
      <c r="I212" s="1660"/>
      <c r="J212" s="1660"/>
    </row>
    <row r="213" spans="1:12" ht="15.75" x14ac:dyDescent="0.25">
      <c r="A213" s="2"/>
    </row>
    <row r="214" spans="1:12" s="41" customFormat="1" ht="19.5" customHeight="1" x14ac:dyDescent="0.2">
      <c r="A214" s="1695" t="s">
        <v>1</v>
      </c>
      <c r="B214" s="1697" t="s">
        <v>15</v>
      </c>
      <c r="C214" s="1698"/>
      <c r="D214" s="1699"/>
      <c r="E214" s="1695" t="s">
        <v>61</v>
      </c>
      <c r="F214" s="1695" t="s">
        <v>62</v>
      </c>
      <c r="G214" s="1651" t="s">
        <v>63</v>
      </c>
      <c r="H214" s="1651"/>
      <c r="I214" s="1651"/>
      <c r="J214" s="1651"/>
      <c r="K214" s="1474"/>
      <c r="L214" s="1474"/>
    </row>
    <row r="215" spans="1:12" s="41" customFormat="1" ht="30" customHeight="1" x14ac:dyDescent="0.2">
      <c r="A215" s="1696"/>
      <c r="B215" s="1700"/>
      <c r="C215" s="1701"/>
      <c r="D215" s="1702"/>
      <c r="E215" s="1696"/>
      <c r="F215" s="1696"/>
      <c r="G215" s="57" t="s">
        <v>298</v>
      </c>
      <c r="H215" s="57" t="s">
        <v>295</v>
      </c>
      <c r="I215" s="64" t="s">
        <v>296</v>
      </c>
      <c r="J215" s="57" t="s">
        <v>297</v>
      </c>
      <c r="K215" s="42"/>
      <c r="L215" s="43"/>
    </row>
    <row r="216" spans="1:12" s="41" customFormat="1" ht="12.75" x14ac:dyDescent="0.2">
      <c r="A216" s="57">
        <v>1</v>
      </c>
      <c r="B216" s="1651">
        <v>2</v>
      </c>
      <c r="C216" s="1651"/>
      <c r="D216" s="1651"/>
      <c r="E216" s="57">
        <v>3</v>
      </c>
      <c r="F216" s="57">
        <v>4</v>
      </c>
      <c r="G216" s="1677">
        <v>5</v>
      </c>
      <c r="H216" s="1678"/>
      <c r="I216" s="1678"/>
      <c r="J216" s="1679"/>
    </row>
    <row r="217" spans="1:12" ht="44.25" customHeight="1" x14ac:dyDescent="0.25">
      <c r="A217" s="55" t="s">
        <v>70</v>
      </c>
      <c r="B217" s="1661" t="s">
        <v>105</v>
      </c>
      <c r="C217" s="1661"/>
      <c r="D217" s="1661"/>
      <c r="E217" s="55">
        <v>1</v>
      </c>
      <c r="F217" s="55">
        <v>1</v>
      </c>
      <c r="G217" s="55" t="s">
        <v>124</v>
      </c>
      <c r="H217" s="55"/>
      <c r="I217" s="71"/>
      <c r="J217" s="65">
        <f>ROUND(H217*I217,0)</f>
        <v>0</v>
      </c>
      <c r="K217" s="11"/>
      <c r="L217" s="11"/>
    </row>
    <row r="218" spans="1:12" ht="30" customHeight="1" x14ac:dyDescent="0.25">
      <c r="A218" s="55" t="s">
        <v>75</v>
      </c>
      <c r="B218" s="1704" t="s">
        <v>106</v>
      </c>
      <c r="C218" s="1704"/>
      <c r="D218" s="1704"/>
      <c r="E218" s="55">
        <v>1</v>
      </c>
      <c r="F218" s="55">
        <v>1</v>
      </c>
      <c r="G218" s="55" t="s">
        <v>124</v>
      </c>
      <c r="H218" s="55"/>
      <c r="I218" s="71"/>
      <c r="J218" s="65">
        <f t="shared" ref="J218:J234" si="9">ROUND(H218*I218,0)</f>
        <v>0</v>
      </c>
      <c r="K218" s="11"/>
      <c r="L218" s="11"/>
    </row>
    <row r="219" spans="1:12" ht="60" customHeight="1" x14ac:dyDescent="0.25">
      <c r="A219" s="55" t="s">
        <v>77</v>
      </c>
      <c r="B219" s="1704" t="s">
        <v>252</v>
      </c>
      <c r="C219" s="1704"/>
      <c r="D219" s="1704"/>
      <c r="E219" s="55">
        <v>1</v>
      </c>
      <c r="F219" s="55">
        <v>1</v>
      </c>
      <c r="G219" s="55" t="s">
        <v>124</v>
      </c>
      <c r="H219" s="55"/>
      <c r="I219" s="71"/>
      <c r="J219" s="65">
        <f t="shared" si="9"/>
        <v>0</v>
      </c>
      <c r="K219" s="11"/>
      <c r="L219" s="11"/>
    </row>
    <row r="220" spans="1:12" ht="30" customHeight="1" x14ac:dyDescent="0.25">
      <c r="A220" s="55" t="s">
        <v>86</v>
      </c>
      <c r="B220" s="1704" t="s">
        <v>107</v>
      </c>
      <c r="C220" s="1704"/>
      <c r="D220" s="1704"/>
      <c r="E220" s="55">
        <v>1</v>
      </c>
      <c r="F220" s="55">
        <v>1</v>
      </c>
      <c r="G220" s="55" t="s">
        <v>124</v>
      </c>
      <c r="H220" s="55"/>
      <c r="I220" s="71"/>
      <c r="J220" s="65">
        <f t="shared" si="9"/>
        <v>0</v>
      </c>
      <c r="K220" s="11"/>
      <c r="L220" s="11"/>
    </row>
    <row r="221" spans="1:12" ht="45" customHeight="1" x14ac:dyDescent="0.25">
      <c r="A221" s="55" t="s">
        <v>87</v>
      </c>
      <c r="B221" s="1704" t="s">
        <v>108</v>
      </c>
      <c r="C221" s="1704"/>
      <c r="D221" s="1704"/>
      <c r="E221" s="55">
        <v>1</v>
      </c>
      <c r="F221" s="55">
        <v>1</v>
      </c>
      <c r="G221" s="55" t="s">
        <v>124</v>
      </c>
      <c r="H221" s="55"/>
      <c r="I221" s="71"/>
      <c r="J221" s="65">
        <f t="shared" si="9"/>
        <v>0</v>
      </c>
      <c r="K221" s="11"/>
      <c r="L221" s="11"/>
    </row>
    <row r="222" spans="1:12" ht="30" customHeight="1" x14ac:dyDescent="0.25">
      <c r="A222" s="55" t="s">
        <v>97</v>
      </c>
      <c r="B222" s="1704" t="s">
        <v>115</v>
      </c>
      <c r="C222" s="1704"/>
      <c r="D222" s="1704"/>
      <c r="E222" s="55">
        <v>1</v>
      </c>
      <c r="F222" s="55">
        <v>1</v>
      </c>
      <c r="G222" s="55" t="s">
        <v>124</v>
      </c>
      <c r="H222" s="55"/>
      <c r="I222" s="71"/>
      <c r="J222" s="65">
        <f t="shared" si="9"/>
        <v>0</v>
      </c>
      <c r="K222" s="11"/>
      <c r="L222" s="11"/>
    </row>
    <row r="223" spans="1:12" ht="30" customHeight="1" x14ac:dyDescent="0.25">
      <c r="A223" s="55" t="s">
        <v>116</v>
      </c>
      <c r="B223" s="1704" t="s">
        <v>114</v>
      </c>
      <c r="C223" s="1704"/>
      <c r="D223" s="1704"/>
      <c r="E223" s="55">
        <v>1</v>
      </c>
      <c r="F223" s="55">
        <v>1</v>
      </c>
      <c r="G223" s="55" t="s">
        <v>124</v>
      </c>
      <c r="H223" s="55"/>
      <c r="I223" s="71"/>
      <c r="J223" s="65">
        <f t="shared" si="9"/>
        <v>0</v>
      </c>
      <c r="K223" s="11"/>
      <c r="L223" s="11"/>
    </row>
    <row r="224" spans="1:12" ht="30" customHeight="1" x14ac:dyDescent="0.25">
      <c r="A224" s="55" t="s">
        <v>117</v>
      </c>
      <c r="B224" s="1704" t="s">
        <v>109</v>
      </c>
      <c r="C224" s="1704"/>
      <c r="D224" s="1704"/>
      <c r="E224" s="55">
        <v>1</v>
      </c>
      <c r="F224" s="55">
        <v>1</v>
      </c>
      <c r="G224" s="55" t="s">
        <v>124</v>
      </c>
      <c r="H224" s="55"/>
      <c r="I224" s="71"/>
      <c r="J224" s="65">
        <f t="shared" si="9"/>
        <v>0</v>
      </c>
      <c r="K224" s="11"/>
      <c r="L224" s="11"/>
    </row>
    <row r="225" spans="1:12" ht="30" customHeight="1" x14ac:dyDescent="0.25">
      <c r="A225" s="55" t="s">
        <v>118</v>
      </c>
      <c r="B225" s="1704" t="s">
        <v>110</v>
      </c>
      <c r="C225" s="1704"/>
      <c r="D225" s="1704"/>
      <c r="E225" s="55">
        <v>1</v>
      </c>
      <c r="F225" s="55">
        <v>1</v>
      </c>
      <c r="G225" s="55" t="s">
        <v>124</v>
      </c>
      <c r="H225" s="55"/>
      <c r="I225" s="71"/>
      <c r="J225" s="65">
        <f t="shared" si="9"/>
        <v>0</v>
      </c>
      <c r="K225" s="11"/>
      <c r="L225" s="11"/>
    </row>
    <row r="226" spans="1:12" ht="30" customHeight="1" x14ac:dyDescent="0.25">
      <c r="A226" s="55" t="s">
        <v>119</v>
      </c>
      <c r="B226" s="1704" t="s">
        <v>111</v>
      </c>
      <c r="C226" s="1704"/>
      <c r="D226" s="1704"/>
      <c r="E226" s="55">
        <v>1</v>
      </c>
      <c r="F226" s="55">
        <v>1</v>
      </c>
      <c r="G226" s="55" t="s">
        <v>125</v>
      </c>
      <c r="H226" s="55"/>
      <c r="I226" s="71"/>
      <c r="J226" s="65">
        <f t="shared" si="9"/>
        <v>0</v>
      </c>
      <c r="K226" s="11"/>
      <c r="L226" s="11"/>
    </row>
    <row r="227" spans="1:12" ht="45" customHeight="1" x14ac:dyDescent="0.25">
      <c r="A227" s="55" t="s">
        <v>120</v>
      </c>
      <c r="B227" s="1704" t="s">
        <v>253</v>
      </c>
      <c r="C227" s="1704"/>
      <c r="D227" s="1704"/>
      <c r="E227" s="55">
        <v>1</v>
      </c>
      <c r="F227" s="55">
        <v>1</v>
      </c>
      <c r="G227" s="55" t="s">
        <v>123</v>
      </c>
      <c r="H227" s="55"/>
      <c r="I227" s="71"/>
      <c r="J227" s="65">
        <f t="shared" si="9"/>
        <v>0</v>
      </c>
      <c r="K227" s="11"/>
      <c r="L227" s="11"/>
    </row>
    <row r="228" spans="1:12" ht="30" customHeight="1" x14ac:dyDescent="0.25">
      <c r="A228" s="55" t="s">
        <v>121</v>
      </c>
      <c r="B228" s="1661" t="s">
        <v>112</v>
      </c>
      <c r="C228" s="1661"/>
      <c r="D228" s="1661"/>
      <c r="E228" s="55">
        <v>1</v>
      </c>
      <c r="F228" s="55">
        <v>1</v>
      </c>
      <c r="G228" s="55" t="s">
        <v>126</v>
      </c>
      <c r="H228" s="55"/>
      <c r="I228" s="71"/>
      <c r="J228" s="65">
        <f t="shared" si="9"/>
        <v>0</v>
      </c>
      <c r="K228" s="11"/>
      <c r="L228" s="11"/>
    </row>
    <row r="229" spans="1:12" ht="30" customHeight="1" x14ac:dyDescent="0.25">
      <c r="A229" s="55" t="s">
        <v>122</v>
      </c>
      <c r="B229" s="1661" t="s">
        <v>113</v>
      </c>
      <c r="C229" s="1661"/>
      <c r="D229" s="1661"/>
      <c r="E229" s="55">
        <v>1</v>
      </c>
      <c r="F229" s="55">
        <v>1</v>
      </c>
      <c r="G229" s="55" t="s">
        <v>299</v>
      </c>
      <c r="H229" s="55"/>
      <c r="I229" s="71"/>
      <c r="J229" s="65">
        <f t="shared" si="9"/>
        <v>0</v>
      </c>
      <c r="K229" s="11"/>
      <c r="L229" s="11"/>
    </row>
    <row r="230" spans="1:12" ht="30" customHeight="1" x14ac:dyDescent="0.25">
      <c r="A230" s="55" t="s">
        <v>131</v>
      </c>
      <c r="B230" s="1661" t="s">
        <v>127</v>
      </c>
      <c r="C230" s="1661"/>
      <c r="D230" s="1661"/>
      <c r="E230" s="55">
        <v>1</v>
      </c>
      <c r="F230" s="55">
        <v>1</v>
      </c>
      <c r="G230" s="55" t="s">
        <v>299</v>
      </c>
      <c r="H230" s="55"/>
      <c r="I230" s="71"/>
      <c r="J230" s="65">
        <f t="shared" si="9"/>
        <v>0</v>
      </c>
      <c r="K230" s="11"/>
      <c r="L230" s="11"/>
    </row>
    <row r="231" spans="1:12" ht="30" customHeight="1" x14ac:dyDescent="0.25">
      <c r="A231" s="55" t="s">
        <v>132</v>
      </c>
      <c r="B231" s="1661" t="s">
        <v>128</v>
      </c>
      <c r="C231" s="1661"/>
      <c r="D231" s="1661"/>
      <c r="E231" s="55">
        <v>1</v>
      </c>
      <c r="F231" s="55">
        <v>1</v>
      </c>
      <c r="G231" s="55" t="s">
        <v>299</v>
      </c>
      <c r="H231" s="55"/>
      <c r="I231" s="71"/>
      <c r="J231" s="65">
        <f t="shared" si="9"/>
        <v>0</v>
      </c>
      <c r="K231" s="11"/>
      <c r="L231" s="11"/>
    </row>
    <row r="232" spans="1:12" ht="30" customHeight="1" x14ac:dyDescent="0.25">
      <c r="A232" s="55" t="s">
        <v>133</v>
      </c>
      <c r="B232" s="1661" t="s">
        <v>129</v>
      </c>
      <c r="C232" s="1661"/>
      <c r="D232" s="1661"/>
      <c r="E232" s="55">
        <v>1</v>
      </c>
      <c r="F232" s="55">
        <v>1</v>
      </c>
      <c r="G232" s="55" t="s">
        <v>299</v>
      </c>
      <c r="H232" s="55"/>
      <c r="I232" s="71"/>
      <c r="J232" s="65">
        <f t="shared" si="9"/>
        <v>0</v>
      </c>
      <c r="K232" s="11"/>
      <c r="L232" s="11"/>
    </row>
    <row r="233" spans="1:12" ht="30" customHeight="1" x14ac:dyDescent="0.25">
      <c r="A233" s="55" t="s">
        <v>134</v>
      </c>
      <c r="B233" s="1661" t="s">
        <v>130</v>
      </c>
      <c r="C233" s="1661"/>
      <c r="D233" s="1661"/>
      <c r="E233" s="55">
        <v>1</v>
      </c>
      <c r="F233" s="55">
        <v>1</v>
      </c>
      <c r="G233" s="55" t="s">
        <v>299</v>
      </c>
      <c r="H233" s="55"/>
      <c r="I233" s="71"/>
      <c r="J233" s="65">
        <f t="shared" si="9"/>
        <v>0</v>
      </c>
      <c r="K233" s="11"/>
      <c r="L233" s="11"/>
    </row>
    <row r="234" spans="1:12" ht="30" customHeight="1" x14ac:dyDescent="0.25">
      <c r="A234" s="55"/>
      <c r="B234" s="1661"/>
      <c r="C234" s="1661"/>
      <c r="D234" s="1661"/>
      <c r="E234" s="55"/>
      <c r="F234" s="55"/>
      <c r="G234" s="65"/>
      <c r="H234" s="55"/>
      <c r="I234" s="71"/>
      <c r="J234" s="65">
        <f t="shared" si="9"/>
        <v>0</v>
      </c>
      <c r="K234" s="11"/>
      <c r="L234" s="11"/>
    </row>
    <row r="235" spans="1:12" x14ac:dyDescent="0.25">
      <c r="A235" s="55"/>
      <c r="B235" s="1645" t="s">
        <v>13</v>
      </c>
      <c r="C235" s="1645"/>
      <c r="D235" s="1645"/>
      <c r="E235" s="55" t="s">
        <v>14</v>
      </c>
      <c r="F235" s="55" t="s">
        <v>14</v>
      </c>
      <c r="G235" s="1675">
        <f>SUM(J217:J234)</f>
        <v>0</v>
      </c>
      <c r="H235" s="1676"/>
      <c r="I235" s="1676"/>
      <c r="J235" s="1676"/>
      <c r="K235" s="11"/>
      <c r="L235" s="11"/>
    </row>
    <row r="236" spans="1:12" ht="15.75" x14ac:dyDescent="0.25">
      <c r="A236" s="7"/>
    </row>
    <row r="237" spans="1:12" ht="15.75" x14ac:dyDescent="0.25">
      <c r="A237" s="1660" t="s">
        <v>280</v>
      </c>
      <c r="B237" s="1660"/>
      <c r="C237" s="1660"/>
      <c r="D237" s="1660"/>
      <c r="E237" s="1660"/>
      <c r="F237" s="1660"/>
      <c r="G237" s="1660"/>
      <c r="H237" s="1660"/>
      <c r="I237" s="1660"/>
      <c r="J237" s="1660"/>
    </row>
    <row r="238" spans="1:12" ht="15.75" x14ac:dyDescent="0.25">
      <c r="A238" s="2"/>
      <c r="K238" s="1474"/>
      <c r="L238" s="1474"/>
    </row>
    <row r="239" spans="1:12" s="41" customFormat="1" ht="30.75" customHeight="1" x14ac:dyDescent="0.2">
      <c r="A239" s="1695" t="s">
        <v>1</v>
      </c>
      <c r="B239" s="1697" t="s">
        <v>15</v>
      </c>
      <c r="C239" s="1698"/>
      <c r="D239" s="1699"/>
      <c r="E239" s="1697" t="s">
        <v>64</v>
      </c>
      <c r="F239" s="1699"/>
      <c r="G239" s="1651" t="s">
        <v>65</v>
      </c>
      <c r="H239" s="1651"/>
      <c r="I239" s="1651"/>
      <c r="J239" s="1651"/>
      <c r="K239" s="42"/>
      <c r="L239" s="43"/>
    </row>
    <row r="240" spans="1:12" s="41" customFormat="1" ht="30.75" customHeight="1" x14ac:dyDescent="0.2">
      <c r="A240" s="1696"/>
      <c r="B240" s="1700"/>
      <c r="C240" s="1701"/>
      <c r="D240" s="1702"/>
      <c r="E240" s="1700"/>
      <c r="F240" s="1702"/>
      <c r="G240" s="57" t="s">
        <v>298</v>
      </c>
      <c r="H240" s="57" t="s">
        <v>295</v>
      </c>
      <c r="I240" s="57" t="s">
        <v>296</v>
      </c>
      <c r="J240" s="57" t="s">
        <v>297</v>
      </c>
      <c r="K240" s="42"/>
      <c r="L240" s="43"/>
    </row>
    <row r="241" spans="1:12" s="41" customFormat="1" ht="12.75" x14ac:dyDescent="0.2">
      <c r="A241" s="57">
        <v>1</v>
      </c>
      <c r="B241" s="1651">
        <v>2</v>
      </c>
      <c r="C241" s="1651"/>
      <c r="D241" s="1651"/>
      <c r="E241" s="1677">
        <v>3</v>
      </c>
      <c r="F241" s="1679"/>
      <c r="G241" s="1651">
        <v>4</v>
      </c>
      <c r="H241" s="1651"/>
      <c r="I241" s="1651"/>
      <c r="J241" s="1651"/>
    </row>
    <row r="242" spans="1:12" ht="30" customHeight="1" x14ac:dyDescent="0.25">
      <c r="A242" s="55" t="s">
        <v>70</v>
      </c>
      <c r="B242" s="1661" t="s">
        <v>135</v>
      </c>
      <c r="C242" s="1661"/>
      <c r="D242" s="1661"/>
      <c r="E242" s="1680">
        <v>1</v>
      </c>
      <c r="F242" s="1681"/>
      <c r="G242" s="55" t="s">
        <v>124</v>
      </c>
      <c r="H242" s="55"/>
      <c r="I242" s="75"/>
      <c r="J242" s="65">
        <f>ROUND(H242*I242,0)</f>
        <v>0</v>
      </c>
      <c r="K242" s="11"/>
      <c r="L242" s="11"/>
    </row>
    <row r="243" spans="1:12" ht="30" customHeight="1" x14ac:dyDescent="0.25">
      <c r="A243" s="1682" t="s">
        <v>75</v>
      </c>
      <c r="B243" s="1684" t="s">
        <v>144</v>
      </c>
      <c r="C243" s="1685"/>
      <c r="D243" s="1686"/>
      <c r="E243" s="1690">
        <v>1</v>
      </c>
      <c r="F243" s="1691"/>
      <c r="G243" s="55" t="s">
        <v>124</v>
      </c>
      <c r="H243" s="55"/>
      <c r="I243" s="75"/>
      <c r="J243" s="65">
        <f t="shared" ref="J243:J261" si="10">ROUND(H243*I243,0)</f>
        <v>0</v>
      </c>
      <c r="K243" s="1694"/>
      <c r="L243" s="1703"/>
    </row>
    <row r="244" spans="1:12" ht="30" customHeight="1" x14ac:dyDescent="0.25">
      <c r="A244" s="1683"/>
      <c r="B244" s="1687"/>
      <c r="C244" s="1688"/>
      <c r="D244" s="1689"/>
      <c r="E244" s="1692"/>
      <c r="F244" s="1693"/>
      <c r="G244" s="55" t="s">
        <v>124</v>
      </c>
      <c r="H244" s="55"/>
      <c r="I244" s="75"/>
      <c r="J244" s="65">
        <f t="shared" si="10"/>
        <v>0</v>
      </c>
      <c r="K244" s="1694"/>
      <c r="L244" s="1703"/>
    </row>
    <row r="245" spans="1:12" ht="45" customHeight="1" x14ac:dyDescent="0.25">
      <c r="A245" s="55" t="s">
        <v>77</v>
      </c>
      <c r="B245" s="1661" t="s">
        <v>136</v>
      </c>
      <c r="C245" s="1661"/>
      <c r="D245" s="1661"/>
      <c r="E245" s="1680">
        <v>1</v>
      </c>
      <c r="F245" s="1681"/>
      <c r="G245" s="55" t="s">
        <v>124</v>
      </c>
      <c r="H245" s="55"/>
      <c r="I245" s="75"/>
      <c r="J245" s="65">
        <f t="shared" si="10"/>
        <v>0</v>
      </c>
      <c r="K245" s="11"/>
      <c r="L245" s="11"/>
    </row>
    <row r="246" spans="1:12" ht="45" customHeight="1" x14ac:dyDescent="0.25">
      <c r="A246" s="55" t="s">
        <v>86</v>
      </c>
      <c r="B246" s="1661" t="s">
        <v>147</v>
      </c>
      <c r="C246" s="1661"/>
      <c r="D246" s="1661"/>
      <c r="E246" s="1680">
        <v>1</v>
      </c>
      <c r="F246" s="1681"/>
      <c r="G246" s="55" t="s">
        <v>299</v>
      </c>
      <c r="H246" s="55"/>
      <c r="I246" s="75"/>
      <c r="J246" s="65">
        <f t="shared" si="10"/>
        <v>0</v>
      </c>
      <c r="K246" s="11"/>
      <c r="L246" s="11"/>
    </row>
    <row r="247" spans="1:12" ht="45" customHeight="1" x14ac:dyDescent="0.25">
      <c r="A247" s="55" t="s">
        <v>87</v>
      </c>
      <c r="B247" s="1661" t="s">
        <v>148</v>
      </c>
      <c r="C247" s="1661"/>
      <c r="D247" s="1661"/>
      <c r="E247" s="1680">
        <v>1</v>
      </c>
      <c r="F247" s="1681"/>
      <c r="G247" s="55" t="s">
        <v>299</v>
      </c>
      <c r="H247" s="55"/>
      <c r="I247" s="75"/>
      <c r="J247" s="65">
        <f t="shared" si="10"/>
        <v>0</v>
      </c>
      <c r="K247" s="11"/>
      <c r="L247" s="11"/>
    </row>
    <row r="248" spans="1:12" ht="30" customHeight="1" x14ac:dyDescent="0.25">
      <c r="A248" s="55" t="s">
        <v>97</v>
      </c>
      <c r="B248" s="1661" t="s">
        <v>146</v>
      </c>
      <c r="C248" s="1661"/>
      <c r="D248" s="1661"/>
      <c r="E248" s="1680">
        <v>1</v>
      </c>
      <c r="F248" s="1681"/>
      <c r="G248" s="55" t="s">
        <v>123</v>
      </c>
      <c r="H248" s="55"/>
      <c r="I248" s="75"/>
      <c r="J248" s="65">
        <f t="shared" si="10"/>
        <v>0</v>
      </c>
      <c r="K248" s="11"/>
      <c r="L248" s="11"/>
    </row>
    <row r="249" spans="1:12" ht="30" customHeight="1" x14ac:dyDescent="0.25">
      <c r="A249" s="55" t="s">
        <v>116</v>
      </c>
      <c r="B249" s="1661" t="s">
        <v>145</v>
      </c>
      <c r="C249" s="1661"/>
      <c r="D249" s="1661"/>
      <c r="E249" s="1680">
        <v>1</v>
      </c>
      <c r="F249" s="1681"/>
      <c r="G249" s="55" t="s">
        <v>126</v>
      </c>
      <c r="H249" s="55"/>
      <c r="I249" s="75"/>
      <c r="J249" s="65">
        <f t="shared" si="10"/>
        <v>0</v>
      </c>
      <c r="K249" s="11"/>
      <c r="L249" s="11"/>
    </row>
    <row r="250" spans="1:12" ht="30" customHeight="1" x14ac:dyDescent="0.25">
      <c r="A250" s="55" t="s">
        <v>117</v>
      </c>
      <c r="B250" s="1661" t="s">
        <v>137</v>
      </c>
      <c r="C250" s="1661"/>
      <c r="D250" s="1661"/>
      <c r="E250" s="1680">
        <v>1</v>
      </c>
      <c r="F250" s="1681"/>
      <c r="G250" s="55" t="s">
        <v>149</v>
      </c>
      <c r="H250" s="55"/>
      <c r="I250" s="75"/>
      <c r="J250" s="65">
        <f t="shared" si="10"/>
        <v>0</v>
      </c>
      <c r="K250" s="11"/>
      <c r="L250" s="11"/>
    </row>
    <row r="251" spans="1:12" ht="30" customHeight="1" x14ac:dyDescent="0.25">
      <c r="A251" s="55" t="s">
        <v>118</v>
      </c>
      <c r="B251" s="1661" t="s">
        <v>138</v>
      </c>
      <c r="C251" s="1661"/>
      <c r="D251" s="1661"/>
      <c r="E251" s="1680">
        <v>1</v>
      </c>
      <c r="F251" s="1681"/>
      <c r="G251" s="55" t="s">
        <v>299</v>
      </c>
      <c r="H251" s="55"/>
      <c r="I251" s="75"/>
      <c r="J251" s="65">
        <f t="shared" si="10"/>
        <v>0</v>
      </c>
      <c r="K251" s="11"/>
      <c r="L251" s="11"/>
    </row>
    <row r="252" spans="1:12" ht="30" customHeight="1" x14ac:dyDescent="0.25">
      <c r="A252" s="55" t="s">
        <v>119</v>
      </c>
      <c r="B252" s="1661" t="s">
        <v>139</v>
      </c>
      <c r="C252" s="1661"/>
      <c r="D252" s="1661"/>
      <c r="E252" s="1680">
        <v>1</v>
      </c>
      <c r="F252" s="1681"/>
      <c r="G252" s="55" t="s">
        <v>149</v>
      </c>
      <c r="H252" s="55"/>
      <c r="I252" s="75"/>
      <c r="J252" s="65">
        <f t="shared" si="10"/>
        <v>0</v>
      </c>
      <c r="K252" s="11"/>
      <c r="L252" s="11"/>
    </row>
    <row r="253" spans="1:12" ht="30" customHeight="1" x14ac:dyDescent="0.25">
      <c r="A253" s="55" t="s">
        <v>120</v>
      </c>
      <c r="B253" s="1661" t="s">
        <v>140</v>
      </c>
      <c r="C253" s="1661"/>
      <c r="D253" s="1661"/>
      <c r="E253" s="1680">
        <v>1</v>
      </c>
      <c r="F253" s="1681"/>
      <c r="G253" s="55" t="s">
        <v>149</v>
      </c>
      <c r="H253" s="55"/>
      <c r="I253" s="75"/>
      <c r="J253" s="65">
        <f t="shared" si="10"/>
        <v>0</v>
      </c>
      <c r="K253" s="11"/>
      <c r="L253" s="11"/>
    </row>
    <row r="254" spans="1:12" ht="30" customHeight="1" x14ac:dyDescent="0.25">
      <c r="A254" s="55" t="s">
        <v>121</v>
      </c>
      <c r="B254" s="1661" t="s">
        <v>143</v>
      </c>
      <c r="C254" s="1661"/>
      <c r="D254" s="1661"/>
      <c r="E254" s="1680">
        <v>1</v>
      </c>
      <c r="F254" s="1681"/>
      <c r="G254" s="55" t="s">
        <v>149</v>
      </c>
      <c r="H254" s="55"/>
      <c r="I254" s="75"/>
      <c r="J254" s="65">
        <f t="shared" si="10"/>
        <v>0</v>
      </c>
      <c r="K254" s="11"/>
      <c r="L254" s="11"/>
    </row>
    <row r="255" spans="1:12" ht="45" customHeight="1" x14ac:dyDescent="0.25">
      <c r="A255" s="55" t="s">
        <v>122</v>
      </c>
      <c r="B255" s="1661" t="s">
        <v>141</v>
      </c>
      <c r="C255" s="1661"/>
      <c r="D255" s="1661"/>
      <c r="E255" s="1680">
        <v>1</v>
      </c>
      <c r="F255" s="1681"/>
      <c r="G255" s="55" t="s">
        <v>299</v>
      </c>
      <c r="H255" s="55"/>
      <c r="I255" s="75"/>
      <c r="J255" s="65">
        <f t="shared" si="10"/>
        <v>0</v>
      </c>
      <c r="K255" s="11"/>
      <c r="L255" s="11"/>
    </row>
    <row r="256" spans="1:12" ht="30" customHeight="1" x14ac:dyDescent="0.25">
      <c r="A256" s="55" t="s">
        <v>131</v>
      </c>
      <c r="B256" s="1661" t="s">
        <v>142</v>
      </c>
      <c r="C256" s="1661"/>
      <c r="D256" s="1661"/>
      <c r="E256" s="1680">
        <v>1</v>
      </c>
      <c r="F256" s="1681"/>
      <c r="G256" s="55" t="s">
        <v>299</v>
      </c>
      <c r="H256" s="55"/>
      <c r="I256" s="75"/>
      <c r="J256" s="65">
        <f t="shared" si="10"/>
        <v>0</v>
      </c>
      <c r="K256" s="11"/>
      <c r="L256" s="11"/>
    </row>
    <row r="257" spans="1:13" ht="30" customHeight="1" x14ac:dyDescent="0.25">
      <c r="A257" s="55" t="s">
        <v>132</v>
      </c>
      <c r="B257" s="1661" t="s">
        <v>150</v>
      </c>
      <c r="C257" s="1661"/>
      <c r="D257" s="1661"/>
      <c r="E257" s="1680">
        <v>1</v>
      </c>
      <c r="F257" s="1681"/>
      <c r="G257" s="55" t="s">
        <v>299</v>
      </c>
      <c r="H257" s="55"/>
      <c r="I257" s="75"/>
      <c r="J257" s="65">
        <f t="shared" si="10"/>
        <v>0</v>
      </c>
      <c r="K257" s="11"/>
      <c r="L257" s="11"/>
    </row>
    <row r="258" spans="1:13" ht="45" customHeight="1" x14ac:dyDescent="0.25">
      <c r="A258" s="55" t="s">
        <v>133</v>
      </c>
      <c r="B258" s="1661" t="s">
        <v>196</v>
      </c>
      <c r="C258" s="1661"/>
      <c r="D258" s="1661"/>
      <c r="E258" s="1680">
        <v>1</v>
      </c>
      <c r="F258" s="1681"/>
      <c r="G258" s="55" t="s">
        <v>299</v>
      </c>
      <c r="H258" s="55"/>
      <c r="I258" s="75"/>
      <c r="J258" s="65">
        <f t="shared" si="10"/>
        <v>0</v>
      </c>
      <c r="K258" s="11"/>
      <c r="L258" s="11"/>
    </row>
    <row r="259" spans="1:13" ht="30" customHeight="1" x14ac:dyDescent="0.25">
      <c r="A259" s="55" t="s">
        <v>134</v>
      </c>
      <c r="B259" s="1652" t="s">
        <v>198</v>
      </c>
      <c r="C259" s="1653"/>
      <c r="D259" s="1654"/>
      <c r="E259" s="1680">
        <v>1</v>
      </c>
      <c r="F259" s="1681"/>
      <c r="G259" s="55" t="s">
        <v>300</v>
      </c>
      <c r="H259" s="55"/>
      <c r="I259" s="75"/>
      <c r="J259" s="65">
        <f t="shared" si="10"/>
        <v>0</v>
      </c>
      <c r="K259" s="11"/>
      <c r="L259" s="11"/>
    </row>
    <row r="260" spans="1:13" ht="30" customHeight="1" x14ac:dyDescent="0.25">
      <c r="A260" s="55" t="s">
        <v>200</v>
      </c>
      <c r="B260" s="1661" t="s">
        <v>203</v>
      </c>
      <c r="C260" s="1661"/>
      <c r="D260" s="1661"/>
      <c r="E260" s="1680">
        <v>1</v>
      </c>
      <c r="F260" s="1681"/>
      <c r="G260" s="55" t="s">
        <v>202</v>
      </c>
      <c r="H260" s="61"/>
      <c r="I260" s="75">
        <v>201.6</v>
      </c>
      <c r="J260" s="65">
        <f t="shared" si="10"/>
        <v>0</v>
      </c>
      <c r="K260" s="11"/>
      <c r="L260" s="11"/>
    </row>
    <row r="261" spans="1:13" ht="30" customHeight="1" x14ac:dyDescent="0.25">
      <c r="A261" s="55" t="s">
        <v>201</v>
      </c>
      <c r="B261" s="1661" t="s">
        <v>204</v>
      </c>
      <c r="C261" s="1661"/>
      <c r="D261" s="1661"/>
      <c r="E261" s="1680">
        <v>1</v>
      </c>
      <c r="F261" s="1681"/>
      <c r="G261" s="55" t="s">
        <v>202</v>
      </c>
      <c r="H261" s="61"/>
      <c r="I261" s="75">
        <v>44</v>
      </c>
      <c r="J261" s="65">
        <f t="shared" si="10"/>
        <v>0</v>
      </c>
      <c r="K261" s="11"/>
      <c r="L261" s="11"/>
    </row>
    <row r="262" spans="1:13" ht="30" customHeight="1" x14ac:dyDescent="0.25">
      <c r="A262" s="55"/>
      <c r="B262" s="1661"/>
      <c r="C262" s="1661"/>
      <c r="D262" s="1661"/>
      <c r="E262" s="1680"/>
      <c r="F262" s="1681"/>
      <c r="G262" s="55"/>
      <c r="H262" s="61"/>
      <c r="I262" s="76"/>
      <c r="J262" s="65">
        <f>ROUND(F262*G262,0)</f>
        <v>0</v>
      </c>
      <c r="K262" s="11"/>
      <c r="L262" s="11"/>
    </row>
    <row r="263" spans="1:13" ht="15" customHeight="1" x14ac:dyDescent="0.25">
      <c r="A263" s="12"/>
      <c r="B263" s="1672" t="s">
        <v>13</v>
      </c>
      <c r="C263" s="1672"/>
      <c r="D263" s="1672"/>
      <c r="E263" s="1673" t="s">
        <v>14</v>
      </c>
      <c r="F263" s="1674"/>
      <c r="G263" s="1675">
        <f>SUM(J242:J262)</f>
        <v>0</v>
      </c>
      <c r="H263" s="1676"/>
      <c r="I263" s="1676"/>
      <c r="J263" s="1676"/>
      <c r="K263" s="13"/>
      <c r="L263" s="13"/>
    </row>
    <row r="264" spans="1:13" ht="15.75" x14ac:dyDescent="0.25">
      <c r="A264" s="7"/>
    </row>
    <row r="265" spans="1:13" ht="15.75" x14ac:dyDescent="0.25">
      <c r="A265" s="1660" t="s">
        <v>281</v>
      </c>
      <c r="B265" s="1660"/>
      <c r="C265" s="1660"/>
      <c r="D265" s="1660"/>
      <c r="E265" s="1660"/>
      <c r="F265" s="1660"/>
      <c r="G265" s="1660"/>
      <c r="H265" s="1660"/>
      <c r="I265" s="1660"/>
      <c r="J265" s="1660"/>
    </row>
    <row r="266" spans="1:13" ht="15.75" x14ac:dyDescent="0.25">
      <c r="A266" s="2"/>
    </row>
    <row r="267" spans="1:13" s="41" customFormat="1" ht="30" customHeight="1" x14ac:dyDescent="0.2">
      <c r="A267" s="57" t="s">
        <v>1</v>
      </c>
      <c r="B267" s="1677" t="s">
        <v>15</v>
      </c>
      <c r="C267" s="1678"/>
      <c r="D267" s="1679"/>
      <c r="E267" s="1677" t="s">
        <v>58</v>
      </c>
      <c r="F267" s="1679"/>
      <c r="G267" s="1677" t="s">
        <v>66</v>
      </c>
      <c r="H267" s="1679"/>
      <c r="I267" s="1677" t="s">
        <v>260</v>
      </c>
      <c r="J267" s="1679"/>
    </row>
    <row r="268" spans="1:13" s="41" customFormat="1" ht="12.75" x14ac:dyDescent="0.2">
      <c r="A268" s="57">
        <v>1</v>
      </c>
      <c r="B268" s="1651">
        <v>2</v>
      </c>
      <c r="C268" s="1651"/>
      <c r="D268" s="1651"/>
      <c r="E268" s="1651">
        <v>3</v>
      </c>
      <c r="F268" s="1651"/>
      <c r="G268" s="1651">
        <v>4</v>
      </c>
      <c r="H268" s="1651"/>
      <c r="I268" s="1651">
        <v>5</v>
      </c>
      <c r="J268" s="1651"/>
    </row>
    <row r="269" spans="1:13" ht="30" customHeight="1" x14ac:dyDescent="0.25">
      <c r="A269" s="63" t="s">
        <v>70</v>
      </c>
      <c r="B269" s="1662" t="s">
        <v>170</v>
      </c>
      <c r="C269" s="1663"/>
      <c r="D269" s="1664"/>
      <c r="E269" s="72"/>
      <c r="F269" s="72"/>
      <c r="G269" s="1665"/>
      <c r="H269" s="1666"/>
      <c r="I269" s="1667">
        <f>I270</f>
        <v>0</v>
      </c>
      <c r="J269" s="1668"/>
    </row>
    <row r="270" spans="1:13" ht="30" customHeight="1" x14ac:dyDescent="0.25">
      <c r="A270" s="55" t="s">
        <v>27</v>
      </c>
      <c r="B270" s="1669" t="s">
        <v>171</v>
      </c>
      <c r="C270" s="1670"/>
      <c r="D270" s="1671"/>
      <c r="E270" s="59" t="s">
        <v>300</v>
      </c>
      <c r="F270" s="59">
        <v>13</v>
      </c>
      <c r="G270" s="1472" t="s">
        <v>256</v>
      </c>
      <c r="H270" s="1472"/>
      <c r="I270" s="1647"/>
      <c r="J270" s="1648"/>
      <c r="K270" s="14" t="s">
        <v>157</v>
      </c>
    </row>
    <row r="271" spans="1:13" ht="30" customHeight="1" x14ac:dyDescent="0.25">
      <c r="A271" s="63" t="s">
        <v>75</v>
      </c>
      <c r="B271" s="1662" t="s">
        <v>182</v>
      </c>
      <c r="C271" s="1663"/>
      <c r="D271" s="1664"/>
      <c r="E271" s="72"/>
      <c r="F271" s="72"/>
      <c r="G271" s="1665"/>
      <c r="H271" s="1666"/>
      <c r="I271" s="1667">
        <f>SUM(I272:J278)</f>
        <v>0</v>
      </c>
      <c r="J271" s="1668"/>
      <c r="K271" s="14"/>
    </row>
    <row r="272" spans="1:13" ht="30" customHeight="1" x14ac:dyDescent="0.25">
      <c r="A272" s="55" t="s">
        <v>34</v>
      </c>
      <c r="B272" s="1645" t="s">
        <v>193</v>
      </c>
      <c r="C272" s="1645"/>
      <c r="D272" s="1645"/>
      <c r="E272" s="59" t="s">
        <v>301</v>
      </c>
      <c r="F272" s="61">
        <v>1007</v>
      </c>
      <c r="G272" s="1472" t="s">
        <v>256</v>
      </c>
      <c r="H272" s="1472"/>
      <c r="I272" s="1647"/>
      <c r="J272" s="1648"/>
      <c r="K272" s="14" t="s">
        <v>159</v>
      </c>
      <c r="M272" s="73"/>
    </row>
    <row r="273" spans="1:13" ht="30" customHeight="1" x14ac:dyDescent="0.25">
      <c r="A273" s="55" t="s">
        <v>36</v>
      </c>
      <c r="B273" s="1645" t="s">
        <v>194</v>
      </c>
      <c r="C273" s="1645"/>
      <c r="D273" s="1645"/>
      <c r="E273" s="59" t="s">
        <v>301</v>
      </c>
      <c r="F273" s="61">
        <v>1007</v>
      </c>
      <c r="G273" s="1472" t="s">
        <v>256</v>
      </c>
      <c r="H273" s="1472"/>
      <c r="I273" s="1647"/>
      <c r="J273" s="1648"/>
      <c r="K273" s="14" t="s">
        <v>163</v>
      </c>
      <c r="M273" s="73"/>
    </row>
    <row r="274" spans="1:13" ht="30" customHeight="1" x14ac:dyDescent="0.25">
      <c r="A274" s="55" t="s">
        <v>38</v>
      </c>
      <c r="B274" s="1645" t="s">
        <v>183</v>
      </c>
      <c r="C274" s="1645"/>
      <c r="D274" s="1645"/>
      <c r="E274" s="59" t="s">
        <v>301</v>
      </c>
      <c r="F274" s="61">
        <v>1007</v>
      </c>
      <c r="G274" s="1472" t="s">
        <v>256</v>
      </c>
      <c r="H274" s="1472"/>
      <c r="I274" s="1647"/>
      <c r="J274" s="1648"/>
      <c r="K274" s="14" t="s">
        <v>162</v>
      </c>
      <c r="M274" s="73"/>
    </row>
    <row r="275" spans="1:13" ht="30" customHeight="1" x14ac:dyDescent="0.25">
      <c r="A275" s="16" t="s">
        <v>40</v>
      </c>
      <c r="B275" s="1645" t="s">
        <v>184</v>
      </c>
      <c r="C275" s="1645"/>
      <c r="D275" s="1645"/>
      <c r="E275" s="59" t="s">
        <v>301</v>
      </c>
      <c r="F275" s="61">
        <v>1007</v>
      </c>
      <c r="G275" s="1472" t="s">
        <v>256</v>
      </c>
      <c r="H275" s="1472"/>
      <c r="I275" s="1647"/>
      <c r="J275" s="1648"/>
      <c r="K275" s="14" t="s">
        <v>164</v>
      </c>
      <c r="M275" s="73"/>
    </row>
    <row r="276" spans="1:13" ht="30" customHeight="1" x14ac:dyDescent="0.25">
      <c r="A276" s="55" t="s">
        <v>42</v>
      </c>
      <c r="B276" s="1645" t="s">
        <v>185</v>
      </c>
      <c r="C276" s="1645"/>
      <c r="D276" s="1645"/>
      <c r="E276" s="59" t="s">
        <v>301</v>
      </c>
      <c r="F276" s="61">
        <v>1007</v>
      </c>
      <c r="G276" s="1472" t="s">
        <v>256</v>
      </c>
      <c r="H276" s="1472"/>
      <c r="I276" s="1647"/>
      <c r="J276" s="1648"/>
      <c r="K276" s="14" t="s">
        <v>165</v>
      </c>
      <c r="M276" s="73"/>
    </row>
    <row r="277" spans="1:13" ht="30" customHeight="1" x14ac:dyDescent="0.25">
      <c r="A277" s="55" t="s">
        <v>180</v>
      </c>
      <c r="B277" s="1645" t="s">
        <v>186</v>
      </c>
      <c r="C277" s="1645"/>
      <c r="D277" s="1645"/>
      <c r="E277" s="59" t="s">
        <v>301</v>
      </c>
      <c r="F277" s="61">
        <v>1007</v>
      </c>
      <c r="G277" s="1472" t="s">
        <v>256</v>
      </c>
      <c r="H277" s="1472"/>
      <c r="I277" s="1647"/>
      <c r="J277" s="1648"/>
      <c r="K277" s="15" t="s">
        <v>166</v>
      </c>
      <c r="M277" s="73"/>
    </row>
    <row r="278" spans="1:13" ht="30" customHeight="1" x14ac:dyDescent="0.25">
      <c r="A278" s="16" t="s">
        <v>181</v>
      </c>
      <c r="B278" s="1645" t="s">
        <v>192</v>
      </c>
      <c r="C278" s="1645"/>
      <c r="D278" s="1645"/>
      <c r="E278" s="59" t="s">
        <v>301</v>
      </c>
      <c r="F278" s="61">
        <v>1007</v>
      </c>
      <c r="G278" s="1472" t="s">
        <v>256</v>
      </c>
      <c r="H278" s="1472"/>
      <c r="I278" s="1647"/>
      <c r="J278" s="1648"/>
      <c r="K278" s="14" t="s">
        <v>162</v>
      </c>
      <c r="M278" s="73"/>
    </row>
    <row r="279" spans="1:13" x14ac:dyDescent="0.25">
      <c r="A279" s="55"/>
      <c r="B279" s="1645" t="s">
        <v>13</v>
      </c>
      <c r="C279" s="1645"/>
      <c r="D279" s="1645"/>
      <c r="E279" s="1649"/>
      <c r="F279" s="1649"/>
      <c r="G279" s="1646" t="s">
        <v>14</v>
      </c>
      <c r="H279" s="1646"/>
      <c r="I279" s="1658">
        <f>I269+I271</f>
        <v>0</v>
      </c>
      <c r="J279" s="1659"/>
    </row>
    <row r="281" spans="1:13" ht="15.75" x14ac:dyDescent="0.25">
      <c r="A281" s="1660" t="s">
        <v>282</v>
      </c>
      <c r="B281" s="1660"/>
      <c r="C281" s="1660"/>
      <c r="D281" s="1660"/>
      <c r="E281" s="1660"/>
      <c r="F281" s="1660"/>
      <c r="G281" s="1660"/>
      <c r="H281" s="1660"/>
      <c r="I281" s="1660"/>
      <c r="J281" s="1660"/>
    </row>
    <row r="282" spans="1:13" ht="15.75" x14ac:dyDescent="0.25">
      <c r="A282" s="2"/>
    </row>
    <row r="283" spans="1:13" s="41" customFormat="1" ht="30" customHeight="1" x14ac:dyDescent="0.2">
      <c r="A283" s="57" t="s">
        <v>1</v>
      </c>
      <c r="B283" s="1651" t="s">
        <v>15</v>
      </c>
      <c r="C283" s="1651"/>
      <c r="D283" s="1651"/>
      <c r="E283" s="1651" t="s">
        <v>58</v>
      </c>
      <c r="F283" s="1651"/>
      <c r="G283" s="1651" t="s">
        <v>66</v>
      </c>
      <c r="H283" s="1651"/>
      <c r="I283" s="1651" t="s">
        <v>260</v>
      </c>
      <c r="J283" s="1651"/>
    </row>
    <row r="284" spans="1:13" s="41" customFormat="1" ht="12.75" x14ac:dyDescent="0.2">
      <c r="A284" s="57">
        <v>1</v>
      </c>
      <c r="B284" s="1651">
        <v>2</v>
      </c>
      <c r="C284" s="1651"/>
      <c r="D284" s="1651"/>
      <c r="E284" s="1651">
        <v>3</v>
      </c>
      <c r="F284" s="1651"/>
      <c r="G284" s="1651">
        <v>4</v>
      </c>
      <c r="H284" s="1651"/>
      <c r="I284" s="1651">
        <v>5</v>
      </c>
      <c r="J284" s="1651"/>
    </row>
    <row r="285" spans="1:13" ht="30" customHeight="1" x14ac:dyDescent="0.25">
      <c r="A285" s="63" t="s">
        <v>70</v>
      </c>
      <c r="B285" s="1662" t="s">
        <v>172</v>
      </c>
      <c r="C285" s="1663"/>
      <c r="D285" s="1664"/>
      <c r="E285" s="72"/>
      <c r="F285" s="72"/>
      <c r="G285" s="1665"/>
      <c r="H285" s="1666"/>
      <c r="I285" s="1667">
        <f>SUM(I286:J292)</f>
        <v>0</v>
      </c>
      <c r="J285" s="1668"/>
      <c r="K285" s="14"/>
    </row>
    <row r="286" spans="1:13" ht="30" customHeight="1" x14ac:dyDescent="0.25">
      <c r="A286" s="55" t="s">
        <v>27</v>
      </c>
      <c r="B286" s="1645" t="s">
        <v>173</v>
      </c>
      <c r="C286" s="1645"/>
      <c r="D286" s="1645"/>
      <c r="E286" s="59" t="s">
        <v>301</v>
      </c>
      <c r="F286" s="61">
        <v>1007</v>
      </c>
      <c r="G286" s="1472" t="s">
        <v>256</v>
      </c>
      <c r="H286" s="1472"/>
      <c r="I286" s="1647"/>
      <c r="J286" s="1648"/>
      <c r="K286" s="15" t="s">
        <v>158</v>
      </c>
    </row>
    <row r="287" spans="1:13" ht="30" customHeight="1" x14ac:dyDescent="0.25">
      <c r="A287" s="55" t="s">
        <v>29</v>
      </c>
      <c r="B287" s="1645" t="s">
        <v>174</v>
      </c>
      <c r="C287" s="1645"/>
      <c r="D287" s="1645"/>
      <c r="E287" s="59" t="s">
        <v>304</v>
      </c>
      <c r="F287" s="61">
        <v>30</v>
      </c>
      <c r="G287" s="1472" t="s">
        <v>256</v>
      </c>
      <c r="H287" s="1472"/>
      <c r="I287" s="1647"/>
      <c r="J287" s="1648"/>
      <c r="K287" s="14" t="s">
        <v>156</v>
      </c>
    </row>
    <row r="288" spans="1:13" ht="30" customHeight="1" x14ac:dyDescent="0.25">
      <c r="A288" s="16" t="s">
        <v>31</v>
      </c>
      <c r="B288" s="1645" t="s">
        <v>175</v>
      </c>
      <c r="C288" s="1645"/>
      <c r="D288" s="1645"/>
      <c r="E288" s="59" t="s">
        <v>302</v>
      </c>
      <c r="F288" s="61">
        <v>1400</v>
      </c>
      <c r="G288" s="1472" t="s">
        <v>256</v>
      </c>
      <c r="H288" s="1472"/>
      <c r="I288" s="1647"/>
      <c r="J288" s="1648"/>
      <c r="K288" s="14" t="s">
        <v>160</v>
      </c>
    </row>
    <row r="289" spans="1:11" ht="30" customHeight="1" x14ac:dyDescent="0.25">
      <c r="A289" s="55" t="s">
        <v>264</v>
      </c>
      <c r="B289" s="1645" t="s">
        <v>176</v>
      </c>
      <c r="C289" s="1645"/>
      <c r="D289" s="1645"/>
      <c r="E289" s="59" t="s">
        <v>303</v>
      </c>
      <c r="F289" s="74">
        <v>19887.2</v>
      </c>
      <c r="G289" s="1472" t="s">
        <v>256</v>
      </c>
      <c r="H289" s="1472"/>
      <c r="I289" s="1647"/>
      <c r="J289" s="1648"/>
      <c r="K289" s="14" t="s">
        <v>159</v>
      </c>
    </row>
    <row r="290" spans="1:11" ht="30" customHeight="1" x14ac:dyDescent="0.25">
      <c r="A290" s="55" t="s">
        <v>265</v>
      </c>
      <c r="B290" s="1645" t="s">
        <v>177</v>
      </c>
      <c r="C290" s="1645"/>
      <c r="D290" s="1645"/>
      <c r="E290" s="59" t="s">
        <v>303</v>
      </c>
      <c r="F290" s="74">
        <v>19887.2</v>
      </c>
      <c r="G290" s="1472" t="s">
        <v>256</v>
      </c>
      <c r="H290" s="1472"/>
      <c r="I290" s="1647"/>
      <c r="J290" s="1648"/>
      <c r="K290" s="14" t="s">
        <v>156</v>
      </c>
    </row>
    <row r="291" spans="1:11" ht="30" customHeight="1" x14ac:dyDescent="0.25">
      <c r="A291" s="55" t="s">
        <v>276</v>
      </c>
      <c r="B291" s="1645" t="s">
        <v>178</v>
      </c>
      <c r="C291" s="1645"/>
      <c r="D291" s="1645"/>
      <c r="E291" s="59" t="s">
        <v>304</v>
      </c>
      <c r="F291" s="61">
        <v>10</v>
      </c>
      <c r="G291" s="1472" t="s">
        <v>256</v>
      </c>
      <c r="H291" s="1472"/>
      <c r="I291" s="1647"/>
      <c r="J291" s="1648"/>
      <c r="K291" s="14" t="s">
        <v>161</v>
      </c>
    </row>
    <row r="292" spans="1:11" ht="30" customHeight="1" x14ac:dyDescent="0.25">
      <c r="A292" s="16" t="s">
        <v>277</v>
      </c>
      <c r="B292" s="1645" t="s">
        <v>179</v>
      </c>
      <c r="C292" s="1645"/>
      <c r="D292" s="1645"/>
      <c r="E292" s="59" t="s">
        <v>303</v>
      </c>
      <c r="F292" s="74">
        <v>19887.2</v>
      </c>
      <c r="G292" s="1472" t="s">
        <v>256</v>
      </c>
      <c r="H292" s="1472"/>
      <c r="I292" s="1647"/>
      <c r="J292" s="1648"/>
      <c r="K292" s="14" t="s">
        <v>162</v>
      </c>
    </row>
    <row r="293" spans="1:11" ht="30" customHeight="1" x14ac:dyDescent="0.25">
      <c r="A293" s="63" t="s">
        <v>75</v>
      </c>
      <c r="B293" s="1662" t="s">
        <v>187</v>
      </c>
      <c r="C293" s="1663"/>
      <c r="D293" s="1664"/>
      <c r="E293" s="72"/>
      <c r="F293" s="72"/>
      <c r="G293" s="1665"/>
      <c r="H293" s="1666"/>
      <c r="I293" s="1667">
        <f>SUM(I294:J297)</f>
        <v>0</v>
      </c>
      <c r="J293" s="1668"/>
      <c r="K293" s="14"/>
    </row>
    <row r="294" spans="1:11" ht="30" customHeight="1" x14ac:dyDescent="0.25">
      <c r="A294" s="55" t="s">
        <v>34</v>
      </c>
      <c r="B294" s="1645" t="s">
        <v>188</v>
      </c>
      <c r="C294" s="1645"/>
      <c r="D294" s="1645"/>
      <c r="E294" s="59" t="s">
        <v>301</v>
      </c>
      <c r="F294" s="61">
        <v>1007</v>
      </c>
      <c r="G294" s="1472" t="s">
        <v>256</v>
      </c>
      <c r="H294" s="1472"/>
      <c r="I294" s="1647"/>
      <c r="J294" s="1648"/>
      <c r="K294" s="14" t="s">
        <v>164</v>
      </c>
    </row>
    <row r="295" spans="1:11" ht="45" customHeight="1" x14ac:dyDescent="0.25">
      <c r="A295" s="55" t="s">
        <v>36</v>
      </c>
      <c r="B295" s="1645" t="s">
        <v>189</v>
      </c>
      <c r="C295" s="1645"/>
      <c r="D295" s="1645"/>
      <c r="E295" s="59" t="s">
        <v>301</v>
      </c>
      <c r="F295" s="61">
        <v>1007</v>
      </c>
      <c r="G295" s="1472" t="s">
        <v>256</v>
      </c>
      <c r="H295" s="1472"/>
      <c r="I295" s="1647"/>
      <c r="J295" s="1648"/>
      <c r="K295" s="15" t="s">
        <v>167</v>
      </c>
    </row>
    <row r="296" spans="1:11" ht="30" customHeight="1" x14ac:dyDescent="0.25">
      <c r="A296" s="55" t="s">
        <v>38</v>
      </c>
      <c r="B296" s="1645" t="s">
        <v>190</v>
      </c>
      <c r="C296" s="1645"/>
      <c r="D296" s="1645"/>
      <c r="E296" s="59" t="s">
        <v>301</v>
      </c>
      <c r="F296" s="61">
        <v>1007</v>
      </c>
      <c r="G296" s="1472" t="s">
        <v>256</v>
      </c>
      <c r="H296" s="1472"/>
      <c r="I296" s="1647"/>
      <c r="J296" s="1648"/>
      <c r="K296" s="15" t="s">
        <v>169</v>
      </c>
    </row>
    <row r="297" spans="1:11" ht="30" customHeight="1" x14ac:dyDescent="0.25">
      <c r="A297" s="16" t="s">
        <v>40</v>
      </c>
      <c r="B297" s="1645" t="s">
        <v>191</v>
      </c>
      <c r="C297" s="1645"/>
      <c r="D297" s="1645"/>
      <c r="E297" s="59" t="s">
        <v>301</v>
      </c>
      <c r="F297" s="61">
        <v>1007</v>
      </c>
      <c r="G297" s="1472" t="s">
        <v>256</v>
      </c>
      <c r="H297" s="1472"/>
      <c r="I297" s="1647"/>
      <c r="J297" s="1648"/>
      <c r="K297" s="14" t="s">
        <v>168</v>
      </c>
    </row>
    <row r="298" spans="1:11" ht="30" customHeight="1" x14ac:dyDescent="0.25">
      <c r="A298" s="55"/>
      <c r="B298" s="1661"/>
      <c r="C298" s="1661"/>
      <c r="D298" s="1661"/>
      <c r="E298" s="59"/>
      <c r="F298" s="61"/>
      <c r="G298" s="1646"/>
      <c r="H298" s="1646"/>
      <c r="I298" s="1647"/>
      <c r="J298" s="1648"/>
      <c r="K298" s="14"/>
    </row>
    <row r="299" spans="1:11" x14ac:dyDescent="0.25">
      <c r="A299" s="55"/>
      <c r="B299" s="1645" t="s">
        <v>13</v>
      </c>
      <c r="C299" s="1645"/>
      <c r="D299" s="1645"/>
      <c r="E299" s="1649"/>
      <c r="F299" s="1649"/>
      <c r="G299" s="1646" t="s">
        <v>14</v>
      </c>
      <c r="H299" s="1646"/>
      <c r="I299" s="1658">
        <f>I285+I293</f>
        <v>0</v>
      </c>
      <c r="J299" s="1659"/>
    </row>
    <row r="301" spans="1:11" ht="15.75" x14ac:dyDescent="0.25">
      <c r="A301" s="1660" t="s">
        <v>283</v>
      </c>
      <c r="B301" s="1660"/>
      <c r="C301" s="1660"/>
      <c r="D301" s="1660"/>
      <c r="E301" s="1660"/>
      <c r="F301" s="1660"/>
      <c r="G301" s="1660"/>
      <c r="H301" s="1660"/>
      <c r="I301" s="1660"/>
      <c r="J301" s="1660"/>
    </row>
    <row r="302" spans="1:11" ht="15.75" x14ac:dyDescent="0.25">
      <c r="A302" s="2"/>
    </row>
    <row r="303" spans="1:11" s="41" customFormat="1" ht="30" customHeight="1" x14ac:dyDescent="0.2">
      <c r="A303" s="57" t="s">
        <v>1</v>
      </c>
      <c r="B303" s="1651" t="s">
        <v>15</v>
      </c>
      <c r="C303" s="1651"/>
      <c r="D303" s="1651"/>
      <c r="E303" s="1651" t="s">
        <v>58</v>
      </c>
      <c r="F303" s="1651"/>
      <c r="G303" s="1651" t="s">
        <v>66</v>
      </c>
      <c r="H303" s="1651"/>
      <c r="I303" s="1651" t="s">
        <v>260</v>
      </c>
      <c r="J303" s="1651"/>
    </row>
    <row r="304" spans="1:11" s="41" customFormat="1" ht="12.75" x14ac:dyDescent="0.2">
      <c r="A304" s="57">
        <v>1</v>
      </c>
      <c r="B304" s="1651">
        <v>2</v>
      </c>
      <c r="C304" s="1651"/>
      <c r="D304" s="1651"/>
      <c r="E304" s="1651">
        <v>3</v>
      </c>
      <c r="F304" s="1651"/>
      <c r="G304" s="1651">
        <v>4</v>
      </c>
      <c r="H304" s="1651"/>
      <c r="I304" s="1651">
        <v>5</v>
      </c>
      <c r="J304" s="1651"/>
    </row>
    <row r="305" spans="1:11" ht="45" customHeight="1" x14ac:dyDescent="0.25">
      <c r="A305" s="70" t="s">
        <v>70</v>
      </c>
      <c r="B305" s="1652" t="s">
        <v>197</v>
      </c>
      <c r="C305" s="1653"/>
      <c r="D305" s="1654"/>
      <c r="E305" s="59" t="s">
        <v>300</v>
      </c>
      <c r="F305" s="61"/>
      <c r="G305" s="1655"/>
      <c r="H305" s="1656"/>
      <c r="I305" s="1657">
        <f>F305*G305</f>
        <v>0</v>
      </c>
      <c r="J305" s="1657"/>
      <c r="K305" s="14"/>
    </row>
    <row r="306" spans="1:11" ht="30" customHeight="1" x14ac:dyDescent="0.25">
      <c r="A306" s="55"/>
      <c r="B306" s="1645"/>
      <c r="C306" s="1645"/>
      <c r="D306" s="1645"/>
      <c r="E306" s="59"/>
      <c r="F306" s="61"/>
      <c r="G306" s="1646"/>
      <c r="H306" s="1646"/>
      <c r="I306" s="1647"/>
      <c r="J306" s="1648"/>
      <c r="K306" s="15"/>
    </row>
    <row r="307" spans="1:11" ht="30" customHeight="1" x14ac:dyDescent="0.25">
      <c r="A307" s="55"/>
      <c r="B307" s="1645" t="s">
        <v>13</v>
      </c>
      <c r="C307" s="1645"/>
      <c r="D307" s="1645"/>
      <c r="E307" s="1649"/>
      <c r="F307" s="1649"/>
      <c r="G307" s="1646" t="s">
        <v>14</v>
      </c>
      <c r="H307" s="1646"/>
      <c r="I307" s="1650">
        <f>SUM(I305:J306)</f>
        <v>0</v>
      </c>
      <c r="J307" s="1650"/>
      <c r="K307" s="14"/>
    </row>
    <row r="312" spans="1:11" x14ac:dyDescent="0.25">
      <c r="H312" s="40" t="s">
        <v>212</v>
      </c>
      <c r="I312" s="1643">
        <f>J60+I73+I81+I100+I114+I128+I140+I152+I172+I180+I202+I210+G235+G263+I279+I299+I307</f>
        <v>0</v>
      </c>
      <c r="J312" s="1643"/>
    </row>
    <row r="313" spans="1:11" x14ac:dyDescent="0.25">
      <c r="H313" s="39" t="s">
        <v>248</v>
      </c>
    </row>
    <row r="314" spans="1:11" x14ac:dyDescent="0.25">
      <c r="H314" s="39" t="s">
        <v>82</v>
      </c>
      <c r="I314" s="1644">
        <f>I73+I81+I128+I164+I165+I166+I167+I168+I169+I202+G235+J242+J243+J244+J245+J246+J247+J248+J249+J250+J251+J252+J253+J254+J255+J256+J257+I269+I285</f>
        <v>0</v>
      </c>
      <c r="J314" s="1644"/>
    </row>
    <row r="315" spans="1:11" x14ac:dyDescent="0.25">
      <c r="H315" s="39" t="s">
        <v>249</v>
      </c>
      <c r="I315" s="1644">
        <f>J60+I100+I170+J258+J259+I271+I293+I307</f>
        <v>0</v>
      </c>
      <c r="J315" s="1644"/>
    </row>
    <row r="316" spans="1:11" x14ac:dyDescent="0.25">
      <c r="H316" s="39" t="s">
        <v>250</v>
      </c>
      <c r="I316" s="1644">
        <f>J260</f>
        <v>0</v>
      </c>
      <c r="J316" s="1644"/>
    </row>
    <row r="317" spans="1:11" x14ac:dyDescent="0.25">
      <c r="H317" s="39" t="s">
        <v>251</v>
      </c>
      <c r="I317" s="1644">
        <f>J261</f>
        <v>0</v>
      </c>
      <c r="J317" s="1644"/>
    </row>
    <row r="318" spans="1:11" x14ac:dyDescent="0.25">
      <c r="H318" s="39"/>
    </row>
    <row r="320" spans="1:11" ht="15.75" customHeight="1" x14ac:dyDescent="0.25">
      <c r="C320" s="47" t="s">
        <v>257</v>
      </c>
      <c r="D320" s="48"/>
      <c r="E320" s="49"/>
      <c r="F320" s="49"/>
      <c r="G320" s="50"/>
    </row>
    <row r="321" spans="2:7" ht="15.75" customHeight="1" x14ac:dyDescent="0.25">
      <c r="C321" s="51"/>
    </row>
    <row r="322" spans="2:7" ht="15.75" customHeight="1" x14ac:dyDescent="0.25">
      <c r="C322" s="47" t="s">
        <v>258</v>
      </c>
      <c r="D322" s="48"/>
      <c r="E322" s="49"/>
      <c r="F322" s="49"/>
      <c r="G322" s="50"/>
    </row>
    <row r="323" spans="2:7" ht="15.75" customHeight="1" x14ac:dyDescent="0.25">
      <c r="C323" s="51"/>
    </row>
    <row r="324" spans="2:7" ht="15.75" customHeight="1" x14ac:dyDescent="0.25">
      <c r="C324" s="51" t="s">
        <v>261</v>
      </c>
      <c r="D324" s="4"/>
      <c r="E324" s="4"/>
      <c r="F324" s="4"/>
    </row>
    <row r="326" spans="2:7" x14ac:dyDescent="0.25">
      <c r="B326" s="1" t="s">
        <v>259</v>
      </c>
    </row>
  </sheetData>
  <mergeCells count="531">
    <mergeCell ref="A1:J1"/>
    <mergeCell ref="A3:J3"/>
    <mergeCell ref="A5:J5"/>
    <mergeCell ref="A9:J9"/>
    <mergeCell ref="A14:J14"/>
    <mergeCell ref="A16:A18"/>
    <mergeCell ref="B16:B18"/>
    <mergeCell ref="C16:C18"/>
    <mergeCell ref="D16:G16"/>
    <mergeCell ref="H16:H18"/>
    <mergeCell ref="A60:B60"/>
    <mergeCell ref="A62:J62"/>
    <mergeCell ref="B64:D64"/>
    <mergeCell ref="E64:F64"/>
    <mergeCell ref="I64:J64"/>
    <mergeCell ref="B65:D65"/>
    <mergeCell ref="E65:F65"/>
    <mergeCell ref="I65:J65"/>
    <mergeCell ref="I16:I18"/>
    <mergeCell ref="J16:J18"/>
    <mergeCell ref="D17:D18"/>
    <mergeCell ref="E17:G17"/>
    <mergeCell ref="A58:B58"/>
    <mergeCell ref="A59:I59"/>
    <mergeCell ref="B68:D68"/>
    <mergeCell ref="E68:F68"/>
    <mergeCell ref="I68:J68"/>
    <mergeCell ref="B69:D69"/>
    <mergeCell ref="E69:F69"/>
    <mergeCell ref="I69:J69"/>
    <mergeCell ref="B66:D66"/>
    <mergeCell ref="E66:F66"/>
    <mergeCell ref="I66:J66"/>
    <mergeCell ref="B67:D67"/>
    <mergeCell ref="E67:F67"/>
    <mergeCell ref="I67:J67"/>
    <mergeCell ref="B72:D72"/>
    <mergeCell ref="E72:F72"/>
    <mergeCell ref="I72:J72"/>
    <mergeCell ref="B73:D73"/>
    <mergeCell ref="E73:F73"/>
    <mergeCell ref="I73:J73"/>
    <mergeCell ref="B70:D70"/>
    <mergeCell ref="E70:F70"/>
    <mergeCell ref="I70:J70"/>
    <mergeCell ref="B71:D71"/>
    <mergeCell ref="E71:F71"/>
    <mergeCell ref="I71:J71"/>
    <mergeCell ref="B79:D79"/>
    <mergeCell ref="E79:F79"/>
    <mergeCell ref="I79:J79"/>
    <mergeCell ref="B80:D80"/>
    <mergeCell ref="E80:F80"/>
    <mergeCell ref="I80:J80"/>
    <mergeCell ref="A75:J75"/>
    <mergeCell ref="B77:D77"/>
    <mergeCell ref="E77:F77"/>
    <mergeCell ref="I77:J77"/>
    <mergeCell ref="B78:D78"/>
    <mergeCell ref="E78:F78"/>
    <mergeCell ref="I78:J78"/>
    <mergeCell ref="B86:F86"/>
    <mergeCell ref="G86:H86"/>
    <mergeCell ref="I86:J86"/>
    <mergeCell ref="B87:F87"/>
    <mergeCell ref="G87:H87"/>
    <mergeCell ref="I87:J87"/>
    <mergeCell ref="B81:D81"/>
    <mergeCell ref="E81:F81"/>
    <mergeCell ref="I81:J81"/>
    <mergeCell ref="A83:J83"/>
    <mergeCell ref="B85:F85"/>
    <mergeCell ref="G85:H85"/>
    <mergeCell ref="I85:J85"/>
    <mergeCell ref="B90:F90"/>
    <mergeCell ref="G90:H90"/>
    <mergeCell ref="I90:J90"/>
    <mergeCell ref="B91:F91"/>
    <mergeCell ref="G91:H91"/>
    <mergeCell ref="I91:J91"/>
    <mergeCell ref="B88:F88"/>
    <mergeCell ref="G88:H88"/>
    <mergeCell ref="I88:J88"/>
    <mergeCell ref="B89:F89"/>
    <mergeCell ref="G89:H89"/>
    <mergeCell ref="I89:J89"/>
    <mergeCell ref="B94:F94"/>
    <mergeCell ref="G94:H94"/>
    <mergeCell ref="I94:J94"/>
    <mergeCell ref="B95:F95"/>
    <mergeCell ref="G95:H95"/>
    <mergeCell ref="I95:J95"/>
    <mergeCell ref="B92:F92"/>
    <mergeCell ref="G92:H92"/>
    <mergeCell ref="I92:J92"/>
    <mergeCell ref="B93:F93"/>
    <mergeCell ref="G93:H93"/>
    <mergeCell ref="I93:J93"/>
    <mergeCell ref="B98:F98"/>
    <mergeCell ref="G98:H98"/>
    <mergeCell ref="I98:J98"/>
    <mergeCell ref="B99:F99"/>
    <mergeCell ref="G99:H99"/>
    <mergeCell ref="I99:J99"/>
    <mergeCell ref="B96:F96"/>
    <mergeCell ref="G96:H96"/>
    <mergeCell ref="I96:J96"/>
    <mergeCell ref="B97:F97"/>
    <mergeCell ref="G97:H97"/>
    <mergeCell ref="I97:J97"/>
    <mergeCell ref="B100:F100"/>
    <mergeCell ref="G100:H100"/>
    <mergeCell ref="I100:J100"/>
    <mergeCell ref="A102:J102"/>
    <mergeCell ref="A105:J105"/>
    <mergeCell ref="B110:D110"/>
    <mergeCell ref="E110:F110"/>
    <mergeCell ref="G110:H110"/>
    <mergeCell ref="I110:J110"/>
    <mergeCell ref="B113:D113"/>
    <mergeCell ref="E113:F113"/>
    <mergeCell ref="G113:H113"/>
    <mergeCell ref="I113:J113"/>
    <mergeCell ref="B114:D114"/>
    <mergeCell ref="E114:F114"/>
    <mergeCell ref="G114:H114"/>
    <mergeCell ref="I114:J114"/>
    <mergeCell ref="B111:D111"/>
    <mergeCell ref="E111:F111"/>
    <mergeCell ref="G111:H111"/>
    <mergeCell ref="I111:J111"/>
    <mergeCell ref="B112:D112"/>
    <mergeCell ref="E112:F112"/>
    <mergeCell ref="G112:H112"/>
    <mergeCell ref="I112:J112"/>
    <mergeCell ref="A117:J117"/>
    <mergeCell ref="B122:D122"/>
    <mergeCell ref="E122:F122"/>
    <mergeCell ref="G122:H122"/>
    <mergeCell ref="I122:J122"/>
    <mergeCell ref="B123:D123"/>
    <mergeCell ref="E123:F123"/>
    <mergeCell ref="G123:H123"/>
    <mergeCell ref="I123:J123"/>
    <mergeCell ref="B126:D126"/>
    <mergeCell ref="E126:F126"/>
    <mergeCell ref="G126:H126"/>
    <mergeCell ref="I126:J126"/>
    <mergeCell ref="B127:D127"/>
    <mergeCell ref="E127:F127"/>
    <mergeCell ref="G127:H127"/>
    <mergeCell ref="I127:J127"/>
    <mergeCell ref="B124:D124"/>
    <mergeCell ref="E124:F124"/>
    <mergeCell ref="G124:H124"/>
    <mergeCell ref="I124:J124"/>
    <mergeCell ref="B125:D125"/>
    <mergeCell ref="E125:F125"/>
    <mergeCell ref="G125:H125"/>
    <mergeCell ref="I125:J125"/>
    <mergeCell ref="B128:D128"/>
    <mergeCell ref="E128:F128"/>
    <mergeCell ref="G128:H128"/>
    <mergeCell ref="I128:J128"/>
    <mergeCell ref="A131:J131"/>
    <mergeCell ref="B136:D136"/>
    <mergeCell ref="E136:F136"/>
    <mergeCell ref="G136:H136"/>
    <mergeCell ref="I136:J136"/>
    <mergeCell ref="B139:D139"/>
    <mergeCell ref="E139:F139"/>
    <mergeCell ref="G139:H139"/>
    <mergeCell ref="I139:J139"/>
    <mergeCell ref="B140:D140"/>
    <mergeCell ref="E140:F140"/>
    <mergeCell ref="G140:H140"/>
    <mergeCell ref="I140:J140"/>
    <mergeCell ref="B137:D137"/>
    <mergeCell ref="E137:F137"/>
    <mergeCell ref="G137:H137"/>
    <mergeCell ref="I137:J137"/>
    <mergeCell ref="B138:D138"/>
    <mergeCell ref="E138:F138"/>
    <mergeCell ref="G138:H138"/>
    <mergeCell ref="I138:J138"/>
    <mergeCell ref="B150:D150"/>
    <mergeCell ref="E150:F150"/>
    <mergeCell ref="G150:H150"/>
    <mergeCell ref="I150:J150"/>
    <mergeCell ref="B151:D151"/>
    <mergeCell ref="E151:F151"/>
    <mergeCell ref="G151:H151"/>
    <mergeCell ref="I151:J151"/>
    <mergeCell ref="A143:J143"/>
    <mergeCell ref="B148:D148"/>
    <mergeCell ref="E148:F148"/>
    <mergeCell ref="G148:H148"/>
    <mergeCell ref="I148:J148"/>
    <mergeCell ref="B149:D149"/>
    <mergeCell ref="E149:F149"/>
    <mergeCell ref="G149:H149"/>
    <mergeCell ref="I149:J149"/>
    <mergeCell ref="B162:D162"/>
    <mergeCell ref="G162:H162"/>
    <mergeCell ref="I162:J162"/>
    <mergeCell ref="B163:D163"/>
    <mergeCell ref="G163:H163"/>
    <mergeCell ref="I163:J163"/>
    <mergeCell ref="B152:D152"/>
    <mergeCell ref="E152:F152"/>
    <mergeCell ref="G152:H152"/>
    <mergeCell ref="I152:J152"/>
    <mergeCell ref="A155:J155"/>
    <mergeCell ref="A160:J160"/>
    <mergeCell ref="B166:D166"/>
    <mergeCell ref="G166:H166"/>
    <mergeCell ref="I166:J166"/>
    <mergeCell ref="B167:D167"/>
    <mergeCell ref="G167:H167"/>
    <mergeCell ref="I167:J167"/>
    <mergeCell ref="B164:D164"/>
    <mergeCell ref="G164:H164"/>
    <mergeCell ref="I164:J164"/>
    <mergeCell ref="B165:D165"/>
    <mergeCell ref="G165:H165"/>
    <mergeCell ref="I165:J165"/>
    <mergeCell ref="B170:D170"/>
    <mergeCell ref="G170:H170"/>
    <mergeCell ref="I170:J170"/>
    <mergeCell ref="B171:D171"/>
    <mergeCell ref="G171:H171"/>
    <mergeCell ref="I171:J171"/>
    <mergeCell ref="B168:D168"/>
    <mergeCell ref="G168:H168"/>
    <mergeCell ref="I168:J168"/>
    <mergeCell ref="B169:D169"/>
    <mergeCell ref="G169:H169"/>
    <mergeCell ref="I169:J169"/>
    <mergeCell ref="B177:D177"/>
    <mergeCell ref="E177:F177"/>
    <mergeCell ref="G177:H177"/>
    <mergeCell ref="I177:J177"/>
    <mergeCell ref="B178:D178"/>
    <mergeCell ref="E178:F178"/>
    <mergeCell ref="G178:H178"/>
    <mergeCell ref="I178:J178"/>
    <mergeCell ref="B172:D172"/>
    <mergeCell ref="G172:H172"/>
    <mergeCell ref="I172:J172"/>
    <mergeCell ref="A174:J174"/>
    <mergeCell ref="B176:D176"/>
    <mergeCell ref="E176:F176"/>
    <mergeCell ref="G176:H176"/>
    <mergeCell ref="I176:J176"/>
    <mergeCell ref="A182:J182"/>
    <mergeCell ref="B184:D184"/>
    <mergeCell ref="F184:G184"/>
    <mergeCell ref="I184:J184"/>
    <mergeCell ref="B185:D185"/>
    <mergeCell ref="F185:G185"/>
    <mergeCell ref="I185:J185"/>
    <mergeCell ref="B179:D179"/>
    <mergeCell ref="E179:F179"/>
    <mergeCell ref="G179:H179"/>
    <mergeCell ref="I179:J179"/>
    <mergeCell ref="B180:D180"/>
    <mergeCell ref="E180:F180"/>
    <mergeCell ref="G180:H180"/>
    <mergeCell ref="I180:J180"/>
    <mergeCell ref="B189:D189"/>
    <mergeCell ref="I189:J189"/>
    <mergeCell ref="B190:D190"/>
    <mergeCell ref="I190:J190"/>
    <mergeCell ref="B191:D191"/>
    <mergeCell ref="I191:J191"/>
    <mergeCell ref="B186:D186"/>
    <mergeCell ref="I186:J186"/>
    <mergeCell ref="B187:D187"/>
    <mergeCell ref="I187:J187"/>
    <mergeCell ref="B188:D188"/>
    <mergeCell ref="I188:J188"/>
    <mergeCell ref="B195:D195"/>
    <mergeCell ref="I195:J195"/>
    <mergeCell ref="B196:D196"/>
    <mergeCell ref="I196:J196"/>
    <mergeCell ref="B197:D197"/>
    <mergeCell ref="I197:J197"/>
    <mergeCell ref="B192:D192"/>
    <mergeCell ref="I192:J192"/>
    <mergeCell ref="B193:D193"/>
    <mergeCell ref="I193:J193"/>
    <mergeCell ref="B194:D194"/>
    <mergeCell ref="I194:J194"/>
    <mergeCell ref="B201:D201"/>
    <mergeCell ref="I201:J201"/>
    <mergeCell ref="B202:D202"/>
    <mergeCell ref="F202:G202"/>
    <mergeCell ref="I202:J202"/>
    <mergeCell ref="A204:J204"/>
    <mergeCell ref="B198:D198"/>
    <mergeCell ref="I198:J198"/>
    <mergeCell ref="B199:D199"/>
    <mergeCell ref="I199:J199"/>
    <mergeCell ref="B200:D200"/>
    <mergeCell ref="I200:J200"/>
    <mergeCell ref="B208:D208"/>
    <mergeCell ref="E208:F208"/>
    <mergeCell ref="G208:H208"/>
    <mergeCell ref="I208:J208"/>
    <mergeCell ref="B209:D209"/>
    <mergeCell ref="E209:F209"/>
    <mergeCell ref="G209:H209"/>
    <mergeCell ref="I209:J209"/>
    <mergeCell ref="B206:D206"/>
    <mergeCell ref="E206:F206"/>
    <mergeCell ref="G206:H206"/>
    <mergeCell ref="I206:J206"/>
    <mergeCell ref="B207:D207"/>
    <mergeCell ref="E207:F207"/>
    <mergeCell ref="G207:H207"/>
    <mergeCell ref="I207:J207"/>
    <mergeCell ref="B210:D210"/>
    <mergeCell ref="E210:F210"/>
    <mergeCell ref="G210:H210"/>
    <mergeCell ref="I210:J210"/>
    <mergeCell ref="A212:J212"/>
    <mergeCell ref="A214:A215"/>
    <mergeCell ref="B214:D215"/>
    <mergeCell ref="E214:E215"/>
    <mergeCell ref="F214:F215"/>
    <mergeCell ref="G214:J214"/>
    <mergeCell ref="B220:D220"/>
    <mergeCell ref="B221:D221"/>
    <mergeCell ref="B222:D222"/>
    <mergeCell ref="B223:D223"/>
    <mergeCell ref="B224:D224"/>
    <mergeCell ref="B225:D225"/>
    <mergeCell ref="K214:L214"/>
    <mergeCell ref="B216:D216"/>
    <mergeCell ref="G216:J216"/>
    <mergeCell ref="B217:D217"/>
    <mergeCell ref="B218:D218"/>
    <mergeCell ref="B219:D219"/>
    <mergeCell ref="B232:D232"/>
    <mergeCell ref="B233:D233"/>
    <mergeCell ref="B234:D234"/>
    <mergeCell ref="B235:D235"/>
    <mergeCell ref="G235:J235"/>
    <mergeCell ref="A237:J237"/>
    <mergeCell ref="B226:D226"/>
    <mergeCell ref="B227:D227"/>
    <mergeCell ref="B228:D228"/>
    <mergeCell ref="B229:D229"/>
    <mergeCell ref="B230:D230"/>
    <mergeCell ref="B231:D231"/>
    <mergeCell ref="A243:A244"/>
    <mergeCell ref="B243:D244"/>
    <mergeCell ref="E243:F244"/>
    <mergeCell ref="K243:K244"/>
    <mergeCell ref="K238:L238"/>
    <mergeCell ref="A239:A240"/>
    <mergeCell ref="B239:D240"/>
    <mergeCell ref="E239:F240"/>
    <mergeCell ref="G239:J239"/>
    <mergeCell ref="B241:D241"/>
    <mergeCell ref="E241:F241"/>
    <mergeCell ref="G241:J241"/>
    <mergeCell ref="L243:L244"/>
    <mergeCell ref="B245:D245"/>
    <mergeCell ref="E245:F245"/>
    <mergeCell ref="B246:D246"/>
    <mergeCell ref="E246:F246"/>
    <mergeCell ref="B247:D247"/>
    <mergeCell ref="E247:F247"/>
    <mergeCell ref="B242:D242"/>
    <mergeCell ref="E242:F242"/>
    <mergeCell ref="B251:D251"/>
    <mergeCell ref="E251:F251"/>
    <mergeCell ref="B252:D252"/>
    <mergeCell ref="E252:F252"/>
    <mergeCell ref="B253:D253"/>
    <mergeCell ref="E253:F253"/>
    <mergeCell ref="B248:D248"/>
    <mergeCell ref="E248:F248"/>
    <mergeCell ref="B249:D249"/>
    <mergeCell ref="E249:F249"/>
    <mergeCell ref="B250:D250"/>
    <mergeCell ref="E250:F250"/>
    <mergeCell ref="B257:D257"/>
    <mergeCell ref="E257:F257"/>
    <mergeCell ref="B258:D258"/>
    <mergeCell ref="E258:F258"/>
    <mergeCell ref="B259:D259"/>
    <mergeCell ref="E259:F259"/>
    <mergeCell ref="B254:D254"/>
    <mergeCell ref="E254:F254"/>
    <mergeCell ref="B255:D255"/>
    <mergeCell ref="E255:F255"/>
    <mergeCell ref="B256:D256"/>
    <mergeCell ref="E256:F256"/>
    <mergeCell ref="B263:D263"/>
    <mergeCell ref="E263:F263"/>
    <mergeCell ref="G263:J263"/>
    <mergeCell ref="A265:J265"/>
    <mergeCell ref="B267:D267"/>
    <mergeCell ref="E267:F267"/>
    <mergeCell ref="G267:H267"/>
    <mergeCell ref="I267:J267"/>
    <mergeCell ref="B260:D260"/>
    <mergeCell ref="E260:F260"/>
    <mergeCell ref="B261:D261"/>
    <mergeCell ref="E261:F261"/>
    <mergeCell ref="B262:D262"/>
    <mergeCell ref="E262:F262"/>
    <mergeCell ref="B270:D270"/>
    <mergeCell ref="G270:H270"/>
    <mergeCell ref="I270:J270"/>
    <mergeCell ref="B271:D271"/>
    <mergeCell ref="G271:H271"/>
    <mergeCell ref="I271:J271"/>
    <mergeCell ref="B268:D268"/>
    <mergeCell ref="E268:F268"/>
    <mergeCell ref="G268:H268"/>
    <mergeCell ref="I268:J268"/>
    <mergeCell ref="B269:D269"/>
    <mergeCell ref="G269:H269"/>
    <mergeCell ref="I269:J269"/>
    <mergeCell ref="B274:D274"/>
    <mergeCell ref="G274:H274"/>
    <mergeCell ref="I274:J274"/>
    <mergeCell ref="B275:D275"/>
    <mergeCell ref="G275:H275"/>
    <mergeCell ref="I275:J275"/>
    <mergeCell ref="B272:D272"/>
    <mergeCell ref="G272:H272"/>
    <mergeCell ref="I272:J272"/>
    <mergeCell ref="B273:D273"/>
    <mergeCell ref="G273:H273"/>
    <mergeCell ref="I273:J273"/>
    <mergeCell ref="B278:D278"/>
    <mergeCell ref="G278:H278"/>
    <mergeCell ref="I278:J278"/>
    <mergeCell ref="B279:D279"/>
    <mergeCell ref="E279:F279"/>
    <mergeCell ref="G279:H279"/>
    <mergeCell ref="I279:J279"/>
    <mergeCell ref="B276:D276"/>
    <mergeCell ref="G276:H276"/>
    <mergeCell ref="I276:J276"/>
    <mergeCell ref="B277:D277"/>
    <mergeCell ref="G277:H277"/>
    <mergeCell ref="I277:J277"/>
    <mergeCell ref="B285:D285"/>
    <mergeCell ref="G285:H285"/>
    <mergeCell ref="I285:J285"/>
    <mergeCell ref="B286:D286"/>
    <mergeCell ref="G286:H286"/>
    <mergeCell ref="I286:J286"/>
    <mergeCell ref="A281:J281"/>
    <mergeCell ref="B283:D283"/>
    <mergeCell ref="E283:F283"/>
    <mergeCell ref="G283:H283"/>
    <mergeCell ref="I283:J283"/>
    <mergeCell ref="B284:D284"/>
    <mergeCell ref="E284:F284"/>
    <mergeCell ref="G284:H284"/>
    <mergeCell ref="I284:J284"/>
    <mergeCell ref="B289:D289"/>
    <mergeCell ref="G289:H289"/>
    <mergeCell ref="I289:J289"/>
    <mergeCell ref="B290:D290"/>
    <mergeCell ref="G290:H290"/>
    <mergeCell ref="I290:J290"/>
    <mergeCell ref="B287:D287"/>
    <mergeCell ref="G287:H287"/>
    <mergeCell ref="I287:J287"/>
    <mergeCell ref="B288:D288"/>
    <mergeCell ref="G288:H288"/>
    <mergeCell ref="I288:J288"/>
    <mergeCell ref="B293:D293"/>
    <mergeCell ref="G293:H293"/>
    <mergeCell ref="I293:J293"/>
    <mergeCell ref="B294:D294"/>
    <mergeCell ref="G294:H294"/>
    <mergeCell ref="I294:J294"/>
    <mergeCell ref="B291:D291"/>
    <mergeCell ref="G291:H291"/>
    <mergeCell ref="I291:J291"/>
    <mergeCell ref="B292:D292"/>
    <mergeCell ref="G292:H292"/>
    <mergeCell ref="I292:J292"/>
    <mergeCell ref="B297:D297"/>
    <mergeCell ref="G297:H297"/>
    <mergeCell ref="I297:J297"/>
    <mergeCell ref="B298:D298"/>
    <mergeCell ref="G298:H298"/>
    <mergeCell ref="I298:J298"/>
    <mergeCell ref="B295:D295"/>
    <mergeCell ref="G295:H295"/>
    <mergeCell ref="I295:J295"/>
    <mergeCell ref="B296:D296"/>
    <mergeCell ref="G296:H296"/>
    <mergeCell ref="I296:J296"/>
    <mergeCell ref="B304:D304"/>
    <mergeCell ref="E304:F304"/>
    <mergeCell ref="G304:H304"/>
    <mergeCell ref="I304:J304"/>
    <mergeCell ref="B305:D305"/>
    <mergeCell ref="G305:H305"/>
    <mergeCell ref="I305:J305"/>
    <mergeCell ref="B299:D299"/>
    <mergeCell ref="E299:F299"/>
    <mergeCell ref="G299:H299"/>
    <mergeCell ref="I299:J299"/>
    <mergeCell ref="A301:J301"/>
    <mergeCell ref="B303:D303"/>
    <mergeCell ref="E303:F303"/>
    <mergeCell ref="G303:H303"/>
    <mergeCell ref="I303:J303"/>
    <mergeCell ref="I312:J312"/>
    <mergeCell ref="I314:J314"/>
    <mergeCell ref="I315:J315"/>
    <mergeCell ref="I316:J316"/>
    <mergeCell ref="I317:J317"/>
    <mergeCell ref="B306:D306"/>
    <mergeCell ref="G306:H306"/>
    <mergeCell ref="I306:J306"/>
    <mergeCell ref="B307:D307"/>
    <mergeCell ref="E307:F307"/>
    <mergeCell ref="G307:H307"/>
    <mergeCell ref="I307:J307"/>
  </mergeCells>
  <printOptions horizontalCentered="1"/>
  <pageMargins left="0.98425196850393704" right="0.19685039370078741" top="0.39370078740157483" bottom="0.39370078740157483" header="0.31496062992125984" footer="0.31496062992125984"/>
  <pageSetup paperSize="9" scale="78" fitToHeight="10" orientation="portrait" r:id="rId1"/>
  <rowBreaks count="4" manualBreakCount="4">
    <brk id="130" max="9" man="1"/>
    <brk id="181" max="9" man="1"/>
    <brk id="211" max="9" man="1"/>
    <brk id="28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4</vt:i4>
      </vt:variant>
    </vt:vector>
  </HeadingPairs>
  <TitlesOfParts>
    <vt:vector size="16" baseType="lpstr">
      <vt:lpstr>стр 1   -  6</vt:lpstr>
      <vt:lpstr>стр 5 - 7</vt:lpstr>
      <vt:lpstr>МЗ 2024</vt:lpstr>
      <vt:lpstr>иные  2024</vt:lpstr>
      <vt:lpstr>ППД   2024</vt:lpstr>
      <vt:lpstr>расш МЗ 2025</vt:lpstr>
      <vt:lpstr>иные   2025</vt:lpstr>
      <vt:lpstr>ППД   2025 </vt:lpstr>
      <vt:lpstr>МЗ 2026</vt:lpstr>
      <vt:lpstr>иные 2026</vt:lpstr>
      <vt:lpstr>ППД 2026</vt:lpstr>
      <vt:lpstr>МЗ 2017 (3)</vt:lpstr>
      <vt:lpstr>'иные  2024'!Область_печати</vt:lpstr>
      <vt:lpstr>'МЗ 2017 (3)'!Область_печати</vt:lpstr>
      <vt:lpstr>'МЗ 2024'!Область_печати</vt:lpstr>
      <vt:lpstr>'ППД   2024'!Область_печати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EKON3</dc:creator>
  <cp:lastModifiedBy>BUH01</cp:lastModifiedBy>
  <cp:lastPrinted>2024-01-16T03:32:32Z</cp:lastPrinted>
  <dcterms:created xsi:type="dcterms:W3CDTF">2017-01-09T09:55:31Z</dcterms:created>
  <dcterms:modified xsi:type="dcterms:W3CDTF">2024-02-01T11:49:03Z</dcterms:modified>
</cp:coreProperties>
</file>