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geeva\Desktop\1111\"/>
    </mc:Choice>
  </mc:AlternateContent>
  <bookViews>
    <workbookView xWindow="0" yWindow="0" windowWidth="23040" windowHeight="9192" tabRatio="668" activeTab="9"/>
  </bookViews>
  <sheets>
    <sheet name="Титул лист" sheetId="21" r:id="rId1"/>
    <sheet name="Раздел 1" sheetId="66" r:id="rId2"/>
    <sheet name="Раздел 2" sheetId="67" r:id="rId3"/>
    <sheet name="МЗ 2023" sheetId="46" r:id="rId4"/>
    <sheet name="иные  2023" sheetId="64" r:id="rId5"/>
    <sheet name="ППД 2023" sheetId="47" r:id="rId6"/>
    <sheet name="расш МЗ 2024" sheetId="69" r:id="rId7"/>
    <sheet name="иные 2024" sheetId="70" r:id="rId8"/>
    <sheet name="ППД 2024" sheetId="71" r:id="rId9"/>
    <sheet name="МЗ 2025" sheetId="72" r:id="rId10"/>
    <sheet name="иные 2025" sheetId="73" r:id="rId11"/>
    <sheet name="ППД 2025" sheetId="74" r:id="rId12"/>
    <sheet name="МЗ 2017 (3)" sheetId="30" state="hidden" r:id="rId13"/>
  </sheets>
  <externalReferences>
    <externalReference r:id="rId14"/>
    <externalReference r:id="rId15"/>
  </externalReferences>
  <definedNames>
    <definedName name="_xlnm.Print_Area" localSheetId="4">'иные  2023'!$A$1:$J$221</definedName>
    <definedName name="_xlnm.Print_Area" localSheetId="12">'МЗ 2017 (3)'!$A$1:$J$324</definedName>
    <definedName name="_xlnm.Print_Area" localSheetId="3">'МЗ 2023'!$A$1:$J$482</definedName>
    <definedName name="_xlnm.Print_Area" localSheetId="5">'ППД 2023'!$A$1:$J$188</definedName>
    <definedName name="_xlnm.Print_Area" localSheetId="1">'Раздел 1'!$A$1:$H$94</definedName>
    <definedName name="_xlnm.Print_Area" localSheetId="2">'Раздел 2'!$A$1:$I$51</definedName>
    <definedName name="_xlnm.Print_Area" localSheetId="0">'Титул лист'!$A$1:$N$46</definedName>
  </definedNames>
  <calcPr calcId="162913" refMode="R1C1"/>
</workbook>
</file>

<file path=xl/calcChain.xml><?xml version="1.0" encoding="utf-8"?>
<calcChain xmlns="http://schemas.openxmlformats.org/spreadsheetml/2006/main">
  <c r="I10" i="67" l="1"/>
  <c r="H10" i="67"/>
  <c r="G10" i="67"/>
  <c r="E82" i="66" l="1"/>
  <c r="E15" i="66"/>
  <c r="O279" i="46" l="1"/>
  <c r="G23" i="67" l="1"/>
  <c r="I23" i="67"/>
  <c r="H23" i="67"/>
  <c r="I35" i="67"/>
  <c r="H35" i="67"/>
  <c r="G35" i="67"/>
  <c r="I350" i="74" l="1"/>
  <c r="I223" i="74"/>
  <c r="I220" i="74"/>
  <c r="I350" i="71"/>
  <c r="I223" i="71"/>
  <c r="I220" i="71"/>
  <c r="I351" i="47"/>
  <c r="I223" i="47"/>
  <c r="I220" i="47"/>
  <c r="I360" i="72" l="1"/>
  <c r="F36" i="72"/>
  <c r="C36" i="72"/>
  <c r="G35" i="72"/>
  <c r="D35" i="72" s="1"/>
  <c r="J35" i="72" s="1"/>
  <c r="E35" i="72"/>
  <c r="G34" i="72"/>
  <c r="D34" i="72" s="1"/>
  <c r="J34" i="72" s="1"/>
  <c r="E33" i="72"/>
  <c r="E32" i="72"/>
  <c r="E31" i="72"/>
  <c r="E30" i="72"/>
  <c r="E29" i="72"/>
  <c r="E28" i="72"/>
  <c r="E27" i="72"/>
  <c r="G26" i="72"/>
  <c r="D26" i="72"/>
  <c r="J26" i="72" s="1"/>
  <c r="G25" i="72"/>
  <c r="D25" i="72" s="1"/>
  <c r="J25" i="72" s="1"/>
  <c r="E24" i="72"/>
  <c r="G24" i="72" s="1"/>
  <c r="E35" i="69"/>
  <c r="G35" i="69" s="1"/>
  <c r="D35" i="69" s="1"/>
  <c r="J35" i="69" s="1"/>
  <c r="G34" i="69"/>
  <c r="D34" i="69" s="1"/>
  <c r="J34" i="69" s="1"/>
  <c r="E33" i="69"/>
  <c r="E32" i="69"/>
  <c r="E31" i="69"/>
  <c r="E30" i="69"/>
  <c r="E29" i="69"/>
  <c r="E28" i="69"/>
  <c r="E27" i="69"/>
  <c r="G26" i="69"/>
  <c r="D26" i="69"/>
  <c r="J26" i="69" s="1"/>
  <c r="G25" i="69"/>
  <c r="D25" i="69"/>
  <c r="J25" i="69" s="1"/>
  <c r="E24" i="69"/>
  <c r="G24" i="69" s="1"/>
  <c r="D24" i="69" s="1"/>
  <c r="J24" i="69" s="1"/>
  <c r="D24" i="72" l="1"/>
  <c r="E36" i="72"/>
  <c r="G27" i="72"/>
  <c r="D27" i="72" s="1"/>
  <c r="J27" i="72" s="1"/>
  <c r="G28" i="72"/>
  <c r="D28" i="72" s="1"/>
  <c r="J28" i="72" s="1"/>
  <c r="G29" i="72"/>
  <c r="D29" i="72" s="1"/>
  <c r="J29" i="72" s="1"/>
  <c r="G30" i="72"/>
  <c r="D30" i="72" s="1"/>
  <c r="J30" i="72" s="1"/>
  <c r="G31" i="72"/>
  <c r="D31" i="72" s="1"/>
  <c r="J31" i="72" s="1"/>
  <c r="G32" i="72"/>
  <c r="D32" i="72" s="1"/>
  <c r="J32" i="72" s="1"/>
  <c r="G33" i="72"/>
  <c r="D33" i="72" s="1"/>
  <c r="J33" i="72" s="1"/>
  <c r="D27" i="69"/>
  <c r="J27" i="69" s="1"/>
  <c r="G27" i="69"/>
  <c r="G28" i="69"/>
  <c r="D28" i="69" s="1"/>
  <c r="J28" i="69" s="1"/>
  <c r="G29" i="69"/>
  <c r="D29" i="69" s="1"/>
  <c r="J29" i="69" s="1"/>
  <c r="G30" i="69"/>
  <c r="D30" i="69" s="1"/>
  <c r="J30" i="69" s="1"/>
  <c r="G31" i="69"/>
  <c r="D31" i="69" s="1"/>
  <c r="J31" i="69" s="1"/>
  <c r="G32" i="69"/>
  <c r="D32" i="69" s="1"/>
  <c r="J32" i="69" s="1"/>
  <c r="G33" i="69"/>
  <c r="D33" i="69" s="1"/>
  <c r="J33" i="69" s="1"/>
  <c r="D36" i="72" l="1"/>
  <c r="J24" i="72"/>
  <c r="J36" i="72" s="1"/>
  <c r="G36" i="72"/>
  <c r="E30" i="46" l="1"/>
  <c r="E35" i="46"/>
  <c r="I360" i="46"/>
  <c r="I361" i="46"/>
  <c r="E32" i="46"/>
  <c r="I363" i="46"/>
  <c r="E28" i="46"/>
  <c r="C36" i="46"/>
  <c r="G34" i="46" l="1"/>
  <c r="Q36" i="46" l="1"/>
  <c r="J69" i="72" l="1"/>
  <c r="J69" i="69"/>
  <c r="L34" i="46"/>
  <c r="L36" i="46"/>
  <c r="C65" i="72" l="1"/>
  <c r="E64" i="72"/>
  <c r="G64" i="72" s="1"/>
  <c r="D64" i="72" s="1"/>
  <c r="J64" i="72" s="1"/>
  <c r="E63" i="72"/>
  <c r="G63" i="72" s="1"/>
  <c r="D63" i="72" s="1"/>
  <c r="J63" i="72" s="1"/>
  <c r="E62" i="72"/>
  <c r="G62" i="72" s="1"/>
  <c r="D62" i="72" s="1"/>
  <c r="J62" i="72" s="1"/>
  <c r="E61" i="72"/>
  <c r="G61" i="72" s="1"/>
  <c r="D61" i="72" s="1"/>
  <c r="J61" i="72" s="1"/>
  <c r="E60" i="72"/>
  <c r="G60" i="72" s="1"/>
  <c r="D60" i="72" s="1"/>
  <c r="J60" i="72" s="1"/>
  <c r="E59" i="72"/>
  <c r="G59" i="72" s="1"/>
  <c r="D59" i="72" s="1"/>
  <c r="J59" i="72" s="1"/>
  <c r="E58" i="72"/>
  <c r="G58" i="72" s="1"/>
  <c r="D58" i="72" s="1"/>
  <c r="C56" i="72"/>
  <c r="E55" i="72"/>
  <c r="G55" i="72" s="1"/>
  <c r="D55" i="72" s="1"/>
  <c r="J55" i="72" s="1"/>
  <c r="G54" i="72"/>
  <c r="D54" i="72" s="1"/>
  <c r="J54" i="72" s="1"/>
  <c r="E54" i="72"/>
  <c r="E53" i="72"/>
  <c r="G53" i="72" s="1"/>
  <c r="D53" i="72" s="1"/>
  <c r="F50" i="72"/>
  <c r="C50" i="72"/>
  <c r="E49" i="72"/>
  <c r="G49" i="72" s="1"/>
  <c r="D49" i="72" s="1"/>
  <c r="J49" i="72" s="1"/>
  <c r="E48" i="72"/>
  <c r="G48" i="72" s="1"/>
  <c r="D48" i="72" s="1"/>
  <c r="J48" i="72" s="1"/>
  <c r="E47" i="72"/>
  <c r="G47" i="72" s="1"/>
  <c r="D47" i="72" s="1"/>
  <c r="J47" i="72" s="1"/>
  <c r="E46" i="72"/>
  <c r="G46" i="72" s="1"/>
  <c r="D46" i="72" s="1"/>
  <c r="J46" i="72" s="1"/>
  <c r="E45" i="72"/>
  <c r="G45" i="72" s="1"/>
  <c r="D45" i="72" s="1"/>
  <c r="J45" i="72" s="1"/>
  <c r="E44" i="72"/>
  <c r="G44" i="72" s="1"/>
  <c r="D44" i="72" s="1"/>
  <c r="J44" i="72" s="1"/>
  <c r="E43" i="72"/>
  <c r="G43" i="72" s="1"/>
  <c r="D43" i="72" s="1"/>
  <c r="J43" i="72" s="1"/>
  <c r="E42" i="72"/>
  <c r="G42" i="72" s="1"/>
  <c r="D42" i="72" s="1"/>
  <c r="J42" i="72" s="1"/>
  <c r="E41" i="72"/>
  <c r="G41" i="72" s="1"/>
  <c r="D41" i="72" s="1"/>
  <c r="J41" i="72" s="1"/>
  <c r="E40" i="72"/>
  <c r="G40" i="72" s="1"/>
  <c r="D40" i="72" s="1"/>
  <c r="J40" i="72" s="1"/>
  <c r="E39" i="72"/>
  <c r="G39" i="72" s="1"/>
  <c r="D39" i="72" s="1"/>
  <c r="J39" i="72" s="1"/>
  <c r="E38" i="72"/>
  <c r="C51" i="72"/>
  <c r="C21" i="72"/>
  <c r="E20" i="72"/>
  <c r="E19" i="72"/>
  <c r="E18" i="72"/>
  <c r="E17" i="72"/>
  <c r="E16" i="72"/>
  <c r="E15" i="72"/>
  <c r="C65" i="69"/>
  <c r="E64" i="69"/>
  <c r="G64" i="69" s="1"/>
  <c r="D64" i="69" s="1"/>
  <c r="J64" i="69" s="1"/>
  <c r="J63" i="69"/>
  <c r="E63" i="69"/>
  <c r="G63" i="69" s="1"/>
  <c r="D63" i="69" s="1"/>
  <c r="E62" i="69"/>
  <c r="G62" i="69" s="1"/>
  <c r="D62" i="69" s="1"/>
  <c r="J62" i="69" s="1"/>
  <c r="E61" i="69"/>
  <c r="G61" i="69" s="1"/>
  <c r="D61" i="69" s="1"/>
  <c r="J61" i="69" s="1"/>
  <c r="E60" i="69"/>
  <c r="G60" i="69" s="1"/>
  <c r="D60" i="69" s="1"/>
  <c r="J60" i="69" s="1"/>
  <c r="E59" i="69"/>
  <c r="G59" i="69" s="1"/>
  <c r="D59" i="69" s="1"/>
  <c r="J59" i="69" s="1"/>
  <c r="E58" i="69"/>
  <c r="G58" i="69" s="1"/>
  <c r="D58" i="69" s="1"/>
  <c r="D65" i="69" s="1"/>
  <c r="C56" i="69"/>
  <c r="G55" i="69"/>
  <c r="D55" i="69" s="1"/>
  <c r="J55" i="69" s="1"/>
  <c r="E55" i="69"/>
  <c r="G54" i="69"/>
  <c r="D54" i="69" s="1"/>
  <c r="J54" i="69" s="1"/>
  <c r="E54" i="69"/>
  <c r="E53" i="69"/>
  <c r="G53" i="69" s="1"/>
  <c r="D53" i="69" s="1"/>
  <c r="F50" i="69"/>
  <c r="C50" i="69"/>
  <c r="E49" i="69"/>
  <c r="G49" i="69" s="1"/>
  <c r="D49" i="69" s="1"/>
  <c r="J49" i="69" s="1"/>
  <c r="E48" i="69"/>
  <c r="G48" i="69" s="1"/>
  <c r="D48" i="69" s="1"/>
  <c r="J48" i="69" s="1"/>
  <c r="E47" i="69"/>
  <c r="G47" i="69" s="1"/>
  <c r="D47" i="69" s="1"/>
  <c r="J47" i="69" s="1"/>
  <c r="E46" i="69"/>
  <c r="G46" i="69" s="1"/>
  <c r="D46" i="69" s="1"/>
  <c r="J46" i="69" s="1"/>
  <c r="E45" i="69"/>
  <c r="G45" i="69" s="1"/>
  <c r="D45" i="69" s="1"/>
  <c r="J45" i="69" s="1"/>
  <c r="E44" i="69"/>
  <c r="G44" i="69" s="1"/>
  <c r="D44" i="69" s="1"/>
  <c r="J44" i="69" s="1"/>
  <c r="E43" i="69"/>
  <c r="G43" i="69" s="1"/>
  <c r="D43" i="69" s="1"/>
  <c r="J43" i="69" s="1"/>
  <c r="E42" i="69"/>
  <c r="G42" i="69" s="1"/>
  <c r="D42" i="69" s="1"/>
  <c r="J42" i="69" s="1"/>
  <c r="E41" i="69"/>
  <c r="G41" i="69" s="1"/>
  <c r="D41" i="69" s="1"/>
  <c r="J41" i="69" s="1"/>
  <c r="E40" i="69"/>
  <c r="G40" i="69" s="1"/>
  <c r="D40" i="69" s="1"/>
  <c r="J40" i="69" s="1"/>
  <c r="E39" i="69"/>
  <c r="G39" i="69" s="1"/>
  <c r="D39" i="69" s="1"/>
  <c r="J39" i="69" s="1"/>
  <c r="E38" i="69"/>
  <c r="F36" i="69"/>
  <c r="C36" i="69"/>
  <c r="C51" i="69" s="1"/>
  <c r="C21" i="69"/>
  <c r="E20" i="69"/>
  <c r="G19" i="69"/>
  <c r="E19" i="69"/>
  <c r="E18" i="69"/>
  <c r="G17" i="69"/>
  <c r="E17" i="69"/>
  <c r="E16" i="69"/>
  <c r="G15" i="69"/>
  <c r="E15" i="69"/>
  <c r="G82" i="69"/>
  <c r="D82" i="69" s="1"/>
  <c r="G83" i="69"/>
  <c r="D83" i="69" s="1"/>
  <c r="J83" i="69" s="1"/>
  <c r="G84" i="69"/>
  <c r="D84" i="69" s="1"/>
  <c r="J84" i="69" s="1"/>
  <c r="D85" i="69"/>
  <c r="J85" i="69" s="1"/>
  <c r="G85" i="69"/>
  <c r="G86" i="69"/>
  <c r="D86" i="69" s="1"/>
  <c r="J86" i="69" s="1"/>
  <c r="C87" i="69"/>
  <c r="J92" i="69"/>
  <c r="E99" i="69"/>
  <c r="I100" i="69"/>
  <c r="I105" i="69"/>
  <c r="I116" i="69" s="1"/>
  <c r="I108" i="69"/>
  <c r="G32" i="46"/>
  <c r="C68" i="69" l="1"/>
  <c r="E50" i="69"/>
  <c r="E50" i="72"/>
  <c r="J58" i="72"/>
  <c r="J65" i="72" s="1"/>
  <c r="D65" i="72"/>
  <c r="D56" i="72"/>
  <c r="J53" i="72"/>
  <c r="J56" i="72" s="1"/>
  <c r="D17" i="72"/>
  <c r="J17" i="72" s="1"/>
  <c r="G17" i="72"/>
  <c r="G19" i="72"/>
  <c r="D19" i="72" s="1"/>
  <c r="J19" i="72" s="1"/>
  <c r="G15" i="72"/>
  <c r="D15" i="72" s="1"/>
  <c r="G16" i="72"/>
  <c r="D16" i="72" s="1"/>
  <c r="J16" i="72" s="1"/>
  <c r="G18" i="72"/>
  <c r="D18" i="72" s="1"/>
  <c r="J18" i="72" s="1"/>
  <c r="G20" i="72"/>
  <c r="D20" i="72" s="1"/>
  <c r="J20" i="72" s="1"/>
  <c r="G38" i="72"/>
  <c r="E36" i="69"/>
  <c r="G16" i="69"/>
  <c r="D16" i="69" s="1"/>
  <c r="J16" i="69" s="1"/>
  <c r="G18" i="69"/>
  <c r="D18" i="69" s="1"/>
  <c r="J18" i="69" s="1"/>
  <c r="G20" i="69"/>
  <c r="D20" i="69" s="1"/>
  <c r="J20" i="69" s="1"/>
  <c r="D56" i="69"/>
  <c r="J53" i="69"/>
  <c r="J56" i="69" s="1"/>
  <c r="J58" i="69"/>
  <c r="J65" i="69" s="1"/>
  <c r="D15" i="69"/>
  <c r="D17" i="69"/>
  <c r="J17" i="69" s="1"/>
  <c r="D19" i="69"/>
  <c r="J19" i="69" s="1"/>
  <c r="G36" i="69"/>
  <c r="G38" i="69"/>
  <c r="D87" i="69"/>
  <c r="D92" i="69" s="1"/>
  <c r="J82" i="69"/>
  <c r="J87" i="69" s="1"/>
  <c r="G50" i="72" l="1"/>
  <c r="D38" i="72"/>
  <c r="J15" i="72"/>
  <c r="J21" i="72" s="1"/>
  <c r="D21" i="72"/>
  <c r="G50" i="69"/>
  <c r="D38" i="69"/>
  <c r="D36" i="69"/>
  <c r="J36" i="69"/>
  <c r="J15" i="69"/>
  <c r="J21" i="69" s="1"/>
  <c r="D21" i="69"/>
  <c r="K50" i="46"/>
  <c r="D50" i="72" l="1"/>
  <c r="J38" i="72"/>
  <c r="J50" i="72" s="1"/>
  <c r="J51" i="72" s="1"/>
  <c r="D51" i="72"/>
  <c r="D50" i="69"/>
  <c r="D51" i="69" s="1"/>
  <c r="D68" i="69" s="1"/>
  <c r="J38" i="69"/>
  <c r="J50" i="69" s="1"/>
  <c r="J51" i="69" s="1"/>
  <c r="J68" i="69" s="1"/>
  <c r="J72" i="69" s="1"/>
  <c r="I256" i="46"/>
  <c r="I283" i="46"/>
  <c r="I294" i="46"/>
  <c r="J93" i="69" l="1"/>
  <c r="I258" i="72"/>
  <c r="I256" i="72"/>
  <c r="I255" i="72"/>
  <c r="I260" i="72"/>
  <c r="I222" i="71"/>
  <c r="I219" i="71"/>
  <c r="I217" i="71"/>
  <c r="I258" i="69"/>
  <c r="I256" i="69"/>
  <c r="I260" i="69"/>
  <c r="I233" i="69"/>
  <c r="I248" i="69"/>
  <c r="I243" i="69"/>
  <c r="I242" i="69"/>
  <c r="I239" i="69"/>
  <c r="I238" i="69"/>
  <c r="I235" i="69"/>
  <c r="I234" i="69"/>
  <c r="I230" i="69"/>
  <c r="I231" i="69"/>
  <c r="I222" i="47"/>
  <c r="I107" i="72" l="1"/>
  <c r="I107" i="46" l="1"/>
  <c r="I260" i="46"/>
  <c r="I259" i="46"/>
  <c r="I255" i="46"/>
  <c r="I231" i="46"/>
  <c r="I242" i="46"/>
  <c r="I238" i="46"/>
  <c r="I234" i="46"/>
  <c r="I230" i="46"/>
  <c r="I243" i="46"/>
  <c r="I108" i="46"/>
  <c r="G82" i="66" l="1"/>
  <c r="G42" i="66"/>
  <c r="F42" i="66"/>
  <c r="F82" i="66"/>
  <c r="G44" i="66" l="1"/>
  <c r="G40" i="66"/>
  <c r="G38" i="66" s="1"/>
  <c r="G43" i="66"/>
  <c r="F38" i="66"/>
  <c r="E38" i="66"/>
  <c r="F54" i="66"/>
  <c r="G54" i="66"/>
  <c r="E57" i="66"/>
  <c r="F44" i="66"/>
  <c r="F43" i="66"/>
  <c r="F40" i="66"/>
  <c r="G15" i="66"/>
  <c r="G24" i="66"/>
  <c r="F24" i="66"/>
  <c r="F15" i="66"/>
  <c r="E42" i="66"/>
  <c r="J311" i="46"/>
  <c r="N108" i="46"/>
  <c r="N107" i="46"/>
  <c r="I222" i="74"/>
  <c r="I219" i="74"/>
  <c r="I217" i="74"/>
  <c r="I216" i="74"/>
  <c r="E45" i="66"/>
  <c r="E44" i="66"/>
  <c r="E43" i="66"/>
  <c r="E40" i="66"/>
  <c r="E64" i="66" l="1"/>
  <c r="E24" i="66" l="1"/>
  <c r="E23" i="66" s="1"/>
  <c r="A3" i="66" l="1"/>
  <c r="J34" i="67"/>
  <c r="I34" i="67"/>
  <c r="H34" i="67"/>
  <c r="G34" i="67"/>
  <c r="J30" i="67"/>
  <c r="I30" i="67"/>
  <c r="H30" i="67"/>
  <c r="G30" i="67"/>
  <c r="J22" i="67"/>
  <c r="I22" i="67"/>
  <c r="H22" i="67"/>
  <c r="G22" i="67"/>
  <c r="J17" i="67"/>
  <c r="M6" i="67"/>
  <c r="L6" i="67"/>
  <c r="K6" i="67"/>
  <c r="I2" i="67"/>
  <c r="H2" i="67"/>
  <c r="G2" i="67"/>
  <c r="E88" i="66"/>
  <c r="F78" i="66"/>
  <c r="F37" i="66" s="1"/>
  <c r="E78" i="66"/>
  <c r="H78" i="66"/>
  <c r="G78" i="66"/>
  <c r="G63" i="66"/>
  <c r="F63" i="66"/>
  <c r="E63" i="66"/>
  <c r="H54" i="66"/>
  <c r="E54" i="66"/>
  <c r="L16" i="66"/>
  <c r="H33" i="66"/>
  <c r="G33" i="66"/>
  <c r="F33" i="66"/>
  <c r="E33" i="66"/>
  <c r="H27" i="66"/>
  <c r="G27" i="66"/>
  <c r="F27" i="66"/>
  <c r="E27" i="66"/>
  <c r="H23" i="66"/>
  <c r="G23" i="66"/>
  <c r="F23" i="66"/>
  <c r="O23" i="66"/>
  <c r="H20" i="66"/>
  <c r="G20" i="66"/>
  <c r="F20" i="66"/>
  <c r="E20" i="66"/>
  <c r="G14" i="66"/>
  <c r="G9" i="66" s="1"/>
  <c r="H14" i="66"/>
  <c r="F14" i="66"/>
  <c r="E14" i="66"/>
  <c r="G10" i="66"/>
  <c r="F10" i="66"/>
  <c r="E10" i="66"/>
  <c r="A2" i="66"/>
  <c r="E37" i="66" l="1"/>
  <c r="J16" i="67"/>
  <c r="J42" i="67" s="1"/>
  <c r="F9" i="66"/>
  <c r="H9" i="66"/>
  <c r="H8" i="66" s="1"/>
  <c r="G19" i="67"/>
  <c r="G17" i="67" s="1"/>
  <c r="G16" i="67" s="1"/>
  <c r="G6" i="67" s="1"/>
  <c r="Q4" i="67" s="1"/>
  <c r="I19" i="67"/>
  <c r="I17" i="67" s="1"/>
  <c r="I16" i="67" s="1"/>
  <c r="I6" i="67" s="1"/>
  <c r="S4" i="67" s="1"/>
  <c r="G37" i="66"/>
  <c r="G8" i="66" s="1"/>
  <c r="E9" i="66"/>
  <c r="J43" i="67"/>
  <c r="J41" i="67"/>
  <c r="J6" i="67"/>
  <c r="H19" i="67"/>
  <c r="H17" i="67" s="1"/>
  <c r="H16" i="67" s="1"/>
  <c r="F8" i="66"/>
  <c r="G41" i="67" l="1"/>
  <c r="G40" i="67" s="1"/>
  <c r="I43" i="67"/>
  <c r="I40" i="67" s="1"/>
  <c r="E8" i="66"/>
  <c r="H42" i="67"/>
  <c r="H40" i="67" s="1"/>
  <c r="H6" i="67"/>
  <c r="R4" i="67" s="1"/>
  <c r="I231" i="72" l="1"/>
  <c r="I235" i="72"/>
  <c r="I239" i="72"/>
  <c r="I243" i="72"/>
  <c r="I248" i="72"/>
  <c r="I283" i="72"/>
  <c r="J307" i="72"/>
  <c r="J333" i="72"/>
  <c r="J329" i="72"/>
  <c r="J328" i="72" s="1"/>
  <c r="J338" i="72"/>
  <c r="I283" i="69"/>
  <c r="I323" i="69"/>
  <c r="J329" i="69"/>
  <c r="J333" i="69"/>
  <c r="I471" i="72"/>
  <c r="I470" i="72"/>
  <c r="L468" i="72"/>
  <c r="J461" i="72"/>
  <c r="J460" i="72"/>
  <c r="G462" i="72" s="1"/>
  <c r="I451" i="72"/>
  <c r="I445" i="72"/>
  <c r="I443" i="72"/>
  <c r="I441" i="72"/>
  <c r="I438" i="72"/>
  <c r="I436" i="72"/>
  <c r="I427" i="72"/>
  <c r="I428" i="72" s="1"/>
  <c r="I420" i="72"/>
  <c r="I423" i="72" s="1"/>
  <c r="I413" i="72"/>
  <c r="I416" i="72" s="1"/>
  <c r="I406" i="72"/>
  <c r="I409" i="72" s="1"/>
  <c r="I399" i="72"/>
  <c r="I402" i="72" s="1"/>
  <c r="I393" i="72"/>
  <c r="I392" i="72"/>
  <c r="I391" i="72"/>
  <c r="I390" i="72"/>
  <c r="I389" i="72"/>
  <c r="I388" i="72"/>
  <c r="I387" i="72"/>
  <c r="I386" i="72"/>
  <c r="I385" i="72"/>
  <c r="I384" i="72"/>
  <c r="I380" i="72"/>
  <c r="I379" i="72"/>
  <c r="I378" i="72"/>
  <c r="I377" i="72"/>
  <c r="I376" i="72"/>
  <c r="I375" i="72"/>
  <c r="I374" i="72"/>
  <c r="I373" i="72"/>
  <c r="I372" i="72"/>
  <c r="I371" i="72"/>
  <c r="I370" i="72"/>
  <c r="I369" i="72"/>
  <c r="I368" i="72"/>
  <c r="I367" i="72"/>
  <c r="I359" i="72"/>
  <c r="I394" i="72" s="1"/>
  <c r="I357" i="72"/>
  <c r="I352" i="72"/>
  <c r="I353" i="72" s="1"/>
  <c r="J343" i="72"/>
  <c r="J342" i="72"/>
  <c r="J341" i="72" s="1"/>
  <c r="I472" i="72" s="1"/>
  <c r="J337" i="72"/>
  <c r="N335" i="72"/>
  <c r="J332" i="72"/>
  <c r="J327" i="72"/>
  <c r="J326" i="72"/>
  <c r="J325" i="72"/>
  <c r="J324" i="72"/>
  <c r="J323" i="72"/>
  <c r="J322" i="72"/>
  <c r="J321" i="72"/>
  <c r="J320" i="72"/>
  <c r="J319" i="72"/>
  <c r="J318" i="72"/>
  <c r="J317" i="72"/>
  <c r="J316" i="72"/>
  <c r="J315" i="72"/>
  <c r="J314" i="72"/>
  <c r="J313" i="72"/>
  <c r="J310" i="72"/>
  <c r="J309" i="72"/>
  <c r="J308" i="72"/>
  <c r="J306" i="72" s="1"/>
  <c r="J300" i="72"/>
  <c r="J298" i="72"/>
  <c r="J297" i="72"/>
  <c r="J296" i="72"/>
  <c r="J295" i="72"/>
  <c r="J294" i="72"/>
  <c r="J293" i="72"/>
  <c r="J291" i="72"/>
  <c r="J290" i="72"/>
  <c r="J289" i="72"/>
  <c r="J288" i="72"/>
  <c r="J287" i="72"/>
  <c r="J285" i="72"/>
  <c r="J284" i="72"/>
  <c r="J283" i="72"/>
  <c r="J282" i="72"/>
  <c r="J280" i="72"/>
  <c r="J279" i="72"/>
  <c r="I278" i="72"/>
  <c r="J278" i="72" s="1"/>
  <c r="I277" i="72"/>
  <c r="J277" i="72" s="1"/>
  <c r="J273" i="72"/>
  <c r="I259" i="72"/>
  <c r="H257" i="72"/>
  <c r="E257" i="72"/>
  <c r="O258" i="72" s="1"/>
  <c r="I254" i="72"/>
  <c r="M254" i="72" s="1"/>
  <c r="H253" i="72"/>
  <c r="E253" i="72"/>
  <c r="O254" i="72" s="1"/>
  <c r="E247" i="72"/>
  <c r="I247" i="72" s="1"/>
  <c r="I246" i="72"/>
  <c r="E245" i="72"/>
  <c r="O246" i="72" s="1"/>
  <c r="I244" i="72"/>
  <c r="I242" i="72"/>
  <c r="I241" i="72"/>
  <c r="I240" i="72" s="1"/>
  <c r="H240" i="72"/>
  <c r="E240" i="72"/>
  <c r="O242" i="72" s="1"/>
  <c r="I238" i="72"/>
  <c r="I237" i="72"/>
  <c r="H236" i="72"/>
  <c r="E236" i="72"/>
  <c r="O238" i="72" s="1"/>
  <c r="O234" i="72"/>
  <c r="I234" i="72"/>
  <c r="I233" i="72"/>
  <c r="H232" i="72"/>
  <c r="E232" i="72"/>
  <c r="H231" i="72"/>
  <c r="I230" i="72"/>
  <c r="H230" i="72"/>
  <c r="I229" i="72"/>
  <c r="H229" i="72"/>
  <c r="H228" i="72"/>
  <c r="E228" i="72"/>
  <c r="O230" i="72" s="1"/>
  <c r="I223" i="72"/>
  <c r="I224" i="72" s="1"/>
  <c r="I216" i="72"/>
  <c r="I218" i="72" s="1"/>
  <c r="I211" i="72"/>
  <c r="E203" i="72"/>
  <c r="I203" i="72" s="1"/>
  <c r="I204" i="72" s="1"/>
  <c r="I187" i="72"/>
  <c r="K182" i="72"/>
  <c r="I173" i="72"/>
  <c r="I176" i="72" s="1"/>
  <c r="I468" i="72" s="1"/>
  <c r="I167" i="72"/>
  <c r="I128" i="72"/>
  <c r="I121" i="72"/>
  <c r="I110" i="72"/>
  <c r="I105" i="72"/>
  <c r="I100" i="72"/>
  <c r="E99" i="72"/>
  <c r="J92" i="72"/>
  <c r="C87" i="72"/>
  <c r="G86" i="72"/>
  <c r="D86" i="72" s="1"/>
  <c r="J86" i="72" s="1"/>
  <c r="G85" i="72"/>
  <c r="D85" i="72" s="1"/>
  <c r="J85" i="72" s="1"/>
  <c r="G84" i="72"/>
  <c r="D84" i="72" s="1"/>
  <c r="J84" i="72" s="1"/>
  <c r="G83" i="72"/>
  <c r="D83" i="72" s="1"/>
  <c r="J83" i="72" s="1"/>
  <c r="G82" i="72"/>
  <c r="D82" i="72" s="1"/>
  <c r="I471" i="69"/>
  <c r="I470" i="69"/>
  <c r="L468" i="69"/>
  <c r="G462" i="69"/>
  <c r="J461" i="69"/>
  <c r="J460" i="69"/>
  <c r="I451" i="69"/>
  <c r="I445" i="69"/>
  <c r="I443" i="69"/>
  <c r="I441" i="69"/>
  <c r="I438" i="69"/>
  <c r="I436" i="69"/>
  <c r="I433" i="69" s="1"/>
  <c r="I428" i="69"/>
  <c r="I420" i="69"/>
  <c r="I423" i="69" s="1"/>
  <c r="I416" i="69"/>
  <c r="I413" i="69"/>
  <c r="I406" i="69"/>
  <c r="I409" i="69" s="1"/>
  <c r="I399" i="69"/>
  <c r="I402" i="69" s="1"/>
  <c r="I393" i="69"/>
  <c r="I392" i="69"/>
  <c r="I391" i="69"/>
  <c r="I390" i="69"/>
  <c r="I389" i="69"/>
  <c r="I388" i="69"/>
  <c r="I387" i="69"/>
  <c r="I386" i="69"/>
  <c r="I385" i="69"/>
  <c r="I384" i="69"/>
  <c r="I380" i="69"/>
  <c r="I379" i="69"/>
  <c r="I378" i="69"/>
  <c r="I377" i="69"/>
  <c r="I376" i="69"/>
  <c r="I375" i="69"/>
  <c r="I374" i="69"/>
  <c r="I373" i="69"/>
  <c r="I372" i="69"/>
  <c r="I371" i="69"/>
  <c r="I370" i="69"/>
  <c r="I369" i="69"/>
  <c r="I368" i="69"/>
  <c r="I367" i="69"/>
  <c r="I359" i="69"/>
  <c r="I394" i="69" s="1"/>
  <c r="I357" i="69"/>
  <c r="I352" i="69"/>
  <c r="I353" i="69" s="1"/>
  <c r="J343" i="69"/>
  <c r="J342" i="69"/>
  <c r="J341" i="69" s="1"/>
  <c r="J337" i="69"/>
  <c r="J336" i="69" s="1"/>
  <c r="N335" i="69"/>
  <c r="J332" i="69"/>
  <c r="J328" i="69"/>
  <c r="I474" i="69" s="1"/>
  <c r="J327" i="69"/>
  <c r="J326" i="69"/>
  <c r="J325" i="69"/>
  <c r="J324" i="69"/>
  <c r="J323" i="69"/>
  <c r="J322" i="69"/>
  <c r="J321" i="69"/>
  <c r="J320" i="69"/>
  <c r="J319" i="69"/>
  <c r="J318" i="69"/>
  <c r="J317" i="69"/>
  <c r="J316" i="69"/>
  <c r="J315" i="69"/>
  <c r="J314" i="69"/>
  <c r="J313" i="69"/>
  <c r="J310" i="69"/>
  <c r="J309" i="69"/>
  <c r="J308" i="69"/>
  <c r="J307" i="69"/>
  <c r="J306" i="69" s="1"/>
  <c r="J300" i="69"/>
  <c r="J298" i="69"/>
  <c r="J297" i="69"/>
  <c r="J296" i="69"/>
  <c r="J295" i="69"/>
  <c r="J294" i="69"/>
  <c r="J293" i="69"/>
  <c r="J291" i="69"/>
  <c r="J290" i="69"/>
  <c r="J289" i="69"/>
  <c r="J288" i="69"/>
  <c r="J287" i="69"/>
  <c r="J285" i="69"/>
  <c r="J284" i="69"/>
  <c r="J283" i="69"/>
  <c r="J282" i="69"/>
  <c r="J280" i="69"/>
  <c r="J279" i="69"/>
  <c r="J278" i="69"/>
  <c r="I278" i="69"/>
  <c r="I277" i="69"/>
  <c r="J277" i="69" s="1"/>
  <c r="J273" i="69"/>
  <c r="I259" i="69"/>
  <c r="H257" i="69"/>
  <c r="E257" i="69"/>
  <c r="O258" i="69" s="1"/>
  <c r="I255" i="69"/>
  <c r="I254" i="69"/>
  <c r="H253" i="69"/>
  <c r="E253" i="69"/>
  <c r="O254" i="69" s="1"/>
  <c r="E247" i="69"/>
  <c r="I247" i="69" s="1"/>
  <c r="I246" i="69"/>
  <c r="I244" i="69"/>
  <c r="I241" i="69"/>
  <c r="H240" i="69"/>
  <c r="E240" i="69"/>
  <c r="O242" i="69" s="1"/>
  <c r="I237" i="69"/>
  <c r="H236" i="69"/>
  <c r="E236" i="69"/>
  <c r="O238" i="69" s="1"/>
  <c r="H232" i="69"/>
  <c r="E232" i="69"/>
  <c r="O234" i="69" s="1"/>
  <c r="H231" i="69"/>
  <c r="H230" i="69"/>
  <c r="I229" i="69"/>
  <c r="H229" i="69"/>
  <c r="H228" i="69"/>
  <c r="E228" i="69"/>
  <c r="O230" i="69" s="1"/>
  <c r="I223" i="69"/>
  <c r="I224" i="69" s="1"/>
  <c r="I216" i="69"/>
  <c r="I211" i="69"/>
  <c r="I218" i="69" s="1"/>
  <c r="E203" i="69"/>
  <c r="I203" i="69" s="1"/>
  <c r="I187" i="69"/>
  <c r="K182" i="69"/>
  <c r="I173" i="69"/>
  <c r="I176" i="69" s="1"/>
  <c r="I167" i="69"/>
  <c r="I128" i="69"/>
  <c r="I121" i="69"/>
  <c r="E245" i="69" l="1"/>
  <c r="O246" i="69" s="1"/>
  <c r="I472" i="69"/>
  <c r="G301" i="69"/>
  <c r="J336" i="72"/>
  <c r="I240" i="69"/>
  <c r="I236" i="69"/>
  <c r="O261" i="72"/>
  <c r="O261" i="69"/>
  <c r="I257" i="72"/>
  <c r="I474" i="72"/>
  <c r="L480" i="72" s="1"/>
  <c r="L328" i="72"/>
  <c r="G348" i="72"/>
  <c r="I257" i="69"/>
  <c r="I454" i="69"/>
  <c r="I116" i="72"/>
  <c r="I253" i="72"/>
  <c r="I236" i="72"/>
  <c r="I232" i="72"/>
  <c r="I228" i="72"/>
  <c r="I245" i="69"/>
  <c r="I253" i="69"/>
  <c r="I261" i="69" s="1"/>
  <c r="M254" i="69"/>
  <c r="L237" i="69"/>
  <c r="I232" i="69"/>
  <c r="I228" i="69"/>
  <c r="J82" i="72"/>
  <c r="J87" i="72" s="1"/>
  <c r="D87" i="72"/>
  <c r="D92" i="72" s="1"/>
  <c r="C68" i="72"/>
  <c r="G143" i="72"/>
  <c r="O249" i="72"/>
  <c r="L229" i="72"/>
  <c r="L237" i="72"/>
  <c r="I245" i="72"/>
  <c r="M468" i="72"/>
  <c r="G301" i="72"/>
  <c r="I433" i="72"/>
  <c r="I454" i="72" s="1"/>
  <c r="I469" i="72"/>
  <c r="I204" i="69"/>
  <c r="I469" i="69"/>
  <c r="O249" i="69"/>
  <c r="G348" i="69"/>
  <c r="G143" i="69"/>
  <c r="L229" i="69"/>
  <c r="L328" i="69"/>
  <c r="I468" i="69"/>
  <c r="I261" i="72" l="1"/>
  <c r="L474" i="72"/>
  <c r="I249" i="72"/>
  <c r="I249" i="69"/>
  <c r="I262" i="69" s="1"/>
  <c r="G153" i="72"/>
  <c r="I153" i="72" s="1"/>
  <c r="G148" i="72"/>
  <c r="I148" i="72" s="1"/>
  <c r="G150" i="72"/>
  <c r="I150" i="72" s="1"/>
  <c r="I143" i="72"/>
  <c r="I141" i="72" s="1"/>
  <c r="L480" i="69"/>
  <c r="M468" i="69"/>
  <c r="G153" i="69"/>
  <c r="I153" i="69" s="1"/>
  <c r="G148" i="69"/>
  <c r="I148" i="69" s="1"/>
  <c r="I146" i="69" s="1"/>
  <c r="G150" i="69"/>
  <c r="I150" i="69" s="1"/>
  <c r="I143" i="69"/>
  <c r="I141" i="69" s="1"/>
  <c r="L474" i="69"/>
  <c r="K464" i="72" l="1"/>
  <c r="I262" i="72"/>
  <c r="I466" i="69"/>
  <c r="I466" i="72"/>
  <c r="K464" i="69"/>
  <c r="I146" i="72"/>
  <c r="I154" i="72" s="1"/>
  <c r="I473" i="72" s="1"/>
  <c r="I154" i="69"/>
  <c r="I473" i="69" s="1"/>
  <c r="M36" i="69"/>
  <c r="M36" i="72" l="1"/>
  <c r="J68" i="72"/>
  <c r="J72" i="72" s="1"/>
  <c r="D68" i="72"/>
  <c r="K69" i="69"/>
  <c r="K69" i="72" l="1"/>
  <c r="N72" i="69"/>
  <c r="L93" i="69"/>
  <c r="G127" i="69"/>
  <c r="G127" i="72" l="1"/>
  <c r="L93" i="72"/>
  <c r="N72" i="72"/>
  <c r="J93" i="72"/>
  <c r="G137" i="69"/>
  <c r="I137" i="69" s="1"/>
  <c r="G132" i="69"/>
  <c r="I132" i="69" s="1"/>
  <c r="G134" i="69"/>
  <c r="I134" i="69" s="1"/>
  <c r="I127" i="69"/>
  <c r="I125" i="69" s="1"/>
  <c r="I130" i="69" l="1"/>
  <c r="I138" i="69" s="1"/>
  <c r="L138" i="69" s="1"/>
  <c r="G132" i="72"/>
  <c r="I132" i="72" s="1"/>
  <c r="G137" i="72"/>
  <c r="I137" i="72" s="1"/>
  <c r="G134" i="72"/>
  <c r="I134" i="72" s="1"/>
  <c r="I127" i="72"/>
  <c r="I125" i="72" s="1"/>
  <c r="I130" i="72" l="1"/>
  <c r="I138" i="72" s="1"/>
  <c r="L138" i="72" s="1"/>
  <c r="I157" i="69"/>
  <c r="I464" i="69" s="1"/>
  <c r="I467" i="69"/>
  <c r="L464" i="69" s="1"/>
  <c r="I157" i="72" l="1"/>
  <c r="I464" i="72" s="1"/>
  <c r="I467" i="72"/>
  <c r="L464" i="72" s="1"/>
  <c r="J379" i="74" l="1"/>
  <c r="J378" i="74"/>
  <c r="G380" i="74" s="1"/>
  <c r="I369" i="74"/>
  <c r="I361" i="74"/>
  <c r="I355" i="74"/>
  <c r="I349" i="74"/>
  <c r="I343" i="74"/>
  <c r="I336" i="74"/>
  <c r="I339" i="74" s="1"/>
  <c r="I329" i="74"/>
  <c r="I332" i="74" s="1"/>
  <c r="I322" i="74"/>
  <c r="I325" i="74" s="1"/>
  <c r="I315" i="74"/>
  <c r="I318" i="74" s="1"/>
  <c r="I305" i="74"/>
  <c r="I300" i="74"/>
  <c r="I298" i="74"/>
  <c r="I294" i="74"/>
  <c r="J284" i="74"/>
  <c r="J282" i="74"/>
  <c r="J279" i="74"/>
  <c r="J277" i="74"/>
  <c r="J275" i="74"/>
  <c r="J262" i="74"/>
  <c r="J259" i="74"/>
  <c r="G289" i="74" s="1"/>
  <c r="G254" i="74"/>
  <c r="J240" i="74"/>
  <c r="J239" i="74"/>
  <c r="J237" i="74"/>
  <c r="I226" i="74"/>
  <c r="I225" i="74"/>
  <c r="I224" i="74"/>
  <c r="E224" i="74"/>
  <c r="I221" i="74"/>
  <c r="H221" i="74"/>
  <c r="E221" i="74"/>
  <c r="H218" i="74"/>
  <c r="E218" i="74"/>
  <c r="H215" i="74"/>
  <c r="E215" i="74"/>
  <c r="I214" i="74"/>
  <c r="I213" i="74"/>
  <c r="I212" i="74" s="1"/>
  <c r="H212" i="74"/>
  <c r="E212" i="74"/>
  <c r="I211" i="74"/>
  <c r="I210" i="74"/>
  <c r="I209" i="74"/>
  <c r="H209" i="74"/>
  <c r="E209" i="74"/>
  <c r="I208" i="74"/>
  <c r="I207" i="74"/>
  <c r="I206" i="74" s="1"/>
  <c r="H206" i="74"/>
  <c r="E206" i="74"/>
  <c r="I201" i="74"/>
  <c r="I202" i="74" s="1"/>
  <c r="I194" i="74"/>
  <c r="I189" i="74"/>
  <c r="I196" i="74" s="1"/>
  <c r="I182" i="74"/>
  <c r="I166" i="74"/>
  <c r="I155" i="74"/>
  <c r="G132" i="74"/>
  <c r="G142" i="74" s="1"/>
  <c r="I142" i="74" s="1"/>
  <c r="I117" i="74"/>
  <c r="I109" i="74"/>
  <c r="I110" i="74" s="1"/>
  <c r="I99" i="74"/>
  <c r="I105" i="74" s="1"/>
  <c r="J94" i="74"/>
  <c r="E93" i="74"/>
  <c r="E92" i="74"/>
  <c r="C81" i="74"/>
  <c r="G80" i="74"/>
  <c r="D80" i="74" s="1"/>
  <c r="J80" i="74" s="1"/>
  <c r="G79" i="74"/>
  <c r="D79" i="74"/>
  <c r="J79" i="74" s="1"/>
  <c r="G78" i="74"/>
  <c r="D78" i="74" s="1"/>
  <c r="J78" i="74" s="1"/>
  <c r="G77" i="74"/>
  <c r="D77" i="74" s="1"/>
  <c r="J77" i="74" s="1"/>
  <c r="G76" i="74"/>
  <c r="D76" i="74" s="1"/>
  <c r="C64" i="74"/>
  <c r="G63" i="74"/>
  <c r="D63" i="74" s="1"/>
  <c r="J63" i="74" s="1"/>
  <c r="G62" i="74"/>
  <c r="D62" i="74"/>
  <c r="J62" i="74" s="1"/>
  <c r="G61" i="74"/>
  <c r="D61" i="74" s="1"/>
  <c r="J61" i="74" s="1"/>
  <c r="G60" i="74"/>
  <c r="D60" i="74" s="1"/>
  <c r="J60" i="74" s="1"/>
  <c r="G59" i="74"/>
  <c r="D59" i="74" s="1"/>
  <c r="J59" i="74" s="1"/>
  <c r="G58" i="74"/>
  <c r="D58" i="74"/>
  <c r="J58" i="74" s="1"/>
  <c r="D57" i="74"/>
  <c r="C55" i="74"/>
  <c r="G54" i="74"/>
  <c r="D54" i="74" s="1"/>
  <c r="J54" i="74" s="1"/>
  <c r="D53" i="74"/>
  <c r="J53" i="74" s="1"/>
  <c r="G52" i="74"/>
  <c r="D52" i="74"/>
  <c r="F49" i="74"/>
  <c r="E49" i="74"/>
  <c r="C49" i="74"/>
  <c r="G48" i="74"/>
  <c r="D48" i="74" s="1"/>
  <c r="J48" i="74" s="1"/>
  <c r="G47" i="74"/>
  <c r="D47" i="74" s="1"/>
  <c r="J47" i="74" s="1"/>
  <c r="G46" i="74"/>
  <c r="D46" i="74" s="1"/>
  <c r="J46" i="74" s="1"/>
  <c r="G45" i="74"/>
  <c r="D45" i="74"/>
  <c r="J45" i="74" s="1"/>
  <c r="G44" i="74"/>
  <c r="D44" i="74" s="1"/>
  <c r="J44" i="74" s="1"/>
  <c r="G43" i="74"/>
  <c r="D43" i="74" s="1"/>
  <c r="J43" i="74" s="1"/>
  <c r="G42" i="74"/>
  <c r="D42" i="74" s="1"/>
  <c r="J42" i="74" s="1"/>
  <c r="G41" i="74"/>
  <c r="D41" i="74" s="1"/>
  <c r="J41" i="74" s="1"/>
  <c r="G40" i="74"/>
  <c r="D40" i="74"/>
  <c r="J40" i="74" s="1"/>
  <c r="G39" i="74"/>
  <c r="D39" i="74"/>
  <c r="J39" i="74" s="1"/>
  <c r="G38" i="74"/>
  <c r="D38" i="74" s="1"/>
  <c r="J37" i="74"/>
  <c r="G37" i="74"/>
  <c r="F35" i="74"/>
  <c r="E35" i="74"/>
  <c r="C35" i="74"/>
  <c r="C50" i="74" s="1"/>
  <c r="G34" i="74"/>
  <c r="D34" i="74"/>
  <c r="J34" i="74" s="1"/>
  <c r="D33" i="74"/>
  <c r="J33" i="74" s="1"/>
  <c r="G32" i="74"/>
  <c r="D32" i="74" s="1"/>
  <c r="J32" i="74" s="1"/>
  <c r="G31" i="74"/>
  <c r="D31" i="74"/>
  <c r="J31" i="74" s="1"/>
  <c r="G30" i="74"/>
  <c r="D30" i="74"/>
  <c r="J30" i="74" s="1"/>
  <c r="D29" i="74"/>
  <c r="J29" i="74" s="1"/>
  <c r="G28" i="74"/>
  <c r="D28" i="74" s="1"/>
  <c r="J28" i="74" s="1"/>
  <c r="G27" i="74"/>
  <c r="D27" i="74"/>
  <c r="J27" i="74" s="1"/>
  <c r="G26" i="74"/>
  <c r="D26" i="74" s="1"/>
  <c r="J26" i="74" s="1"/>
  <c r="D25" i="74"/>
  <c r="J25" i="74" s="1"/>
  <c r="G24" i="74"/>
  <c r="D24" i="74"/>
  <c r="J24" i="74" s="1"/>
  <c r="C21" i="74"/>
  <c r="C66" i="74" s="1"/>
  <c r="D20" i="74"/>
  <c r="J20" i="74" s="1"/>
  <c r="J19" i="74"/>
  <c r="G19" i="74"/>
  <c r="L18" i="74"/>
  <c r="J18" i="74"/>
  <c r="G18" i="74"/>
  <c r="J17" i="74"/>
  <c r="G17" i="74"/>
  <c r="J16" i="74"/>
  <c r="D16" i="74"/>
  <c r="D15" i="74"/>
  <c r="J15" i="74" s="1"/>
  <c r="I416" i="73"/>
  <c r="I411" i="73"/>
  <c r="I409" i="73"/>
  <c r="G405" i="73"/>
  <c r="J404" i="73"/>
  <c r="J403" i="73"/>
  <c r="I396" i="73"/>
  <c r="I385" i="73"/>
  <c r="I418" i="73" s="1"/>
  <c r="I382" i="73"/>
  <c r="I379" i="73"/>
  <c r="I376" i="73"/>
  <c r="I377" i="73" s="1"/>
  <c r="I366" i="73"/>
  <c r="I367" i="73" s="1"/>
  <c r="I360" i="73"/>
  <c r="I350" i="73"/>
  <c r="I353" i="73" s="1"/>
  <c r="I343" i="73"/>
  <c r="I346" i="73" s="1"/>
  <c r="I337" i="73"/>
  <c r="I339" i="73" s="1"/>
  <c r="I328" i="73"/>
  <c r="I332" i="73" s="1"/>
  <c r="I311" i="73"/>
  <c r="I310" i="73"/>
  <c r="I307" i="73"/>
  <c r="I303" i="73"/>
  <c r="J289" i="73"/>
  <c r="J287" i="73"/>
  <c r="J284" i="73"/>
  <c r="I277" i="73"/>
  <c r="J277" i="73" s="1"/>
  <c r="J276" i="73"/>
  <c r="J275" i="73"/>
  <c r="J274" i="73"/>
  <c r="J272" i="73"/>
  <c r="J252" i="73"/>
  <c r="I415" i="73" s="1"/>
  <c r="J250" i="73"/>
  <c r="J249" i="73"/>
  <c r="J248" i="73"/>
  <c r="I412" i="73" s="1"/>
  <c r="I236" i="73"/>
  <c r="E233" i="73"/>
  <c r="E232" i="73"/>
  <c r="E230" i="73" s="1"/>
  <c r="H230" i="73"/>
  <c r="E229" i="73"/>
  <c r="K227" i="73"/>
  <c r="H227" i="73"/>
  <c r="E227" i="73"/>
  <c r="E226" i="73"/>
  <c r="E225" i="73"/>
  <c r="H224" i="73"/>
  <c r="E223" i="73"/>
  <c r="H221" i="73"/>
  <c r="E221" i="73"/>
  <c r="E220" i="73"/>
  <c r="E219" i="73"/>
  <c r="H218" i="73"/>
  <c r="I213" i="73"/>
  <c r="I214" i="73" s="1"/>
  <c r="I206" i="73"/>
  <c r="I201" i="73"/>
  <c r="I193" i="73"/>
  <c r="I192" i="73"/>
  <c r="I194" i="73" s="1"/>
  <c r="I178" i="73"/>
  <c r="I167" i="73"/>
  <c r="I413" i="73" s="1"/>
  <c r="G144" i="73"/>
  <c r="G154" i="73" s="1"/>
  <c r="I154" i="73" s="1"/>
  <c r="I129" i="73"/>
  <c r="I121" i="73"/>
  <c r="I122" i="73" s="1"/>
  <c r="I109" i="73"/>
  <c r="I100" i="73"/>
  <c r="I117" i="73" s="1"/>
  <c r="J94" i="73"/>
  <c r="E92" i="73"/>
  <c r="C81" i="73"/>
  <c r="J80" i="73"/>
  <c r="G80" i="73"/>
  <c r="D80" i="73"/>
  <c r="G79" i="73"/>
  <c r="D79" i="73" s="1"/>
  <c r="J79" i="73" s="1"/>
  <c r="G78" i="73"/>
  <c r="D78" i="73" s="1"/>
  <c r="J78" i="73" s="1"/>
  <c r="G77" i="73"/>
  <c r="D77" i="73" s="1"/>
  <c r="J77" i="73" s="1"/>
  <c r="G76" i="73"/>
  <c r="D76" i="73" s="1"/>
  <c r="D67" i="73"/>
  <c r="D64" i="73"/>
  <c r="C64" i="73"/>
  <c r="J63" i="73"/>
  <c r="G63" i="73"/>
  <c r="J62" i="73"/>
  <c r="G62" i="73"/>
  <c r="J61" i="73"/>
  <c r="G61" i="73"/>
  <c r="J60" i="73"/>
  <c r="G60" i="73"/>
  <c r="J59" i="73"/>
  <c r="G59" i="73"/>
  <c r="J58" i="73"/>
  <c r="G58" i="73"/>
  <c r="J57" i="73"/>
  <c r="J64" i="73" s="1"/>
  <c r="G57" i="73"/>
  <c r="F57" i="73"/>
  <c r="D55" i="73"/>
  <c r="C55" i="73"/>
  <c r="J54" i="73"/>
  <c r="G54" i="73"/>
  <c r="J53" i="73"/>
  <c r="J52" i="73"/>
  <c r="J55" i="73" s="1"/>
  <c r="G52" i="73"/>
  <c r="F49" i="73"/>
  <c r="E49" i="73"/>
  <c r="C49" i="73"/>
  <c r="J48" i="73"/>
  <c r="G48" i="73"/>
  <c r="J47" i="73"/>
  <c r="G47" i="73"/>
  <c r="J46" i="73"/>
  <c r="G46" i="73"/>
  <c r="J45" i="73"/>
  <c r="G45" i="73"/>
  <c r="J44" i="73"/>
  <c r="G44" i="73"/>
  <c r="J43" i="73"/>
  <c r="G43" i="73"/>
  <c r="J42" i="73"/>
  <c r="G42" i="73"/>
  <c r="J41" i="73"/>
  <c r="G41" i="73"/>
  <c r="J40" i="73"/>
  <c r="G40" i="73"/>
  <c r="J39" i="73"/>
  <c r="G39" i="73"/>
  <c r="J38" i="73"/>
  <c r="G38" i="73"/>
  <c r="J37" i="73"/>
  <c r="G37" i="73"/>
  <c r="G49" i="73" s="1"/>
  <c r="F35" i="73"/>
  <c r="E35" i="73"/>
  <c r="D35" i="73"/>
  <c r="D50" i="73" s="1"/>
  <c r="C35" i="73"/>
  <c r="C50" i="73" s="1"/>
  <c r="J34" i="73"/>
  <c r="G34" i="73"/>
  <c r="J33" i="73"/>
  <c r="G33" i="73"/>
  <c r="J32" i="73"/>
  <c r="G32" i="73"/>
  <c r="J31" i="73"/>
  <c r="G31" i="73"/>
  <c r="J30" i="73"/>
  <c r="G30" i="73"/>
  <c r="J29" i="73"/>
  <c r="G29" i="73"/>
  <c r="J28" i="73"/>
  <c r="G28" i="73"/>
  <c r="J27" i="73"/>
  <c r="G27" i="73"/>
  <c r="J26" i="73"/>
  <c r="G26" i="73"/>
  <c r="J25" i="73"/>
  <c r="J24" i="73"/>
  <c r="G24" i="73"/>
  <c r="G35" i="73" s="1"/>
  <c r="D21" i="73"/>
  <c r="C21" i="73"/>
  <c r="J20" i="73"/>
  <c r="J19" i="73"/>
  <c r="L18" i="73"/>
  <c r="J17" i="73"/>
  <c r="J16" i="73"/>
  <c r="J15" i="73"/>
  <c r="I416" i="70"/>
  <c r="I411" i="70"/>
  <c r="I409" i="70"/>
  <c r="J404" i="70"/>
  <c r="J403" i="70"/>
  <c r="G405" i="70" s="1"/>
  <c r="I396" i="70"/>
  <c r="I385" i="70"/>
  <c r="I418" i="70" s="1"/>
  <c r="I382" i="70"/>
  <c r="I379" i="70"/>
  <c r="I376" i="70"/>
  <c r="I377" i="70" s="1"/>
  <c r="I366" i="70"/>
  <c r="I360" i="70"/>
  <c r="I350" i="70"/>
  <c r="I353" i="70" s="1"/>
  <c r="I346" i="70"/>
  <c r="I343" i="70"/>
  <c r="I337" i="70"/>
  <c r="I339" i="70" s="1"/>
  <c r="I328" i="70"/>
  <c r="I332" i="70" s="1"/>
  <c r="I311" i="70"/>
  <c r="I310" i="70"/>
  <c r="I322" i="70" s="1"/>
  <c r="I307" i="70"/>
  <c r="I303" i="70"/>
  <c r="J289" i="70"/>
  <c r="J287" i="70"/>
  <c r="J284" i="70"/>
  <c r="I277" i="70"/>
  <c r="J277" i="70" s="1"/>
  <c r="J276" i="70"/>
  <c r="J275" i="70"/>
  <c r="J274" i="70"/>
  <c r="J272" i="70"/>
  <c r="J252" i="70"/>
  <c r="I415" i="70" s="1"/>
  <c r="J250" i="70"/>
  <c r="J249" i="70"/>
  <c r="J248" i="70"/>
  <c r="I412" i="70" s="1"/>
  <c r="I236" i="70"/>
  <c r="E233" i="70"/>
  <c r="E232" i="70"/>
  <c r="E230" i="70" s="1"/>
  <c r="H230" i="70"/>
  <c r="E229" i="70"/>
  <c r="K227" i="70"/>
  <c r="H227" i="70"/>
  <c r="E227" i="70"/>
  <c r="E226" i="70"/>
  <c r="E225" i="70"/>
  <c r="E224" i="70" s="1"/>
  <c r="H224" i="70"/>
  <c r="E223" i="70"/>
  <c r="H221" i="70"/>
  <c r="E221" i="70"/>
  <c r="E220" i="70"/>
  <c r="E219" i="70"/>
  <c r="H218" i="70"/>
  <c r="I213" i="70"/>
  <c r="I214" i="70" s="1"/>
  <c r="I206" i="70"/>
  <c r="I208" i="70" s="1"/>
  <c r="I201" i="70"/>
  <c r="I193" i="70"/>
  <c r="I192" i="70"/>
  <c r="I194" i="70" s="1"/>
  <c r="I178" i="70"/>
  <c r="I167" i="70"/>
  <c r="I413" i="70" s="1"/>
  <c r="G144" i="70"/>
  <c r="G154" i="70" s="1"/>
  <c r="I154" i="70" s="1"/>
  <c r="I129" i="70"/>
  <c r="I121" i="70"/>
  <c r="I122" i="70" s="1"/>
  <c r="I109" i="70"/>
  <c r="I100" i="70"/>
  <c r="I117" i="70" s="1"/>
  <c r="J94" i="70"/>
  <c r="E92" i="70"/>
  <c r="C81" i="70"/>
  <c r="G80" i="70"/>
  <c r="D80" i="70" s="1"/>
  <c r="J80" i="70" s="1"/>
  <c r="G79" i="70"/>
  <c r="D79" i="70" s="1"/>
  <c r="J79" i="70" s="1"/>
  <c r="G78" i="70"/>
  <c r="D78" i="70" s="1"/>
  <c r="J78" i="70" s="1"/>
  <c r="G77" i="70"/>
  <c r="D77" i="70" s="1"/>
  <c r="J77" i="70" s="1"/>
  <c r="G76" i="70"/>
  <c r="D76" i="70" s="1"/>
  <c r="J76" i="70" s="1"/>
  <c r="D67" i="70"/>
  <c r="D64" i="70"/>
  <c r="C64" i="70"/>
  <c r="J63" i="70"/>
  <c r="G63" i="70"/>
  <c r="J62" i="70"/>
  <c r="G62" i="70"/>
  <c r="J61" i="70"/>
  <c r="G61" i="70"/>
  <c r="J60" i="70"/>
  <c r="G60" i="70"/>
  <c r="J59" i="70"/>
  <c r="G59" i="70"/>
  <c r="J58" i="70"/>
  <c r="G58" i="70"/>
  <c r="J57" i="70"/>
  <c r="J64" i="70" s="1"/>
  <c r="G57" i="70"/>
  <c r="F57" i="70"/>
  <c r="D55" i="70"/>
  <c r="C55" i="70"/>
  <c r="J54" i="70"/>
  <c r="G54" i="70"/>
  <c r="J53" i="70"/>
  <c r="J52" i="70"/>
  <c r="J55" i="70" s="1"/>
  <c r="G52" i="70"/>
  <c r="C50" i="70"/>
  <c r="F49" i="70"/>
  <c r="E49" i="70"/>
  <c r="C49" i="70"/>
  <c r="J48" i="70"/>
  <c r="G48" i="70"/>
  <c r="J47" i="70"/>
  <c r="G47" i="70"/>
  <c r="J46" i="70"/>
  <c r="G46" i="70"/>
  <c r="J45" i="70"/>
  <c r="G45" i="70"/>
  <c r="J44" i="70"/>
  <c r="G44" i="70"/>
  <c r="J43" i="70"/>
  <c r="G43" i="70"/>
  <c r="J42" i="70"/>
  <c r="G42" i="70"/>
  <c r="J41" i="70"/>
  <c r="G41" i="70"/>
  <c r="J40" i="70"/>
  <c r="G40" i="70"/>
  <c r="J39" i="70"/>
  <c r="G39" i="70"/>
  <c r="J38" i="70"/>
  <c r="G38" i="70"/>
  <c r="J37" i="70"/>
  <c r="G37" i="70"/>
  <c r="F35" i="70"/>
  <c r="E35" i="70"/>
  <c r="D35" i="70"/>
  <c r="D50" i="70" s="1"/>
  <c r="C35" i="70"/>
  <c r="J34" i="70"/>
  <c r="G34" i="70"/>
  <c r="J33" i="70"/>
  <c r="G33" i="70"/>
  <c r="J32" i="70"/>
  <c r="G32" i="70"/>
  <c r="J31" i="70"/>
  <c r="G31" i="70"/>
  <c r="J30" i="70"/>
  <c r="G30" i="70"/>
  <c r="J29" i="70"/>
  <c r="G29" i="70"/>
  <c r="J28" i="70"/>
  <c r="G28" i="70"/>
  <c r="J27" i="70"/>
  <c r="G27" i="70"/>
  <c r="J26" i="70"/>
  <c r="G26" i="70"/>
  <c r="J25" i="70"/>
  <c r="J24" i="70"/>
  <c r="G24" i="70"/>
  <c r="G35" i="70" s="1"/>
  <c r="D21" i="70"/>
  <c r="C21" i="70"/>
  <c r="J20" i="70"/>
  <c r="J19" i="70"/>
  <c r="L18" i="70"/>
  <c r="J17" i="70"/>
  <c r="J16" i="70"/>
  <c r="J15" i="70"/>
  <c r="J379" i="71"/>
  <c r="J378" i="71"/>
  <c r="G380" i="71" s="1"/>
  <c r="I369" i="71"/>
  <c r="I361" i="71"/>
  <c r="I355" i="71"/>
  <c r="I349" i="71"/>
  <c r="I343" i="71"/>
  <c r="I336" i="71"/>
  <c r="I339" i="71" s="1"/>
  <c r="I329" i="71"/>
  <c r="I332" i="71" s="1"/>
  <c r="I322" i="71"/>
  <c r="I325" i="71" s="1"/>
  <c r="I315" i="71"/>
  <c r="I318" i="71" s="1"/>
  <c r="I305" i="71"/>
  <c r="I310" i="71" s="1"/>
  <c r="I300" i="71"/>
  <c r="I298" i="71"/>
  <c r="I294" i="71"/>
  <c r="J284" i="71"/>
  <c r="J282" i="71"/>
  <c r="J279" i="71"/>
  <c r="J277" i="71"/>
  <c r="J275" i="71"/>
  <c r="J262" i="71"/>
  <c r="J259" i="71"/>
  <c r="J240" i="71"/>
  <c r="J239" i="71"/>
  <c r="J237" i="71"/>
  <c r="G254" i="71" s="1"/>
  <c r="I226" i="71"/>
  <c r="I225" i="71"/>
  <c r="I224" i="71" s="1"/>
  <c r="E224" i="71"/>
  <c r="I221" i="71"/>
  <c r="H221" i="71"/>
  <c r="E221" i="71"/>
  <c r="I218" i="71"/>
  <c r="K218" i="71" s="1"/>
  <c r="H218" i="71"/>
  <c r="E218" i="71"/>
  <c r="I216" i="71"/>
  <c r="I215" i="71" s="1"/>
  <c r="H215" i="71"/>
  <c r="E215" i="71"/>
  <c r="I214" i="71"/>
  <c r="I213" i="71"/>
  <c r="H212" i="71"/>
  <c r="E212" i="71"/>
  <c r="I211" i="71"/>
  <c r="I209" i="71" s="1"/>
  <c r="I210" i="71"/>
  <c r="H209" i="71"/>
  <c r="E209" i="71"/>
  <c r="I208" i="71"/>
  <c r="I207" i="71"/>
  <c r="I206" i="71" s="1"/>
  <c r="H206" i="71"/>
  <c r="E206" i="71"/>
  <c r="I201" i="71"/>
  <c r="I202" i="71" s="1"/>
  <c r="I194" i="71"/>
  <c r="I189" i="71"/>
  <c r="I196" i="71" s="1"/>
  <c r="I182" i="71"/>
  <c r="I166" i="71"/>
  <c r="I155" i="71"/>
  <c r="G139" i="71"/>
  <c r="I139" i="71" s="1"/>
  <c r="G132" i="71"/>
  <c r="G142" i="71" s="1"/>
  <c r="I142" i="71" s="1"/>
  <c r="I117" i="71"/>
  <c r="I109" i="71"/>
  <c r="I110" i="71" s="1"/>
  <c r="I99" i="71"/>
  <c r="I105" i="71" s="1"/>
  <c r="J94" i="71"/>
  <c r="E93" i="71"/>
  <c r="E92" i="71"/>
  <c r="C81" i="71"/>
  <c r="G80" i="71"/>
  <c r="D80" i="71" s="1"/>
  <c r="J80" i="71" s="1"/>
  <c r="G79" i="71"/>
  <c r="D79" i="71"/>
  <c r="J79" i="71" s="1"/>
  <c r="G78" i="71"/>
  <c r="D78" i="71"/>
  <c r="J78" i="71" s="1"/>
  <c r="G77" i="71"/>
  <c r="D77" i="71" s="1"/>
  <c r="J77" i="71" s="1"/>
  <c r="G76" i="71"/>
  <c r="D76" i="71" s="1"/>
  <c r="C64" i="71"/>
  <c r="G63" i="71"/>
  <c r="D63" i="71" s="1"/>
  <c r="J63" i="71" s="1"/>
  <c r="G62" i="71"/>
  <c r="D62" i="71"/>
  <c r="J62" i="71" s="1"/>
  <c r="G61" i="71"/>
  <c r="D61" i="71" s="1"/>
  <c r="J61" i="71" s="1"/>
  <c r="G60" i="71"/>
  <c r="D60" i="71" s="1"/>
  <c r="J60" i="71" s="1"/>
  <c r="G59" i="71"/>
  <c r="D59" i="71" s="1"/>
  <c r="J59" i="71" s="1"/>
  <c r="G58" i="71"/>
  <c r="D58" i="71"/>
  <c r="J58" i="71" s="1"/>
  <c r="D57" i="71"/>
  <c r="C55" i="71"/>
  <c r="G54" i="71"/>
  <c r="D54" i="71" s="1"/>
  <c r="J54" i="71" s="1"/>
  <c r="D53" i="71"/>
  <c r="J53" i="71" s="1"/>
  <c r="G52" i="71"/>
  <c r="D52" i="71"/>
  <c r="F49" i="71"/>
  <c r="E49" i="71"/>
  <c r="C49" i="71"/>
  <c r="G48" i="71"/>
  <c r="D48" i="71" s="1"/>
  <c r="J48" i="71" s="1"/>
  <c r="G47" i="71"/>
  <c r="D47" i="71"/>
  <c r="J47" i="71" s="1"/>
  <c r="G46" i="71"/>
  <c r="D46" i="71" s="1"/>
  <c r="J46" i="71" s="1"/>
  <c r="G45" i="71"/>
  <c r="D45" i="71" s="1"/>
  <c r="J45" i="71" s="1"/>
  <c r="G44" i="71"/>
  <c r="D44" i="71" s="1"/>
  <c r="J44" i="71" s="1"/>
  <c r="G43" i="71"/>
  <c r="D43" i="71" s="1"/>
  <c r="J43" i="71" s="1"/>
  <c r="G42" i="71"/>
  <c r="D42" i="71" s="1"/>
  <c r="J42" i="71" s="1"/>
  <c r="G41" i="71"/>
  <c r="D41" i="71" s="1"/>
  <c r="J41" i="71" s="1"/>
  <c r="G40" i="71"/>
  <c r="D40" i="71" s="1"/>
  <c r="J40" i="71" s="1"/>
  <c r="J39" i="71"/>
  <c r="G39" i="71"/>
  <c r="D39" i="71"/>
  <c r="G38" i="71"/>
  <c r="J37" i="71"/>
  <c r="G37" i="71"/>
  <c r="F35" i="71"/>
  <c r="E35" i="71"/>
  <c r="C35" i="71"/>
  <c r="C50" i="71" s="1"/>
  <c r="G34" i="71"/>
  <c r="D34" i="71"/>
  <c r="J34" i="71" s="1"/>
  <c r="D33" i="71"/>
  <c r="J33" i="71" s="1"/>
  <c r="G32" i="71"/>
  <c r="D32" i="71" s="1"/>
  <c r="J32" i="71" s="1"/>
  <c r="G31" i="71"/>
  <c r="D31" i="71"/>
  <c r="J31" i="71" s="1"/>
  <c r="G30" i="71"/>
  <c r="D30" i="71"/>
  <c r="J30" i="71" s="1"/>
  <c r="D29" i="71"/>
  <c r="J29" i="71" s="1"/>
  <c r="G28" i="71"/>
  <c r="D28" i="71"/>
  <c r="J28" i="71" s="1"/>
  <c r="G27" i="71"/>
  <c r="D27" i="71"/>
  <c r="J27" i="71" s="1"/>
  <c r="G26" i="71"/>
  <c r="D26" i="71" s="1"/>
  <c r="J26" i="71" s="1"/>
  <c r="D25" i="71"/>
  <c r="J25" i="71" s="1"/>
  <c r="G24" i="71"/>
  <c r="D24" i="71"/>
  <c r="J24" i="71" s="1"/>
  <c r="C21" i="71"/>
  <c r="D20" i="71"/>
  <c r="J20" i="71" s="1"/>
  <c r="J19" i="71"/>
  <c r="G19" i="71"/>
  <c r="L18" i="71"/>
  <c r="J18" i="71"/>
  <c r="G18" i="71"/>
  <c r="J17" i="71"/>
  <c r="G17" i="71"/>
  <c r="J16" i="71"/>
  <c r="D16" i="71"/>
  <c r="D15" i="71"/>
  <c r="J15" i="71" s="1"/>
  <c r="D81" i="73" l="1"/>
  <c r="D86" i="73" s="1"/>
  <c r="J76" i="73"/>
  <c r="I212" i="71"/>
  <c r="I410" i="70"/>
  <c r="K397" i="70"/>
  <c r="J21" i="70"/>
  <c r="J35" i="73"/>
  <c r="J49" i="73"/>
  <c r="G49" i="70"/>
  <c r="I367" i="70"/>
  <c r="E218" i="73"/>
  <c r="G35" i="74"/>
  <c r="J35" i="70"/>
  <c r="J49" i="70"/>
  <c r="C66" i="73"/>
  <c r="C66" i="71"/>
  <c r="D64" i="71"/>
  <c r="I132" i="71"/>
  <c r="I130" i="71" s="1"/>
  <c r="E218" i="70"/>
  <c r="D64" i="74"/>
  <c r="I132" i="74"/>
  <c r="I130" i="74" s="1"/>
  <c r="I310" i="74"/>
  <c r="G294" i="73"/>
  <c r="J21" i="74"/>
  <c r="D55" i="74"/>
  <c r="G139" i="74"/>
  <c r="I139" i="74" s="1"/>
  <c r="D55" i="71"/>
  <c r="G35" i="71"/>
  <c r="G49" i="71"/>
  <c r="G289" i="71"/>
  <c r="D66" i="73"/>
  <c r="I410" i="73"/>
  <c r="C66" i="70"/>
  <c r="G294" i="70"/>
  <c r="J21" i="73"/>
  <c r="E224" i="73"/>
  <c r="I322" i="73"/>
  <c r="I208" i="73"/>
  <c r="I218" i="74"/>
  <c r="I215" i="74"/>
  <c r="D49" i="74"/>
  <c r="J38" i="74"/>
  <c r="J49" i="74" s="1"/>
  <c r="J35" i="74"/>
  <c r="J76" i="74"/>
  <c r="J81" i="74" s="1"/>
  <c r="D81" i="74"/>
  <c r="D86" i="74" s="1"/>
  <c r="D35" i="74"/>
  <c r="D50" i="74" s="1"/>
  <c r="G49" i="74"/>
  <c r="I372" i="74"/>
  <c r="J57" i="74"/>
  <c r="J64" i="74" s="1"/>
  <c r="D21" i="74"/>
  <c r="J52" i="74"/>
  <c r="J55" i="74" s="1"/>
  <c r="G137" i="74"/>
  <c r="I137" i="74" s="1"/>
  <c r="I135" i="74" s="1"/>
  <c r="I143" i="74" s="1"/>
  <c r="J81" i="73"/>
  <c r="K397" i="73"/>
  <c r="I397" i="73"/>
  <c r="I144" i="73"/>
  <c r="I142" i="73" s="1"/>
  <c r="G151" i="73"/>
  <c r="I151" i="73" s="1"/>
  <c r="G266" i="73"/>
  <c r="G149" i="73"/>
  <c r="I149" i="73" s="1"/>
  <c r="J81" i="70"/>
  <c r="I397" i="70"/>
  <c r="D66" i="70"/>
  <c r="D81" i="70"/>
  <c r="D86" i="70" s="1"/>
  <c r="I144" i="70"/>
  <c r="I142" i="70" s="1"/>
  <c r="G151" i="70"/>
  <c r="I151" i="70" s="1"/>
  <c r="G266" i="70"/>
  <c r="G149" i="70"/>
  <c r="I149" i="70" s="1"/>
  <c r="D81" i="71"/>
  <c r="D86" i="71" s="1"/>
  <c r="J76" i="71"/>
  <c r="J81" i="71" s="1"/>
  <c r="J21" i="71"/>
  <c r="I227" i="71"/>
  <c r="J35" i="71"/>
  <c r="I372" i="71"/>
  <c r="J57" i="71"/>
  <c r="J64" i="71" s="1"/>
  <c r="D21" i="71"/>
  <c r="D38" i="71"/>
  <c r="J52" i="71"/>
  <c r="J55" i="71" s="1"/>
  <c r="D35" i="71"/>
  <c r="G137" i="71"/>
  <c r="I137" i="71" s="1"/>
  <c r="I135" i="71" s="1"/>
  <c r="I143" i="71" s="1"/>
  <c r="J50" i="73" l="1"/>
  <c r="J50" i="70"/>
  <c r="J66" i="70" s="1"/>
  <c r="J68" i="70" s="1"/>
  <c r="J66" i="73"/>
  <c r="J68" i="73" s="1"/>
  <c r="D66" i="74"/>
  <c r="I227" i="74"/>
  <c r="K218" i="74"/>
  <c r="J50" i="74"/>
  <c r="J66" i="74" s="1"/>
  <c r="I147" i="73"/>
  <c r="I155" i="73" s="1"/>
  <c r="I147" i="70"/>
  <c r="I155" i="70" s="1"/>
  <c r="G128" i="70"/>
  <c r="J87" i="70"/>
  <c r="D49" i="71"/>
  <c r="D50" i="71" s="1"/>
  <c r="D66" i="71" s="1"/>
  <c r="J38" i="71"/>
  <c r="J49" i="71" s="1"/>
  <c r="J50" i="71" s="1"/>
  <c r="J66" i="71" s="1"/>
  <c r="I248" i="46"/>
  <c r="J87" i="73" l="1"/>
  <c r="G128" i="73"/>
  <c r="J87" i="74"/>
  <c r="J68" i="74"/>
  <c r="G138" i="70"/>
  <c r="I138" i="70" s="1"/>
  <c r="G133" i="70"/>
  <c r="I133" i="70" s="1"/>
  <c r="G135" i="70"/>
  <c r="I135" i="70" s="1"/>
  <c r="I128" i="70"/>
  <c r="I126" i="70" s="1"/>
  <c r="J87" i="71"/>
  <c r="J68" i="71"/>
  <c r="E253" i="46"/>
  <c r="E247" i="46"/>
  <c r="E232" i="46"/>
  <c r="E228" i="46"/>
  <c r="H232" i="46"/>
  <c r="H229" i="46"/>
  <c r="H230" i="46"/>
  <c r="H231" i="46"/>
  <c r="I247" i="46" l="1"/>
  <c r="E245" i="46"/>
  <c r="G133" i="73"/>
  <c r="I133" i="73" s="1"/>
  <c r="G138" i="73"/>
  <c r="I138" i="73" s="1"/>
  <c r="G135" i="73"/>
  <c r="I135" i="73" s="1"/>
  <c r="I128" i="73"/>
  <c r="I126" i="73" s="1"/>
  <c r="G116" i="74"/>
  <c r="I131" i="70"/>
  <c r="I139" i="70" s="1"/>
  <c r="G116" i="71"/>
  <c r="E257" i="46"/>
  <c r="J289" i="46"/>
  <c r="J294" i="46"/>
  <c r="J240" i="47"/>
  <c r="I131" i="73" l="1"/>
  <c r="I139" i="73" s="1"/>
  <c r="I116" i="74"/>
  <c r="I114" i="74" s="1"/>
  <c r="G126" i="74"/>
  <c r="I126" i="74" s="1"/>
  <c r="G121" i="74"/>
  <c r="I121" i="74" s="1"/>
  <c r="G123" i="74"/>
  <c r="I123" i="74" s="1"/>
  <c r="I157" i="70"/>
  <c r="I407" i="70" s="1"/>
  <c r="I417" i="70"/>
  <c r="I116" i="71"/>
  <c r="I114" i="71" s="1"/>
  <c r="G126" i="71"/>
  <c r="I126" i="71" s="1"/>
  <c r="G121" i="71"/>
  <c r="I121" i="71" s="1"/>
  <c r="G123" i="71"/>
  <c r="I123" i="71" s="1"/>
  <c r="E63" i="46"/>
  <c r="G63" i="46" s="1"/>
  <c r="E60" i="46"/>
  <c r="E59" i="46"/>
  <c r="G59" i="46" s="1"/>
  <c r="E61" i="46"/>
  <c r="G61" i="46" s="1"/>
  <c r="E62" i="46"/>
  <c r="G62" i="46" s="1"/>
  <c r="E64" i="46"/>
  <c r="E58" i="46"/>
  <c r="G58" i="46" s="1"/>
  <c r="E54" i="46"/>
  <c r="E55" i="46"/>
  <c r="E53" i="46"/>
  <c r="E48" i="46"/>
  <c r="E43" i="46"/>
  <c r="E41" i="46"/>
  <c r="E42" i="46"/>
  <c r="E44" i="46"/>
  <c r="E45" i="46"/>
  <c r="G45" i="46" s="1"/>
  <c r="E46" i="46"/>
  <c r="G46" i="46" s="1"/>
  <c r="E47" i="46"/>
  <c r="E49" i="46"/>
  <c r="E40" i="46"/>
  <c r="E39" i="46"/>
  <c r="E38" i="46"/>
  <c r="E31" i="46"/>
  <c r="G31" i="46" s="1"/>
  <c r="E29" i="46"/>
  <c r="G28" i="46"/>
  <c r="E27" i="46"/>
  <c r="G27" i="46" s="1"/>
  <c r="G25" i="46"/>
  <c r="E33" i="46"/>
  <c r="G33" i="46" s="1"/>
  <c r="G35" i="46"/>
  <c r="E24" i="46"/>
  <c r="G24" i="46" s="1"/>
  <c r="E16" i="46"/>
  <c r="G16" i="46" s="1"/>
  <c r="D16" i="46" s="1"/>
  <c r="J16" i="46" s="1"/>
  <c r="G15" i="46"/>
  <c r="D15" i="46" s="1"/>
  <c r="J15" i="46" s="1"/>
  <c r="E15" i="46"/>
  <c r="E18" i="46"/>
  <c r="E19" i="46"/>
  <c r="E20" i="46"/>
  <c r="G20" i="46" s="1"/>
  <c r="E17" i="46"/>
  <c r="G17" i="46" s="1"/>
  <c r="G18" i="46"/>
  <c r="G19" i="46"/>
  <c r="G64" i="46"/>
  <c r="G60" i="46"/>
  <c r="G39" i="46"/>
  <c r="G40" i="46"/>
  <c r="G41" i="46"/>
  <c r="G42" i="46"/>
  <c r="G43" i="46"/>
  <c r="G44" i="46"/>
  <c r="G47" i="46"/>
  <c r="G48" i="46"/>
  <c r="G49" i="46"/>
  <c r="G38" i="46"/>
  <c r="G26" i="46"/>
  <c r="G29" i="46"/>
  <c r="G30" i="46"/>
  <c r="I417" i="73" l="1"/>
  <c r="I157" i="73"/>
  <c r="I407" i="73" s="1"/>
  <c r="I119" i="74"/>
  <c r="I119" i="71"/>
  <c r="I127" i="74"/>
  <c r="I145" i="74" s="1"/>
  <c r="I382" i="74" s="1"/>
  <c r="I384" i="74" s="1"/>
  <c r="L396" i="74" s="1"/>
  <c r="I127" i="71"/>
  <c r="I145" i="71" s="1"/>
  <c r="I382" i="71" s="1"/>
  <c r="I384" i="71" s="1"/>
  <c r="L396" i="71" s="1"/>
  <c r="D17" i="46"/>
  <c r="J17" i="46" s="1"/>
  <c r="I237" i="46" l="1"/>
  <c r="I254" i="46" l="1"/>
  <c r="I428" i="46" l="1"/>
  <c r="J307" i="46"/>
  <c r="J283" i="46"/>
  <c r="I253" i="46"/>
  <c r="I219" i="47" l="1"/>
  <c r="J333" i="46" l="1"/>
  <c r="I173" i="46"/>
  <c r="J279" i="46" l="1"/>
  <c r="I278" i="46"/>
  <c r="I277" i="46"/>
  <c r="J277" i="46" s="1"/>
  <c r="C65" i="46" l="1"/>
  <c r="D64" i="46"/>
  <c r="J64" i="46" s="1"/>
  <c r="D63" i="46"/>
  <c r="J63" i="46" s="1"/>
  <c r="D62" i="46"/>
  <c r="J62" i="46" s="1"/>
  <c r="D61" i="46"/>
  <c r="J61" i="46" s="1"/>
  <c r="D60" i="46"/>
  <c r="J60" i="46" s="1"/>
  <c r="D59" i="46"/>
  <c r="J59" i="46" s="1"/>
  <c r="D58" i="46"/>
  <c r="J58" i="46" s="1"/>
  <c r="C56" i="46"/>
  <c r="G55" i="46"/>
  <c r="D55" i="46" s="1"/>
  <c r="J55" i="46" s="1"/>
  <c r="G54" i="46"/>
  <c r="D54" i="46" s="1"/>
  <c r="J54" i="46" s="1"/>
  <c r="G53" i="46"/>
  <c r="D53" i="46" s="1"/>
  <c r="J53" i="46" s="1"/>
  <c r="F50" i="46"/>
  <c r="E50" i="46"/>
  <c r="C50" i="46"/>
  <c r="C51" i="46" s="1"/>
  <c r="D49" i="46"/>
  <c r="J49" i="46" s="1"/>
  <c r="D48" i="46"/>
  <c r="J48" i="46" s="1"/>
  <c r="D47" i="46"/>
  <c r="J47" i="46" s="1"/>
  <c r="D46" i="46"/>
  <c r="J46" i="46" s="1"/>
  <c r="D45" i="46"/>
  <c r="J45" i="46" s="1"/>
  <c r="D44" i="46"/>
  <c r="J44" i="46" s="1"/>
  <c r="D43" i="46"/>
  <c r="J43" i="46" s="1"/>
  <c r="D42" i="46"/>
  <c r="J42" i="46" s="1"/>
  <c r="D41" i="46"/>
  <c r="J41" i="46" s="1"/>
  <c r="D40" i="46"/>
  <c r="J40" i="46" s="1"/>
  <c r="D39" i="46"/>
  <c r="J39" i="46" s="1"/>
  <c r="F36" i="46"/>
  <c r="E36" i="46"/>
  <c r="D35" i="46"/>
  <c r="J35" i="46" s="1"/>
  <c r="D34" i="46"/>
  <c r="J34" i="46" s="1"/>
  <c r="D33" i="46"/>
  <c r="J33" i="46" s="1"/>
  <c r="D32" i="46"/>
  <c r="J32" i="46" s="1"/>
  <c r="D31" i="46"/>
  <c r="J31" i="46" s="1"/>
  <c r="D30" i="46"/>
  <c r="J30" i="46" s="1"/>
  <c r="D29" i="46"/>
  <c r="J29" i="46" s="1"/>
  <c r="D28" i="46"/>
  <c r="J28" i="46" s="1"/>
  <c r="D27" i="46"/>
  <c r="J27" i="46" s="1"/>
  <c r="D26" i="46"/>
  <c r="J26" i="46" s="1"/>
  <c r="D25" i="46"/>
  <c r="J25" i="46" s="1"/>
  <c r="D24" i="46"/>
  <c r="J24" i="46" s="1"/>
  <c r="C21" i="46"/>
  <c r="D20" i="46"/>
  <c r="J20" i="46" s="1"/>
  <c r="D19" i="46"/>
  <c r="J19" i="46" s="1"/>
  <c r="D18" i="46"/>
  <c r="J18" i="46" s="1"/>
  <c r="C68" i="46" l="1"/>
  <c r="G50" i="46"/>
  <c r="G36" i="46"/>
  <c r="D21" i="46"/>
  <c r="J36" i="46"/>
  <c r="K27" i="46" s="1"/>
  <c r="D56" i="46"/>
  <c r="D65" i="46"/>
  <c r="J21" i="46"/>
  <c r="D36" i="46"/>
  <c r="J56" i="46"/>
  <c r="D38" i="46"/>
  <c r="J38" i="46" s="1"/>
  <c r="J65" i="46"/>
  <c r="D50" i="46" l="1"/>
  <c r="D51" i="46" s="1"/>
  <c r="D68" i="46" s="1"/>
  <c r="J50" i="46"/>
  <c r="J51" i="46" s="1"/>
  <c r="J68" i="46" l="1"/>
  <c r="C35" i="47"/>
  <c r="J17" i="47"/>
  <c r="J18" i="47"/>
  <c r="J19" i="47"/>
  <c r="J69" i="46" l="1"/>
  <c r="J72" i="46"/>
  <c r="G40" i="47"/>
  <c r="D40" i="47"/>
  <c r="G39" i="47"/>
  <c r="D39" i="47"/>
  <c r="G38" i="47"/>
  <c r="D38" i="47"/>
  <c r="G32" i="47"/>
  <c r="G31" i="47"/>
  <c r="G30" i="47"/>
  <c r="G19" i="47"/>
  <c r="G18" i="47"/>
  <c r="G17" i="47"/>
  <c r="J342" i="46" l="1"/>
  <c r="I382" i="64" l="1"/>
  <c r="I376" i="64"/>
  <c r="I377" i="64" s="1"/>
  <c r="I411" i="64"/>
  <c r="I409" i="64"/>
  <c r="I396" i="64"/>
  <c r="I311" i="64"/>
  <c r="I310" i="64"/>
  <c r="I322" i="64" s="1"/>
  <c r="J295" i="46" l="1"/>
  <c r="J293" i="46" l="1"/>
  <c r="C49" i="47" l="1"/>
  <c r="C50" i="47" l="1"/>
  <c r="I392" i="46" l="1"/>
  <c r="I387" i="46"/>
  <c r="I352" i="46"/>
  <c r="I384" i="46"/>
  <c r="J298" i="46"/>
  <c r="J282" i="46" l="1"/>
  <c r="J324" i="46" l="1"/>
  <c r="J320" i="46" l="1"/>
  <c r="J319" i="46"/>
  <c r="J318" i="46"/>
  <c r="J317" i="46"/>
  <c r="J315" i="46"/>
  <c r="J278" i="46" l="1"/>
  <c r="I229" i="46"/>
  <c r="I258" i="46" l="1"/>
  <c r="I110" i="46" l="1"/>
  <c r="E240" i="46" l="1"/>
  <c r="E236" i="46"/>
  <c r="J284" i="46" l="1"/>
  <c r="I436" i="46" l="1"/>
  <c r="H215" i="47" l="1"/>
  <c r="I244" i="46" l="1"/>
  <c r="I241" i="46"/>
  <c r="I240" i="46" s="1"/>
  <c r="H240" i="46"/>
  <c r="O242" i="46"/>
  <c r="I239" i="46"/>
  <c r="I236" i="46" s="1"/>
  <c r="H236" i="46"/>
  <c r="O238" i="46"/>
  <c r="I235" i="46"/>
  <c r="I232" i="46" s="1"/>
  <c r="I233" i="46"/>
  <c r="O234" i="46"/>
  <c r="I228" i="46"/>
  <c r="H228" i="46"/>
  <c r="O246" i="46" l="1"/>
  <c r="L237" i="46"/>
  <c r="L229" i="46"/>
  <c r="O230" i="46"/>
  <c r="I246" i="46"/>
  <c r="I245" i="46" s="1"/>
  <c r="I249" i="46" l="1"/>
  <c r="O249" i="46"/>
  <c r="J92" i="46" l="1"/>
  <c r="G143" i="46" l="1"/>
  <c r="I143" i="46" s="1"/>
  <c r="L468" i="46"/>
  <c r="N335" i="46" l="1"/>
  <c r="J332" i="46"/>
  <c r="M254" i="46"/>
  <c r="J296" i="46" l="1"/>
  <c r="J280" i="46"/>
  <c r="I257" i="46"/>
  <c r="I433" i="46" l="1"/>
  <c r="I393" i="46" l="1"/>
  <c r="I391" i="46" l="1"/>
  <c r="I390" i="46"/>
  <c r="I389" i="46"/>
  <c r="I388" i="46"/>
  <c r="J326" i="46"/>
  <c r="I386" i="46" l="1"/>
  <c r="I385" i="46"/>
  <c r="J327" i="46"/>
  <c r="J325" i="46"/>
  <c r="I379" i="46"/>
  <c r="J297" i="46" l="1"/>
  <c r="J316" i="46"/>
  <c r="J314" i="46"/>
  <c r="I368" i="46"/>
  <c r="I369" i="46"/>
  <c r="I370" i="46"/>
  <c r="I371" i="46"/>
  <c r="I372" i="46"/>
  <c r="I373" i="46"/>
  <c r="I374" i="46"/>
  <c r="I375" i="46"/>
  <c r="I376" i="46"/>
  <c r="I377" i="46"/>
  <c r="I378" i="46"/>
  <c r="I367" i="46"/>
  <c r="J273" i="46" l="1"/>
  <c r="K182" i="46" l="1"/>
  <c r="O258" i="46" l="1"/>
  <c r="J323" i="46" l="1"/>
  <c r="J308" i="46" l="1"/>
  <c r="J310" i="46" l="1"/>
  <c r="J313" i="46"/>
  <c r="J249" i="64" l="1"/>
  <c r="G19" i="21"/>
  <c r="J8" i="21"/>
  <c r="I359" i="46" l="1"/>
  <c r="I394" i="46" s="1"/>
  <c r="I361" i="47" l="1"/>
  <c r="I355" i="47"/>
  <c r="I300" i="47"/>
  <c r="I385" i="64" l="1"/>
  <c r="I418" i="64" l="1"/>
  <c r="J250" i="64"/>
  <c r="J262" i="47"/>
  <c r="D67" i="64" l="1"/>
  <c r="J288" i="46"/>
  <c r="I366" i="64" l="1"/>
  <c r="I328" i="64" l="1"/>
  <c r="I332" i="64" s="1"/>
  <c r="J259" i="47" l="1"/>
  <c r="I416" i="64" l="1"/>
  <c r="J252" i="64" l="1"/>
  <c r="I415" i="64" l="1"/>
  <c r="I445" i="46" l="1"/>
  <c r="I380" i="46" l="1"/>
  <c r="E203" i="46" l="1"/>
  <c r="I203" i="46" s="1"/>
  <c r="I469" i="46" s="1"/>
  <c r="I337" i="64" l="1"/>
  <c r="I277" i="64"/>
  <c r="I167" i="64"/>
  <c r="J300" i="46" l="1"/>
  <c r="I413" i="64"/>
  <c r="J328" i="46" l="1"/>
  <c r="I474" i="46" l="1"/>
  <c r="L328" i="46"/>
  <c r="I187" i="46"/>
  <c r="I176" i="46" l="1"/>
  <c r="I468" i="46" s="1"/>
  <c r="L480" i="46" s="1"/>
  <c r="M468" i="46" l="1"/>
  <c r="L474" i="46"/>
  <c r="I100" i="64"/>
  <c r="I117" i="64" s="1"/>
  <c r="G254" i="47" l="1"/>
  <c r="I100" i="46" l="1"/>
  <c r="I360" i="64" l="1"/>
  <c r="I367" i="64" s="1"/>
  <c r="I443" i="46" l="1"/>
  <c r="I441" i="46" l="1"/>
  <c r="D20" i="47" l="1"/>
  <c r="J20" i="47" s="1"/>
  <c r="D16" i="47"/>
  <c r="J16" i="47" s="1"/>
  <c r="J379" i="47" l="1"/>
  <c r="J378" i="47"/>
  <c r="I369" i="47"/>
  <c r="I349" i="47"/>
  <c r="I343" i="47"/>
  <c r="I336" i="47"/>
  <c r="I339" i="47" s="1"/>
  <c r="I329" i="47"/>
  <c r="I332" i="47" s="1"/>
  <c r="I322" i="47"/>
  <c r="I325" i="47" s="1"/>
  <c r="I315" i="47"/>
  <c r="I305" i="47"/>
  <c r="I310" i="47" s="1"/>
  <c r="I298" i="47"/>
  <c r="I294" i="47"/>
  <c r="J282" i="47"/>
  <c r="J277" i="47"/>
  <c r="J275" i="47"/>
  <c r="I226" i="47"/>
  <c r="I225" i="47"/>
  <c r="E224" i="47"/>
  <c r="H221" i="47"/>
  <c r="E221" i="47"/>
  <c r="I218" i="47"/>
  <c r="H218" i="47"/>
  <c r="E218" i="47"/>
  <c r="I217" i="47"/>
  <c r="I216" i="47"/>
  <c r="E212" i="47"/>
  <c r="I213" i="47"/>
  <c r="H212" i="47"/>
  <c r="I211" i="47"/>
  <c r="I210" i="47"/>
  <c r="H209" i="47"/>
  <c r="E209" i="47"/>
  <c r="I208" i="47"/>
  <c r="I207" i="47"/>
  <c r="H206" i="47"/>
  <c r="I201" i="47"/>
  <c r="I202" i="47" s="1"/>
  <c r="I194" i="47"/>
  <c r="I189" i="47"/>
  <c r="I182" i="47"/>
  <c r="I166" i="47"/>
  <c r="I155" i="47"/>
  <c r="I117" i="47"/>
  <c r="I109" i="47"/>
  <c r="I110" i="47" s="1"/>
  <c r="I99" i="47"/>
  <c r="I105" i="47" s="1"/>
  <c r="J94" i="47"/>
  <c r="E93" i="47"/>
  <c r="E92" i="47"/>
  <c r="C81" i="47"/>
  <c r="G80" i="47"/>
  <c r="D80" i="47" s="1"/>
  <c r="J80" i="47" s="1"/>
  <c r="G79" i="47"/>
  <c r="D79" i="47" s="1"/>
  <c r="J79" i="47" s="1"/>
  <c r="G78" i="47"/>
  <c r="D78" i="47" s="1"/>
  <c r="J78" i="47" s="1"/>
  <c r="G77" i="47"/>
  <c r="D77" i="47" s="1"/>
  <c r="J77" i="47" s="1"/>
  <c r="G76" i="47"/>
  <c r="D76" i="47" s="1"/>
  <c r="C64" i="47"/>
  <c r="G63" i="47"/>
  <c r="D63" i="47" s="1"/>
  <c r="J63" i="47" s="1"/>
  <c r="G62" i="47"/>
  <c r="D62" i="47" s="1"/>
  <c r="J62" i="47" s="1"/>
  <c r="G61" i="47"/>
  <c r="D61" i="47" s="1"/>
  <c r="J61" i="47" s="1"/>
  <c r="G60" i="47"/>
  <c r="D60" i="47" s="1"/>
  <c r="J60" i="47" s="1"/>
  <c r="G59" i="47"/>
  <c r="D59" i="47" s="1"/>
  <c r="J59" i="47" s="1"/>
  <c r="G58" i="47"/>
  <c r="D58" i="47" s="1"/>
  <c r="J58" i="47" s="1"/>
  <c r="C55" i="47"/>
  <c r="G54" i="47"/>
  <c r="D54" i="47" s="1"/>
  <c r="J54" i="47" s="1"/>
  <c r="D53" i="47"/>
  <c r="J53" i="47" s="1"/>
  <c r="G52" i="47"/>
  <c r="D52" i="47" s="1"/>
  <c r="F49" i="47"/>
  <c r="E49" i="47"/>
  <c r="G48" i="47"/>
  <c r="D48" i="47" s="1"/>
  <c r="J48" i="47" s="1"/>
  <c r="G47" i="47"/>
  <c r="D47" i="47" s="1"/>
  <c r="J47" i="47" s="1"/>
  <c r="G46" i="47"/>
  <c r="D46" i="47" s="1"/>
  <c r="J46" i="47" s="1"/>
  <c r="G45" i="47"/>
  <c r="D45" i="47" s="1"/>
  <c r="J45" i="47" s="1"/>
  <c r="G44" i="47"/>
  <c r="D44" i="47" s="1"/>
  <c r="J44" i="47" s="1"/>
  <c r="G43" i="47"/>
  <c r="D43" i="47" s="1"/>
  <c r="J43" i="47" s="1"/>
  <c r="G42" i="47"/>
  <c r="D42" i="47" s="1"/>
  <c r="J42" i="47" s="1"/>
  <c r="G41" i="47"/>
  <c r="J37" i="47"/>
  <c r="G37" i="47"/>
  <c r="F35" i="47"/>
  <c r="E35" i="47"/>
  <c r="G34" i="47"/>
  <c r="D34" i="47" s="1"/>
  <c r="J34" i="47" s="1"/>
  <c r="D33" i="47"/>
  <c r="J33" i="47" s="1"/>
  <c r="D29" i="47"/>
  <c r="J29" i="47" s="1"/>
  <c r="G28" i="47"/>
  <c r="D28" i="47" s="1"/>
  <c r="J28" i="47" s="1"/>
  <c r="G27" i="47"/>
  <c r="D27" i="47" s="1"/>
  <c r="J27" i="47" s="1"/>
  <c r="G26" i="47"/>
  <c r="D26" i="47" s="1"/>
  <c r="J26" i="47" s="1"/>
  <c r="D25" i="47"/>
  <c r="J25" i="47" s="1"/>
  <c r="G24" i="47"/>
  <c r="D24" i="47" s="1"/>
  <c r="J24" i="47" s="1"/>
  <c r="C21" i="47"/>
  <c r="L18" i="47"/>
  <c r="D15" i="47"/>
  <c r="J15" i="47" s="1"/>
  <c r="I339" i="64"/>
  <c r="J275" i="64"/>
  <c r="J276" i="64"/>
  <c r="I410" i="64" s="1"/>
  <c r="J277" i="64"/>
  <c r="J274" i="64"/>
  <c r="J272" i="64"/>
  <c r="G294" i="64" s="1"/>
  <c r="J248" i="64"/>
  <c r="J404" i="64"/>
  <c r="J403" i="64"/>
  <c r="I379" i="64"/>
  <c r="I350" i="64"/>
  <c r="I353" i="64" s="1"/>
  <c r="I343" i="64"/>
  <c r="I346" i="64" s="1"/>
  <c r="I307" i="64"/>
  <c r="J287" i="64"/>
  <c r="E233" i="64"/>
  <c r="E232" i="64"/>
  <c r="H230" i="64"/>
  <c r="E229" i="64"/>
  <c r="H227" i="64"/>
  <c r="E226" i="64"/>
  <c r="E225" i="64"/>
  <c r="H224" i="64"/>
  <c r="E223" i="64"/>
  <c r="H221" i="64"/>
  <c r="E220" i="64"/>
  <c r="E219" i="64"/>
  <c r="H218" i="64"/>
  <c r="I213" i="64"/>
  <c r="I214" i="64" s="1"/>
  <c r="I206" i="64"/>
  <c r="I201" i="64"/>
  <c r="I193" i="64"/>
  <c r="I192" i="64"/>
  <c r="I178" i="64"/>
  <c r="I129" i="64"/>
  <c r="I121" i="64"/>
  <c r="I122" i="64" s="1"/>
  <c r="I109" i="64"/>
  <c r="J94" i="64"/>
  <c r="E92" i="64"/>
  <c r="C81" i="64"/>
  <c r="G80" i="64"/>
  <c r="D80" i="64" s="1"/>
  <c r="J80" i="64" s="1"/>
  <c r="G79" i="64"/>
  <c r="D79" i="64" s="1"/>
  <c r="J79" i="64" s="1"/>
  <c r="G78" i="64"/>
  <c r="D78" i="64" s="1"/>
  <c r="J78" i="64" s="1"/>
  <c r="G77" i="64"/>
  <c r="D77" i="64" s="1"/>
  <c r="J77" i="64" s="1"/>
  <c r="G76" i="64"/>
  <c r="D76" i="64" s="1"/>
  <c r="C64" i="64"/>
  <c r="G63" i="64"/>
  <c r="J63" i="64"/>
  <c r="J62" i="64"/>
  <c r="G62" i="64"/>
  <c r="G61" i="64"/>
  <c r="J61" i="64" s="1"/>
  <c r="G60" i="64"/>
  <c r="J60" i="64"/>
  <c r="G59" i="64"/>
  <c r="J59" i="64"/>
  <c r="J58" i="64"/>
  <c r="G58" i="64"/>
  <c r="J57" i="64"/>
  <c r="G57" i="64"/>
  <c r="F57" i="64"/>
  <c r="D55" i="64"/>
  <c r="C55" i="64"/>
  <c r="G54" i="64"/>
  <c r="J54" i="64"/>
  <c r="J53" i="64"/>
  <c r="G52" i="64"/>
  <c r="J52" i="64" s="1"/>
  <c r="F49" i="64"/>
  <c r="E49" i="64"/>
  <c r="C49" i="64"/>
  <c r="J48" i="64"/>
  <c r="G48" i="64"/>
  <c r="G47" i="64"/>
  <c r="J47" i="64"/>
  <c r="G46" i="64"/>
  <c r="J46" i="64"/>
  <c r="J45" i="64"/>
  <c r="G45" i="64"/>
  <c r="G44" i="64"/>
  <c r="J44" i="64" s="1"/>
  <c r="G43" i="64"/>
  <c r="J43" i="64"/>
  <c r="G42" i="64"/>
  <c r="J42" i="64"/>
  <c r="J41" i="64"/>
  <c r="G41" i="64"/>
  <c r="G40" i="64"/>
  <c r="J40" i="64" s="1"/>
  <c r="G39" i="64"/>
  <c r="J39" i="64" s="1"/>
  <c r="G38" i="64"/>
  <c r="J37" i="64"/>
  <c r="G37" i="64"/>
  <c r="F35" i="64"/>
  <c r="E35" i="64"/>
  <c r="C35" i="64"/>
  <c r="J34" i="64"/>
  <c r="G34" i="64"/>
  <c r="G33" i="64"/>
  <c r="J33" i="64" s="1"/>
  <c r="G32" i="64"/>
  <c r="J32" i="64"/>
  <c r="G31" i="64"/>
  <c r="J31" i="64"/>
  <c r="J30" i="64"/>
  <c r="G30" i="64"/>
  <c r="G29" i="64"/>
  <c r="J29" i="64" s="1"/>
  <c r="G28" i="64"/>
  <c r="J28" i="64" s="1"/>
  <c r="G27" i="64"/>
  <c r="J27" i="64"/>
  <c r="J26" i="64"/>
  <c r="G26" i="64"/>
  <c r="J25" i="64"/>
  <c r="G24" i="64"/>
  <c r="C21" i="64"/>
  <c r="J20" i="64"/>
  <c r="J19" i="64"/>
  <c r="L18" i="64"/>
  <c r="J17" i="64"/>
  <c r="J16" i="64"/>
  <c r="I397" i="64" l="1"/>
  <c r="G266" i="64"/>
  <c r="I412" i="64"/>
  <c r="D41" i="47"/>
  <c r="J41" i="47" s="1"/>
  <c r="D57" i="47"/>
  <c r="J39" i="47"/>
  <c r="J40" i="47"/>
  <c r="D30" i="47"/>
  <c r="J30" i="47" s="1"/>
  <c r="D31" i="47"/>
  <c r="J31" i="47" s="1"/>
  <c r="D32" i="47"/>
  <c r="J32" i="47" s="1"/>
  <c r="I372" i="47"/>
  <c r="K397" i="64"/>
  <c r="I303" i="64"/>
  <c r="I196" i="47"/>
  <c r="I206" i="47"/>
  <c r="J279" i="47"/>
  <c r="G380" i="47"/>
  <c r="I224" i="47"/>
  <c r="I215" i="47"/>
  <c r="K218" i="47" s="1"/>
  <c r="I209" i="47"/>
  <c r="G35" i="47"/>
  <c r="G49" i="47"/>
  <c r="C66" i="47"/>
  <c r="D21" i="47"/>
  <c r="D81" i="47"/>
  <c r="D86" i="47" s="1"/>
  <c r="I221" i="47"/>
  <c r="J52" i="47"/>
  <c r="J55" i="47" s="1"/>
  <c r="D55" i="47"/>
  <c r="J76" i="47"/>
  <c r="J81" i="47" s="1"/>
  <c r="E215" i="47"/>
  <c r="I318" i="47"/>
  <c r="J21" i="47"/>
  <c r="E206" i="47"/>
  <c r="I214" i="47"/>
  <c r="I212" i="47" s="1"/>
  <c r="J38" i="47"/>
  <c r="J284" i="47"/>
  <c r="C50" i="64"/>
  <c r="C66" i="64" s="1"/>
  <c r="I208" i="64"/>
  <c r="E227" i="64"/>
  <c r="G405" i="64"/>
  <c r="J284" i="64"/>
  <c r="K227" i="64"/>
  <c r="J55" i="64"/>
  <c r="J76" i="64"/>
  <c r="J81" i="64" s="1"/>
  <c r="D81" i="64"/>
  <c r="D86" i="64" s="1"/>
  <c r="J64" i="64"/>
  <c r="D64" i="64"/>
  <c r="J289" i="64"/>
  <c r="J38" i="64"/>
  <c r="J49" i="64" s="1"/>
  <c r="E221" i="64"/>
  <c r="J24" i="64"/>
  <c r="J35" i="64" s="1"/>
  <c r="D35" i="64"/>
  <c r="D50" i="64" s="1"/>
  <c r="G35" i="64"/>
  <c r="G49" i="64"/>
  <c r="D21" i="64"/>
  <c r="I194" i="64"/>
  <c r="I236" i="64"/>
  <c r="E218" i="64"/>
  <c r="E230" i="64"/>
  <c r="E224" i="64"/>
  <c r="J15" i="64"/>
  <c r="J21" i="64" s="1"/>
  <c r="J57" i="47" l="1"/>
  <c r="J64" i="47" s="1"/>
  <c r="G289" i="47"/>
  <c r="D49" i="47"/>
  <c r="J49" i="47"/>
  <c r="D64" i="47"/>
  <c r="I227" i="47"/>
  <c r="J35" i="47"/>
  <c r="D35" i="47"/>
  <c r="G132" i="47"/>
  <c r="J50" i="64"/>
  <c r="J66" i="64" s="1"/>
  <c r="D66" i="64"/>
  <c r="G144" i="64"/>
  <c r="J50" i="47" l="1"/>
  <c r="J66" i="47" s="1"/>
  <c r="J87" i="47" s="1"/>
  <c r="G116" i="47" s="1"/>
  <c r="D50" i="47"/>
  <c r="D66" i="47" s="1"/>
  <c r="G139" i="47"/>
  <c r="I139" i="47" s="1"/>
  <c r="G142" i="47"/>
  <c r="I142" i="47" s="1"/>
  <c r="G137" i="47"/>
  <c r="I137" i="47" s="1"/>
  <c r="I132" i="47"/>
  <c r="I130" i="47" s="1"/>
  <c r="G154" i="64"/>
  <c r="I154" i="64" s="1"/>
  <c r="G149" i="64"/>
  <c r="I149" i="64" s="1"/>
  <c r="I144" i="64"/>
  <c r="I142" i="64" s="1"/>
  <c r="G151" i="64"/>
  <c r="I151" i="64" s="1"/>
  <c r="J68" i="64"/>
  <c r="J68" i="47" l="1"/>
  <c r="G128" i="64"/>
  <c r="I116" i="47"/>
  <c r="I114" i="47" s="1"/>
  <c r="G121" i="47"/>
  <c r="I121" i="47" s="1"/>
  <c r="G126" i="47"/>
  <c r="I126" i="47" s="1"/>
  <c r="G123" i="47"/>
  <c r="I123" i="47" s="1"/>
  <c r="I135" i="47"/>
  <c r="I143" i="47" s="1"/>
  <c r="J87" i="64"/>
  <c r="I147" i="64"/>
  <c r="I155" i="64" s="1"/>
  <c r="I128" i="64" l="1"/>
  <c r="I126" i="64" s="1"/>
  <c r="G135" i="64"/>
  <c r="I135" i="64" s="1"/>
  <c r="G133" i="64"/>
  <c r="I133" i="64" s="1"/>
  <c r="G138" i="64"/>
  <c r="I138" i="64" s="1"/>
  <c r="I119" i="47"/>
  <c r="I127" i="47" s="1"/>
  <c r="I145" i="47" s="1"/>
  <c r="I382" i="47" s="1"/>
  <c r="I384" i="47" s="1"/>
  <c r="L396" i="47" s="1"/>
  <c r="I131" i="64" l="1"/>
  <c r="I139" i="64" s="1"/>
  <c r="I451" i="46"/>
  <c r="I438" i="46"/>
  <c r="I417" i="64" l="1"/>
  <c r="I157" i="64"/>
  <c r="I407" i="64" s="1"/>
  <c r="I420" i="46"/>
  <c r="I423" i="46" s="1"/>
  <c r="I413" i="46"/>
  <c r="I399" i="46"/>
  <c r="I416" i="46" l="1"/>
  <c r="I402" i="46"/>
  <c r="I471" i="46"/>
  <c r="I470" i="46"/>
  <c r="J336" i="46"/>
  <c r="J341" i="46"/>
  <c r="I472" i="46" s="1"/>
  <c r="J322" i="46"/>
  <c r="J321" i="46"/>
  <c r="J291" i="46"/>
  <c r="J290" i="46"/>
  <c r="J287" i="46"/>
  <c r="J285" i="46"/>
  <c r="I261" i="46"/>
  <c r="I262" i="46" s="1"/>
  <c r="H253" i="46"/>
  <c r="I128" i="46"/>
  <c r="G301" i="46" l="1"/>
  <c r="J306" i="46"/>
  <c r="I204" i="46"/>
  <c r="J343" i="46"/>
  <c r="G348" i="46" l="1"/>
  <c r="I353" i="46"/>
  <c r="I357" i="46" l="1"/>
  <c r="I211" i="46" l="1"/>
  <c r="I466" i="46" s="1"/>
  <c r="I216" i="46"/>
  <c r="I167" i="46" l="1"/>
  <c r="I218" i="46" l="1"/>
  <c r="E99" i="46" l="1"/>
  <c r="I121" i="46"/>
  <c r="I105" i="46"/>
  <c r="I116" i="46" l="1"/>
  <c r="C87" i="46"/>
  <c r="G86" i="46"/>
  <c r="D86" i="46" s="1"/>
  <c r="J86" i="46" s="1"/>
  <c r="G85" i="46"/>
  <c r="D85" i="46" s="1"/>
  <c r="J85" i="46" s="1"/>
  <c r="G84" i="46"/>
  <c r="D84" i="46" s="1"/>
  <c r="J84" i="46" s="1"/>
  <c r="G83" i="46"/>
  <c r="D83" i="46" s="1"/>
  <c r="J83" i="46" s="1"/>
  <c r="G82" i="46"/>
  <c r="D82" i="46" s="1"/>
  <c r="J82" i="46" s="1"/>
  <c r="K464" i="46" l="1"/>
  <c r="J87" i="46"/>
  <c r="D87" i="46"/>
  <c r="D92" i="46" s="1"/>
  <c r="G150" i="46" l="1"/>
  <c r="I150" i="46" s="1"/>
  <c r="G148" i="46" l="1"/>
  <c r="I148" i="46" s="1"/>
  <c r="I146" i="46" s="1"/>
  <c r="G153" i="46"/>
  <c r="I153" i="46" s="1"/>
  <c r="I141" i="46"/>
  <c r="J461" i="46"/>
  <c r="J460" i="46"/>
  <c r="I406" i="46"/>
  <c r="H257" i="46"/>
  <c r="O254" i="46"/>
  <c r="I223" i="46"/>
  <c r="I224" i="46" s="1"/>
  <c r="I454" i="46" l="1"/>
  <c r="I154" i="46"/>
  <c r="I473" i="46" s="1"/>
  <c r="I409" i="46"/>
  <c r="G462" i="46"/>
  <c r="O261" i="46"/>
  <c r="J93" i="46" l="1"/>
  <c r="N72" i="46"/>
  <c r="G127" i="46"/>
  <c r="I127" i="46" s="1"/>
  <c r="L93" i="46"/>
  <c r="I305" i="30"/>
  <c r="I307" i="30" s="1"/>
  <c r="I293" i="30"/>
  <c r="I285" i="30"/>
  <c r="I271" i="30"/>
  <c r="I269" i="30"/>
  <c r="J262" i="30"/>
  <c r="J261" i="30"/>
  <c r="I317" i="30" s="1"/>
  <c r="J260" i="30"/>
  <c r="I316" i="30" s="1"/>
  <c r="J259" i="30"/>
  <c r="J258" i="30"/>
  <c r="J257" i="30"/>
  <c r="J256" i="30"/>
  <c r="J255" i="30"/>
  <c r="J254" i="30"/>
  <c r="J253" i="30"/>
  <c r="J252" i="30"/>
  <c r="J251" i="30"/>
  <c r="J250" i="30"/>
  <c r="J249" i="30"/>
  <c r="J248" i="30"/>
  <c r="J247" i="30"/>
  <c r="J246" i="30"/>
  <c r="J245" i="30"/>
  <c r="J244" i="30"/>
  <c r="J243" i="30"/>
  <c r="J242" i="30"/>
  <c r="J234" i="30"/>
  <c r="J233" i="30"/>
  <c r="J232" i="30"/>
  <c r="J231" i="30"/>
  <c r="J230" i="30"/>
  <c r="J229" i="30"/>
  <c r="J228" i="30"/>
  <c r="J227" i="30"/>
  <c r="J226" i="30"/>
  <c r="J225" i="30"/>
  <c r="J224" i="30"/>
  <c r="J223" i="30"/>
  <c r="J222" i="30"/>
  <c r="J221" i="30"/>
  <c r="J220" i="30"/>
  <c r="J219" i="30"/>
  <c r="J218" i="30"/>
  <c r="J217" i="30"/>
  <c r="G200" i="30"/>
  <c r="I200" i="30" s="1"/>
  <c r="G199" i="30"/>
  <c r="I199" i="30" s="1"/>
  <c r="H198" i="30"/>
  <c r="E198" i="30"/>
  <c r="G197" i="30"/>
  <c r="E197" i="30"/>
  <c r="G196" i="30"/>
  <c r="E196" i="30"/>
  <c r="H195" i="30"/>
  <c r="G194" i="30"/>
  <c r="I194" i="30" s="1"/>
  <c r="G193" i="30"/>
  <c r="I193" i="30" s="1"/>
  <c r="H192" i="30"/>
  <c r="E192" i="30"/>
  <c r="G191" i="30"/>
  <c r="I191" i="30" s="1"/>
  <c r="G190" i="30"/>
  <c r="I190" i="30" s="1"/>
  <c r="H189" i="30"/>
  <c r="E189" i="30"/>
  <c r="G188" i="30"/>
  <c r="I188" i="30" s="1"/>
  <c r="G187" i="30"/>
  <c r="I187" i="30" s="1"/>
  <c r="H186" i="30"/>
  <c r="E186" i="30"/>
  <c r="I170" i="30"/>
  <c r="I169" i="30"/>
  <c r="I168" i="30"/>
  <c r="I167" i="30"/>
  <c r="I166" i="30"/>
  <c r="I165" i="30"/>
  <c r="I164" i="30"/>
  <c r="I124" i="30"/>
  <c r="I128" i="30" s="1"/>
  <c r="I99" i="30"/>
  <c r="I96" i="30"/>
  <c r="I94" i="30"/>
  <c r="I89" i="30"/>
  <c r="I87" i="30" s="1"/>
  <c r="I79" i="30"/>
  <c r="I81" i="30" s="1"/>
  <c r="I71" i="30"/>
  <c r="I70" i="30"/>
  <c r="I69" i="30"/>
  <c r="I68" i="30"/>
  <c r="I67" i="30"/>
  <c r="C57" i="30"/>
  <c r="G56" i="30"/>
  <c r="F56" i="30"/>
  <c r="G55" i="30"/>
  <c r="F55" i="30"/>
  <c r="G54" i="30"/>
  <c r="F54" i="30"/>
  <c r="G53" i="30"/>
  <c r="F53" i="30"/>
  <c r="G52" i="30"/>
  <c r="F52" i="30"/>
  <c r="G51" i="30"/>
  <c r="F51" i="30"/>
  <c r="G50" i="30"/>
  <c r="F50" i="30"/>
  <c r="C48" i="30"/>
  <c r="G47" i="30"/>
  <c r="F47" i="30"/>
  <c r="G46" i="30"/>
  <c r="F46" i="30"/>
  <c r="G45" i="30"/>
  <c r="F45" i="30"/>
  <c r="G44" i="30"/>
  <c r="F44" i="30"/>
  <c r="G43" i="30"/>
  <c r="F43" i="30"/>
  <c r="G42" i="30"/>
  <c r="F42" i="30"/>
  <c r="G41" i="30"/>
  <c r="F41" i="30"/>
  <c r="G40" i="30"/>
  <c r="F40" i="30"/>
  <c r="G39" i="30"/>
  <c r="F39" i="30"/>
  <c r="G38" i="30"/>
  <c r="F38" i="30"/>
  <c r="G37" i="30"/>
  <c r="F37" i="30"/>
  <c r="C35" i="30"/>
  <c r="G34" i="30"/>
  <c r="F34" i="30"/>
  <c r="G33" i="30"/>
  <c r="F33" i="30"/>
  <c r="G32" i="30"/>
  <c r="F32" i="30"/>
  <c r="G31" i="30"/>
  <c r="F31" i="30"/>
  <c r="G30" i="30"/>
  <c r="F30" i="30"/>
  <c r="G29" i="30"/>
  <c r="F29" i="30"/>
  <c r="G28" i="30"/>
  <c r="F28" i="30"/>
  <c r="C26" i="30"/>
  <c r="G25" i="30"/>
  <c r="F25" i="30"/>
  <c r="G24" i="30"/>
  <c r="F24" i="30"/>
  <c r="G23" i="30"/>
  <c r="F23" i="30"/>
  <c r="G22" i="30"/>
  <c r="F22" i="30"/>
  <c r="G21" i="30"/>
  <c r="F21" i="30"/>
  <c r="I125" i="46" l="1"/>
  <c r="D39" i="30"/>
  <c r="J39" i="30" s="1"/>
  <c r="D47" i="30"/>
  <c r="J47" i="30" s="1"/>
  <c r="D21" i="30"/>
  <c r="J21" i="30" s="1"/>
  <c r="D25" i="30"/>
  <c r="J25" i="30" s="1"/>
  <c r="I189" i="30"/>
  <c r="I299" i="30"/>
  <c r="D24" i="30"/>
  <c r="J24" i="30" s="1"/>
  <c r="D37" i="30"/>
  <c r="J37" i="30" s="1"/>
  <c r="D46" i="30"/>
  <c r="J46" i="30" s="1"/>
  <c r="I66" i="30"/>
  <c r="I73" i="30" s="1"/>
  <c r="D38" i="30"/>
  <c r="J38" i="30" s="1"/>
  <c r="D40" i="30"/>
  <c r="J40" i="30" s="1"/>
  <c r="D44" i="30"/>
  <c r="J44" i="30" s="1"/>
  <c r="I92" i="30"/>
  <c r="I100" i="30" s="1"/>
  <c r="D43" i="30"/>
  <c r="J43" i="30" s="1"/>
  <c r="D45" i="30"/>
  <c r="J45" i="30" s="1"/>
  <c r="D50" i="30"/>
  <c r="J50" i="30" s="1"/>
  <c r="D52" i="30"/>
  <c r="J52" i="30" s="1"/>
  <c r="D54" i="30"/>
  <c r="J54" i="30" s="1"/>
  <c r="D56" i="30"/>
  <c r="J56" i="30" s="1"/>
  <c r="I197" i="30"/>
  <c r="I198" i="30"/>
  <c r="D29" i="30"/>
  <c r="J29" i="30" s="1"/>
  <c r="D31" i="30"/>
  <c r="J31" i="30" s="1"/>
  <c r="D33" i="30"/>
  <c r="J33" i="30" s="1"/>
  <c r="D22" i="30"/>
  <c r="J22" i="30" s="1"/>
  <c r="D41" i="30"/>
  <c r="J41" i="30" s="1"/>
  <c r="D23" i="30"/>
  <c r="J23" i="30" s="1"/>
  <c r="D28" i="30"/>
  <c r="J28" i="30" s="1"/>
  <c r="D30" i="30"/>
  <c r="J30" i="30" s="1"/>
  <c r="D32" i="30"/>
  <c r="J32" i="30" s="1"/>
  <c r="D34" i="30"/>
  <c r="J34" i="30" s="1"/>
  <c r="D42" i="30"/>
  <c r="J42" i="30" s="1"/>
  <c r="I279" i="30"/>
  <c r="G263" i="30"/>
  <c r="I172" i="30"/>
  <c r="E195" i="30"/>
  <c r="C58" i="30"/>
  <c r="D51" i="30"/>
  <c r="J51" i="30" s="1"/>
  <c r="D53" i="30"/>
  <c r="J53" i="30" s="1"/>
  <c r="D55" i="30"/>
  <c r="J55" i="30" s="1"/>
  <c r="I186" i="30"/>
  <c r="I196" i="30"/>
  <c r="G235" i="30"/>
  <c r="I192" i="30"/>
  <c r="G137" i="46" l="1"/>
  <c r="I137" i="46" s="1"/>
  <c r="G132" i="46"/>
  <c r="I132" i="46" s="1"/>
  <c r="G134" i="46"/>
  <c r="I134" i="46" s="1"/>
  <c r="J26" i="30"/>
  <c r="I195" i="30"/>
  <c r="I202" i="30" s="1"/>
  <c r="I314" i="30" s="1"/>
  <c r="J48" i="30"/>
  <c r="J57" i="30"/>
  <c r="J35" i="30"/>
  <c r="I130" i="46" l="1"/>
  <c r="I138" i="46" s="1"/>
  <c r="I467" i="46" s="1"/>
  <c r="J58" i="30"/>
  <c r="J60" i="30" s="1"/>
  <c r="I315" i="30" s="1"/>
  <c r="L464" i="46" l="1"/>
  <c r="I157" i="46"/>
  <c r="I464" i="46" s="1"/>
  <c r="I312" i="30"/>
</calcChain>
</file>

<file path=xl/sharedStrings.xml><?xml version="1.0" encoding="utf-8"?>
<sst xmlns="http://schemas.openxmlformats.org/spreadsheetml/2006/main" count="8279" uniqueCount="1011">
  <si>
    <t>1. Расчеты (обоснования) выплат персоналу (строка 210)</t>
  </si>
  <si>
    <t>N п/п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</si>
  <si>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</si>
  <si>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</si>
  <si>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</si>
  <si>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</si>
  <si>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</si>
  <si>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(1 + гр. 8 / 100) x гр. 9 x 12)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</si>
  <si>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</si>
  <si>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</si>
  <si>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</si>
  <si>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</si>
  <si>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</si>
  <si>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Итого:</t>
  </si>
  <si>
    <t>x</t>
  </si>
  <si>
    <t>Наименование расходов</t>
  </si>
  <si>
    <t>Средний размер выплаты на одного работника в день, руб.</t>
  </si>
  <si>
    <t>Количество работников, чел.</t>
  </si>
  <si>
    <t>Количество дней</t>
  </si>
  <si>
    <t>Сумма, руб. (гр. 3 x гр. 4 x гр. 5)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</si>
  <si>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</si>
  <si>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</si>
  <si>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руб.</t>
  </si>
  <si>
    <t>Наименование государственного внебюджетного фонда</t>
  </si>
  <si>
    <t>Размер базы для начисления страховых взносов, руб.</t>
  </si>
  <si>
    <t>Сумма взноса, руб.</t>
  </si>
  <si>
    <t>Страховые взносы в Пенсионный фонд Российской Федерации, всего</t>
  </si>
  <si>
    <t>1.1.</t>
  </si>
  <si>
    <t>по ставке 22,0%</t>
  </si>
  <si>
    <t>1.2.</t>
  </si>
  <si>
    <t>по ставке 10,0%</t>
  </si>
  <si>
    <t>1.3.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</si>
  <si>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</si>
  <si>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</si>
  <si>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2.1.</t>
  </si>
  <si>
    <t>обязательное социальное страхование на случай временной нетрудоспособности и в связи с материнством по ставке 2,9%</t>
  </si>
  <si>
    <t>2.2.</t>
  </si>
  <si>
    <t>с применением ставки взносов в Фонд социального страхования Российской Федерации по ставке 0,0%</t>
  </si>
  <si>
    <t>2.3.</t>
  </si>
  <si>
    <t>обязательное социальное страхование от несчастных случаев на производстве и профессиональных заболеваний по ставке 0,2%</t>
  </si>
  <si>
    <t>2.4.</t>
  </si>
  <si>
    <t>обязательное социальное страхование от несчастных случаев на производстве и профессиональных заболеваний по ставке 0,_% &lt;*&gt;</t>
  </si>
  <si>
    <t>2.5.</t>
  </si>
  <si>
    <t>Страховые взносы в Федеральный фонд обязательного медицинского страхования, всего (по ставке 5,1%)</t>
  </si>
  <si>
    <t>Наименование показателя</t>
  </si>
  <si>
    <t>Размер одной выплаты, руб.</t>
  </si>
  <si>
    <t>Количество выплат в год</t>
  </si>
  <si>
    <t>Налоговая база, руб.</t>
  </si>
  <si>
    <t>Ставка налога, %</t>
  </si>
  <si>
    <t>6. Расчет (обоснование) расходов на закупку товаров, работ, услуг</t>
  </si>
  <si>
    <t>Количество номеров</t>
  </si>
  <si>
    <t>Количество платежей в год</t>
  </si>
  <si>
    <t>Стоимость за единицу, руб.</t>
  </si>
  <si>
    <t>Количество услуг перевозки</t>
  </si>
  <si>
    <t>Цена услуги перевозки, руб.</t>
  </si>
  <si>
    <t>Размер потребления ресурсов</t>
  </si>
  <si>
    <t>Тариф (с учетом НДС), руб.</t>
  </si>
  <si>
    <t>Индексация, %</t>
  </si>
  <si>
    <t>Количество</t>
  </si>
  <si>
    <t>Ставка арендной платы</t>
  </si>
  <si>
    <t>Стоимость с учетом НДС, руб.</t>
  </si>
  <si>
    <t>Объект</t>
  </si>
  <si>
    <t>Количество работ (услуг)</t>
  </si>
  <si>
    <t>Стоимость работ (услуг), руб.</t>
  </si>
  <si>
    <t>Количество договоров</t>
  </si>
  <si>
    <t>Стоимость услуги, руб.</t>
  </si>
  <si>
    <t>Средняя стоимость, руб.</t>
  </si>
  <si>
    <t>Муниципальное бюджетное общеобразовательное учреждение гимназия имени Анатолия Иосифовича Яковлева</t>
  </si>
  <si>
    <t>Расчеты (обоснования) к плану финансово-хозяйственной деятельности муниципального учреждения</t>
  </si>
  <si>
    <t>Компенсация расходов на оплату стоимости проезда и провоза багажа к месту использования отпуска и обратно</t>
  </si>
  <si>
    <t>1.</t>
  </si>
  <si>
    <t>компенсация дополнительных расходов, связанных с проживанием вне места постоянного жительства (суточных)</t>
  </si>
  <si>
    <t>компенсация расходов по проезду в служебные командировки</t>
  </si>
  <si>
    <t>компенсация расходов по найму жилого помещения</t>
  </si>
  <si>
    <t>х</t>
  </si>
  <si>
    <t>2.</t>
  </si>
  <si>
    <t>Возмещение расходов на прохождение медицинского осмотра</t>
  </si>
  <si>
    <t>3.</t>
  </si>
  <si>
    <t>Возмещение работникам (сотрудникам) расходов,связанных со служебными командировками, в том числе</t>
  </si>
  <si>
    <t xml:space="preserve">Ежемесячные компенсационные выплаты находящимся в дополнительном отпуске по уходу за ребенком  до достижения им возраста 3 лет </t>
  </si>
  <si>
    <t xml:space="preserve">Код видов расходов </t>
  </si>
  <si>
    <t>Источник финансового обеспечения</t>
  </si>
  <si>
    <t>местный бюджет</t>
  </si>
  <si>
    <t>Субсидия на финансовое обеспечение выполнения муниципального задания на оказание муниципальных услуг (выполнение работ)</t>
  </si>
  <si>
    <t>2. Расчеты (обоснования) расходов на социальные и иные выплаты населению</t>
  </si>
  <si>
    <t>4. Расчет (обоснование) расходов на безвозмездные перечисления организациям</t>
  </si>
  <si>
    <t>4.</t>
  </si>
  <si>
    <t>5.</t>
  </si>
  <si>
    <t>КВР 851</t>
  </si>
  <si>
    <t>КВР 852</t>
  </si>
  <si>
    <t>КВР 853</t>
  </si>
  <si>
    <t>5. Расчет (обоснование) прочих расходов (кроме расходов на закупку товаров, работ, услуг)</t>
  </si>
  <si>
    <t>Абонентская плата за номер</t>
  </si>
  <si>
    <t>Предоставление местных телефонных соединений</t>
  </si>
  <si>
    <t xml:space="preserve">3. </t>
  </si>
  <si>
    <t>Предоставление междугородних телефонных соединений автоматическим способом</t>
  </si>
  <si>
    <t>Абонентское обслуживание в системе электронного документооборота (Контур-Экстерн)</t>
  </si>
  <si>
    <t>6.</t>
  </si>
  <si>
    <t>Бронирование сетевых ресурсов, необходимых для осуществления для присоединения к сети общего пользования (услуги хостинга для официального сайта учреждения)</t>
  </si>
  <si>
    <t>Бронирование сетевых ресурсов, необходимых для осуществления для присоединения к сети общего пользования (продление регистрации доменов для официального сайта учреждения)</t>
  </si>
  <si>
    <t>1 полугодие</t>
  </si>
  <si>
    <t>2 полугодие</t>
  </si>
  <si>
    <t>Общая сумма выплат, руб. (гр.3 x гр.4)</t>
  </si>
  <si>
    <t>Сумма исчисленного налога, подлежащего уплате, руб. (гр.3 x гр.4 / 100)</t>
  </si>
  <si>
    <t>Сумма, руб. (гр.3 x гр.4 x гр.5)</t>
  </si>
  <si>
    <t>Техническое обслуживание и ремонт внутренних электрических сетей (внутридомового электрооборудования)</t>
  </si>
  <si>
    <t>Техническое обслуживание и ремонт системы дымоудаления и противопожарных клапанов</t>
  </si>
  <si>
    <t>Техническое обслуживание и ремонт системы видеонаблюдения</t>
  </si>
  <si>
    <t>Техническое обслуживание и ремонт центральных кондиционеров, вентиляционного оборудования</t>
  </si>
  <si>
    <t>Техническое обслуживание, ремонт и поверка средств измерения узла учета тепловой энергии</t>
  </si>
  <si>
    <t>Техническое обслуживание, ремонт и поверка средств измерения узла учета воды</t>
  </si>
  <si>
    <t>Сервисное обслуживание установок очистки воды</t>
  </si>
  <si>
    <t>Проверка технического состояния транспортного средства</t>
  </si>
  <si>
    <t>Услуги по выполнению противопожарных мероприятий</t>
  </si>
  <si>
    <t>Техническое обслуживание и ремонт сетей теплоснабжения, водоснабжения и водоотведения</t>
  </si>
  <si>
    <t>Техническое обслуживание и ремонт технологического и холодильного оборудования</t>
  </si>
  <si>
    <t>7.</t>
  </si>
  <si>
    <t>8.</t>
  </si>
  <si>
    <t>9.</t>
  </si>
  <si>
    <t>10.</t>
  </si>
  <si>
    <t>11.</t>
  </si>
  <si>
    <t>12.</t>
  </si>
  <si>
    <t>13.</t>
  </si>
  <si>
    <t>куб.м</t>
  </si>
  <si>
    <t>мес.</t>
  </si>
  <si>
    <t>квар.</t>
  </si>
  <si>
    <t>осмотр</t>
  </si>
  <si>
    <t>Выполнение работ по очистке крыши от снега и льда</t>
  </si>
  <si>
    <t>Проведение метрологических услуг (поверка весов)</t>
  </si>
  <si>
    <t>Проведение профилактической дератизации здания</t>
  </si>
  <si>
    <t>Ремонт прочего оборудования</t>
  </si>
  <si>
    <t>14.</t>
  </si>
  <si>
    <t>15.</t>
  </si>
  <si>
    <t>16.</t>
  </si>
  <si>
    <t>17.</t>
  </si>
  <si>
    <t>Охранные услуги (постовая охрана)</t>
  </si>
  <si>
    <t>Информационно-консультативное обслуживание и сопровождение программных продуктов (1С, УРМ)</t>
  </si>
  <si>
    <t>Периодические медицинские осмотры</t>
  </si>
  <si>
    <t>Производственный контроль (замеры)</t>
  </si>
  <si>
    <t>Обучение по охране труда</t>
  </si>
  <si>
    <t>Гигиеническая аттестация работников</t>
  </si>
  <si>
    <t>Обязательное страхование гражданской ответственности владельцев транспортных средств</t>
  </si>
  <si>
    <t>Нотариальные услуги</t>
  </si>
  <si>
    <t>Повышение квалификации работников</t>
  </si>
  <si>
    <t>Охранные услуги с использованием средств тревожной сигнализации и техническое обслуживание тревожной сигнализации</t>
  </si>
  <si>
    <t>Предрейсовый, послерейсовый медицинский осмотр водителей</t>
  </si>
  <si>
    <t>Размещение твердых коммунальных отходов</t>
  </si>
  <si>
    <t>Информационно-технические услуги (право использованимя и годовое сопровождение программы "Контур-Экстерн")</t>
  </si>
  <si>
    <t>Информационно-технические услуги (лицензионное программное обеспечение "VIPNet Client")</t>
  </si>
  <si>
    <t>чел.</t>
  </si>
  <si>
    <t>Прочие работы, услуги</t>
  </si>
  <si>
    <t>Теплоснабжение, Гкал</t>
  </si>
  <si>
    <t>Горячее водоснабжение, куб.м</t>
  </si>
  <si>
    <t>Холодное водоснабжение, куб.м</t>
  </si>
  <si>
    <t>Водоотведение, куб.м</t>
  </si>
  <si>
    <t>Энергоснабжение, тыс.кВт.ч</t>
  </si>
  <si>
    <t>февраль</t>
  </si>
  <si>
    <t>январь</t>
  </si>
  <si>
    <t>февраль - 5 000; июнь - 10 000</t>
  </si>
  <si>
    <t>октябрь</t>
  </si>
  <si>
    <t>ежемесячно</t>
  </si>
  <si>
    <t>март</t>
  </si>
  <si>
    <t>май</t>
  </si>
  <si>
    <t>апрель</t>
  </si>
  <si>
    <t>июнь</t>
  </si>
  <si>
    <t>ноябрь</t>
  </si>
  <si>
    <t>март - 150 000; август - 850 000</t>
  </si>
  <si>
    <t>март, июнь, сентябрь, декабрь - 25 000</t>
  </si>
  <si>
    <t>сентябрь</t>
  </si>
  <si>
    <t>май - 150 000; ноябрь - 150 000</t>
  </si>
  <si>
    <t>Приобретение основных средств (местный бюджет), в том числе</t>
  </si>
  <si>
    <t>печати, штампы</t>
  </si>
  <si>
    <t>Приобретение материальных запасов (местный бюджет), в том числе</t>
  </si>
  <si>
    <t>аптечки, перевязочные средства для аптечек, аскорбиновая кислота</t>
  </si>
  <si>
    <t>мягкий инвентарь (спецодежда)</t>
  </si>
  <si>
    <t>горюче-смазочные материалы</t>
  </si>
  <si>
    <t>моющие и дезинфицирующие средства</t>
  </si>
  <si>
    <t>хозяйственный инвентарь</t>
  </si>
  <si>
    <t xml:space="preserve">канцелярские товары </t>
  </si>
  <si>
    <t>строительные материалы</t>
  </si>
  <si>
    <t>2.6.</t>
  </si>
  <si>
    <t>2.7.</t>
  </si>
  <si>
    <t>Приобретение основных средств (окружной бюджет), в том числе</t>
  </si>
  <si>
    <t>оборудование для кабинета технологии (раздел 2 Перечня, п.81,82)</t>
  </si>
  <si>
    <t>ученическая мебель (раздел 2 Перечня, п.118)</t>
  </si>
  <si>
    <t>синтезатор (раздел 2 Перечня, п.114)</t>
  </si>
  <si>
    <t xml:space="preserve">учебники (раздел 4 Перечня, п.14) </t>
  </si>
  <si>
    <t>Приобретение материальных запасов (окружной бюджет), в том числе</t>
  </si>
  <si>
    <t>мониторы (раздел 1 Перечня, п.26)</t>
  </si>
  <si>
    <t>комплектующие к техническим средствам обучения, для компьютерной техники (раздел 6 Перечня, п.3,4)</t>
  </si>
  <si>
    <t>картриджи (раздел 6 Перечня, п.2)</t>
  </si>
  <si>
    <t>канцелярские товары (раздел 6 Перечня, п.14)</t>
  </si>
  <si>
    <t>наушники (раздел 6 Перечня, п.13)</t>
  </si>
  <si>
    <t>интерактивные доски, проекторы, принтеры (раздел 1 Перечня, п.5,11,30)</t>
  </si>
  <si>
    <t>туристическое снаряжение - палатка (раздел 2 Перечня, п.35)</t>
  </si>
  <si>
    <t>окружной бюджет</t>
  </si>
  <si>
    <t>Программное обеспечение, лицензии на программное обеспечение (раздел 3 Перечня, п.2)</t>
  </si>
  <si>
    <t>Приобретение специальной продукции: медали выпускникам "За особые успехи в учении" (раздел 6 Перечня, п.17)</t>
  </si>
  <si>
    <t>Приобретение бланков строгой отчетности: аттестаты (раздел 6 Перечня, п.18)</t>
  </si>
  <si>
    <t>Телекоммуникационные услуги (Интернет)</t>
  </si>
  <si>
    <t>18.</t>
  </si>
  <si>
    <t>19.</t>
  </si>
  <si>
    <t>дети-дни</t>
  </si>
  <si>
    <t>Предоставление питания (ЗАВТРАКИ и ОБЕДЫ учащимся льготных категорий)</t>
  </si>
  <si>
    <t>Предоставление питания (ЗАВТРАКИ учащимся нельготных категорий)</t>
  </si>
  <si>
    <t>&lt;*&gt;   Указываются   страховые  тарифы,  дифференцированные  по  классам профессионального  риска,  установленные  Федеральным законом от 22 декабря 2005   г.    N  179-ФЗ  «О  страховых  тарифах  на  обязательное социальное страхование  от  несчастных  случаев  на  производстве  и  профессиональных заболеваний  на  2006 год» (Собрание законодательства Российской Федерации, 2005, N 52, ст. 5592; 2015, N 51, ст. 7233).</t>
  </si>
  <si>
    <t>Категория: РУКОВОДИТЕЛИ</t>
  </si>
  <si>
    <t>директор</t>
  </si>
  <si>
    <t>заместитель директора по учебно-воспитательной работе</t>
  </si>
  <si>
    <t>заместитель директора по воспитательной  работе</t>
  </si>
  <si>
    <t>заместитель директора по административно-хозяйственной работе</t>
  </si>
  <si>
    <t>главный бухгалтер</t>
  </si>
  <si>
    <t>Итого</t>
  </si>
  <si>
    <t xml:space="preserve"> педагог-психолог</t>
  </si>
  <si>
    <t>учитель-логопед</t>
  </si>
  <si>
    <t>социальный педагог</t>
  </si>
  <si>
    <t>преподаватель-организатор основ безопасности жизнедеятельности</t>
  </si>
  <si>
    <t>педагог-организатор</t>
  </si>
  <si>
    <t>педагог дополнительного образования</t>
  </si>
  <si>
    <t>Категория: СПЕЦИАЛИСТЫ (педагогический персонал)</t>
  </si>
  <si>
    <t>учитель</t>
  </si>
  <si>
    <t>Категория: СПЕЦИАЛИСТЫ (прочие)</t>
  </si>
  <si>
    <t>бухгалтер</t>
  </si>
  <si>
    <t>экономист</t>
  </si>
  <si>
    <t>инженер по техническим средствам обучения</t>
  </si>
  <si>
    <t>специалист по охране труда</t>
  </si>
  <si>
    <t>специалист по кадрам</t>
  </si>
  <si>
    <t>документовед</t>
  </si>
  <si>
    <t>библиотекарь</t>
  </si>
  <si>
    <t>Категория: РАБОЧИЕ</t>
  </si>
  <si>
    <t>уборщик служебных помещений</t>
  </si>
  <si>
    <t>рабочий по комплексному обслуживанию и ремонту зданий</t>
  </si>
  <si>
    <t>водитель</t>
  </si>
  <si>
    <t>сторож</t>
  </si>
  <si>
    <t>вахтер</t>
  </si>
  <si>
    <t>кладовщик</t>
  </si>
  <si>
    <t>уборщик территории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</si>
  <si>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</si>
  <si>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</si>
  <si>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</si>
  <si>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</si>
  <si>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</si>
  <si>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</si>
  <si>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</si>
  <si>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</si>
  <si>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</si>
  <si>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</si>
  <si>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</si>
  <si>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в т.ч.</t>
  </si>
  <si>
    <t>окружной бюджет (госстандарт)</t>
  </si>
  <si>
    <t>организация питания (СУБВЕНЦИЯ)</t>
  </si>
  <si>
    <t>организация питания (СУБСИДИЯ)</t>
  </si>
  <si>
    <t>Техническое обслуживание системы пожарной сигнализации, системы оповещения людей о пожаре, системы дублирования тревожных сообщений на пульт 01</t>
  </si>
  <si>
    <t>Транспортирование твердых коммунальных отходов и передача отходов для размещения на полигон утилизации ТКО г.Урай</t>
  </si>
  <si>
    <t>КОДЫ</t>
  </si>
  <si>
    <t>Дата</t>
  </si>
  <si>
    <t>Наименование муниципального учреждения</t>
  </si>
  <si>
    <t xml:space="preserve">Единица измерения: руб. </t>
  </si>
  <si>
    <t>по ОКЕИ</t>
  </si>
  <si>
    <t>Наименование органа, осуществляющего функции и полномочия учредителя</t>
  </si>
  <si>
    <t>Х</t>
  </si>
  <si>
    <t>Директор</t>
  </si>
  <si>
    <t>Главный бухгалтер</t>
  </si>
  <si>
    <t>28 декабря 2016 года</t>
  </si>
  <si>
    <t>Сумма, руб. (гр.3 x гр.4)</t>
  </si>
  <si>
    <t>Экономист</t>
  </si>
  <si>
    <t>платные услуги</t>
  </si>
  <si>
    <t>на</t>
  </si>
  <si>
    <t>1.4.</t>
  </si>
  <si>
    <t>1.5.</t>
  </si>
  <si>
    <t>№ п/п</t>
  </si>
  <si>
    <t>2017г.</t>
  </si>
  <si>
    <t>из них:</t>
  </si>
  <si>
    <t>Код строки</t>
  </si>
  <si>
    <t>субсидии на осуществление капитальных вложений</t>
  </si>
  <si>
    <t>социальные и иные выплаты населению, всего</t>
  </si>
  <si>
    <t>Год начала закупки</t>
  </si>
  <si>
    <t>очередной финансовый год</t>
  </si>
  <si>
    <t>0001</t>
  </si>
  <si>
    <t>(подпись)</t>
  </si>
  <si>
    <t>(расшифровка подписи)</t>
  </si>
  <si>
    <t>6.3. Расчет (обоснование) расходов на оплату коммунальных услуг (КОСГУ 223)</t>
  </si>
  <si>
    <t>6.5. Расчет (обоснование) расходов на оплату работ, услуг по содержанию имущества (КОСГУ 225)</t>
  </si>
  <si>
    <t>1.6.</t>
  </si>
  <si>
    <t>1.7.</t>
  </si>
  <si>
    <t>6.2. Расчет (обоснование) расходов на оплату транспортных услуг (КОСГУ 222)</t>
  </si>
  <si>
    <t>6.4. Расчет (обоснование) расходов на оплату аренды имущества (КОСГУ 224)</t>
  </si>
  <si>
    <t>6.6. Расчет (обоснование) расходов на оплату прочих работ, услуг (КОСГУ 226)</t>
  </si>
  <si>
    <t>6.7. Расчет (обоснование) расходов на приобретение основных средств (КОСГУ 310)</t>
  </si>
  <si>
    <t>6.8. Расчет (обоснование) расходов на материальных запасов (КОСГУ 340)</t>
  </si>
  <si>
    <t>6.9. Расчет (обоснование) расходов на материальных запасов (КОСГУ 290)</t>
  </si>
  <si>
    <t>Материальная помощь на профилактику заболеваний от годового фонда оплаты труда, иные выплаты</t>
  </si>
  <si>
    <t>1.1. Расчеты (обоснования) расходов на оплату труда (КОСГУ 211 / КВР 111)</t>
  </si>
  <si>
    <t>1.2. Расчеты (обоснования) выплат компенсационного характера персоналу, не включаемых в фонд оплаты труда (КОСГУ 212 / КВР 112)</t>
  </si>
  <si>
    <t>1.3. Расчеты (обоснования) выплат персоналу по уходу за ребенком (КОСГУ 212 / КВР 112)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</si>
  <si>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(КОСГУ 213 / КВР 119)</t>
  </si>
  <si>
    <t>Налог на имущество (КВР 851)</t>
  </si>
  <si>
    <t>Транспортный налог (КВР 852)</t>
  </si>
  <si>
    <t>Плата за загрязнение окружающей среды (КВР 853)</t>
  </si>
  <si>
    <t>Государственная пошлина и сборы (в установленных законодательством случаях) (КВР 852)</t>
  </si>
  <si>
    <t>3. Расчет (обоснование) расходов на уплату налогов, сборов и иных платежей (КОСГУ 290)</t>
  </si>
  <si>
    <t>6.1. Расчет (обоснование) расходов на оплату услуг связи (КОСГУ 221)</t>
  </si>
  <si>
    <t>кол-во</t>
  </si>
  <si>
    <t>средняя стоимость</t>
  </si>
  <si>
    <t>сумма</t>
  </si>
  <si>
    <t>ед.изм.</t>
  </si>
  <si>
    <t>услуга</t>
  </si>
  <si>
    <t>шт.</t>
  </si>
  <si>
    <t>учащихся</t>
  </si>
  <si>
    <t>л</t>
  </si>
  <si>
    <t>кв.м</t>
  </si>
  <si>
    <t>работников</t>
  </si>
  <si>
    <t>Фонд оплаты труда в год, руб. (гр. 3 x гр. 4 x (гр. 8 / 100 + гр. 9) x 12)</t>
  </si>
  <si>
    <t xml:space="preserve">   Категория рабочие</t>
  </si>
  <si>
    <t>Рабочий по комплексному обслуживанию и ремонту зданий</t>
  </si>
  <si>
    <t>Кладовщик</t>
  </si>
  <si>
    <t>Уборщик служебных помещений</t>
  </si>
  <si>
    <t>Сторож</t>
  </si>
  <si>
    <t>Дворник</t>
  </si>
  <si>
    <t>Итого рабочиие</t>
  </si>
  <si>
    <t>Доплата до МРОТ</t>
  </si>
  <si>
    <t>Воспитатель</t>
  </si>
  <si>
    <t>Педагог-психолог</t>
  </si>
  <si>
    <t>Учитель-логопед</t>
  </si>
  <si>
    <t>Социальный педагог</t>
  </si>
  <si>
    <t xml:space="preserve">Специалист по охране труда </t>
  </si>
  <si>
    <t>Специалист по закупкам</t>
  </si>
  <si>
    <t>Специалист по кадрам</t>
  </si>
  <si>
    <t>Делопроизводитель</t>
  </si>
  <si>
    <t xml:space="preserve">Оплата проезда к месту учебы и обратно, транспортные услуги в хозяйственных целях        </t>
  </si>
  <si>
    <t>Охранные услуги с использованием средств тревожной сигнализации</t>
  </si>
  <si>
    <t>Итого (окружной бюджет):</t>
  </si>
  <si>
    <t>Всего (местный бюджет, окружной бюджет):</t>
  </si>
  <si>
    <t>Производственный контроль за соблюдением сан-эпид.мероприятий (гигиеническая аттестация работников)</t>
  </si>
  <si>
    <t>огнетушители</t>
  </si>
  <si>
    <t>Единовременная выплата при предоставлении ежегодного оплачиваемого отпуска 10% от годового фонда оплаты труда</t>
  </si>
  <si>
    <t xml:space="preserve">Техническое обслуживание системы вентиляции и дымоудаления </t>
  </si>
  <si>
    <t>Техническое обслуживание и ремонт сетей теплоснабжения, водоснабжения и водоотведения. Сервисное обслуживание установок очистки воды. Техническое обслуживание внутреннего противопожарного водоснабжения.</t>
  </si>
  <si>
    <t>благотворительность</t>
  </si>
  <si>
    <t>Оказание услуг по организации и сопровождению канала связи для передачи тревожных сообщений на пульт 01</t>
  </si>
  <si>
    <t>Техническое обслуживание и ремонт системы установок пожарной сигнализации</t>
  </si>
  <si>
    <t>1.8.</t>
  </si>
  <si>
    <t>Защита персональных данных</t>
  </si>
  <si>
    <t>Материальная помощь на профилактику заболеваний 10% от годового фонда оплаты труда</t>
  </si>
  <si>
    <t xml:space="preserve">Оплата за измерения и испытания сопротивления изоляции электрооборудования и электроустановок     (1 раз в 3 года) структурное подразделение </t>
  </si>
  <si>
    <t>Оплата за обучение по пожарно-техническому минимуму</t>
  </si>
  <si>
    <t>Информационно-технические услуги (право использования и годовое сопровождение программы "Контур-Экстерн")</t>
  </si>
  <si>
    <t>Сопровождения Контур Экстерн</t>
  </si>
  <si>
    <t>Услуг связи (местный бюджет), в том числе</t>
  </si>
  <si>
    <t>1.1</t>
  </si>
  <si>
    <t>1.2</t>
  </si>
  <si>
    <t>1.3</t>
  </si>
  <si>
    <t>Услуг связи (окружной бюджет), в том числе</t>
  </si>
  <si>
    <t>2.1</t>
  </si>
  <si>
    <t xml:space="preserve"> Оплата прочих работ, услуг  (местный бюджет), в том числе</t>
  </si>
  <si>
    <t>1.9.</t>
  </si>
  <si>
    <t xml:space="preserve"> Оплата прочих работ, услуг  (окружной бюджет), в том числе</t>
  </si>
  <si>
    <t>1.1. Расчеты (обоснования) расходов на оплату труда (КОСГУ 211, 266 / КВР 111)</t>
  </si>
  <si>
    <t>КОСГУ 211</t>
  </si>
  <si>
    <t>КОСГУ 266</t>
  </si>
  <si>
    <t>1.2. Расчеты (обоснования) выплат компенсационного характера персоналу, не включаемых в фонд оплаты труда (КОСГУ 212, 214, 226 / КВР 112)</t>
  </si>
  <si>
    <t>КОСГУ 212</t>
  </si>
  <si>
    <t>Компенсация дополнительных расходов, связанных с проживанием вне места постоянного жительства (суточные )</t>
  </si>
  <si>
    <t>КОСГУ 214</t>
  </si>
  <si>
    <t>КОСГУ 226</t>
  </si>
  <si>
    <t>Возмещение расходов на прохождение медицинского осмотра (первичный мед.осмотр)</t>
  </si>
  <si>
    <t>1.3. Расчеты (обоснования) выплат персоналу по уходу за ребенком (КОСГУ 266 / КВР 112)</t>
  </si>
  <si>
    <t>Материальная помощь близким родственникам в случае смерти работника</t>
  </si>
  <si>
    <t>Выплата работникам среднемесячного заработка на период трудоустройства  при их увольнении в связи  с лиувидацией либо реорганизацией учреждения, иными организационно-штатными мероприятиями, приводящими к  сокращению численности или штата учреждения</t>
  </si>
  <si>
    <t>3. Расчет (обоснование) расходов на уплату налогов, сборов и иных платежей (КОСГУ 291)</t>
  </si>
  <si>
    <t>Выплата пособий за первые три дня временной нетрудоспособности за счет средств работодателя (местный бюджет)</t>
  </si>
  <si>
    <t>Выплата пособий за первые три дня временной нетрудоспособности за счет средств работодателя (окружной бюджет)</t>
  </si>
  <si>
    <t>Субсидия на финансовое обеспечение выполнения муниципального задания на оказание муниципальных услуг   (выполнение работ)</t>
  </si>
  <si>
    <t>выплата материальной помощи на погребение сотрудника</t>
  </si>
  <si>
    <t>1.10.</t>
  </si>
  <si>
    <t>1.11.</t>
  </si>
  <si>
    <t>1.12.</t>
  </si>
  <si>
    <t>2. Расчеты (обоснования) расходов на социальные и иные выплаты населению КОСГУ 264/КВР 321</t>
  </si>
  <si>
    <t>Твердые коммунальные услуги, м3</t>
  </si>
  <si>
    <t>Центр занятости</t>
  </si>
  <si>
    <t>Итого (центр занятости):</t>
  </si>
  <si>
    <t>3.1.</t>
  </si>
  <si>
    <t>6.7. Услуги работы для целей капитальных вложений (КОСГУ 228)</t>
  </si>
  <si>
    <t>6.8.  Расчет (обоснование) расходов на увеличение стоимости основных средств (КОСГУ 310)</t>
  </si>
  <si>
    <t>6.9.  Расчет (обоснование) расходов на увеличение стоимости материальных запасов (КОСГУ 340)</t>
  </si>
  <si>
    <t>6.10. Расчет (обоснование) расходов на приобретение права пользования (КОСГУ 350)</t>
  </si>
  <si>
    <t>по Сводному реестру</t>
  </si>
  <si>
    <t>глава по БК</t>
  </si>
  <si>
    <t>ИНН</t>
  </si>
  <si>
    <t>КПП</t>
  </si>
  <si>
    <t xml:space="preserve">Управление образования и молодежной политики </t>
  </si>
  <si>
    <t>администрации города Урай</t>
  </si>
  <si>
    <t xml:space="preserve"> Раздел I. Поступления и выплаты</t>
  </si>
  <si>
    <t>Код по бюджетной классификации Российской Федерации</t>
  </si>
  <si>
    <t>Аналитический код (КОСГу)</t>
  </si>
  <si>
    <t>Сумма</t>
  </si>
  <si>
    <t>за пределами планового периода</t>
  </si>
  <si>
    <t>Остаток средств на начало текущего финансового года</t>
  </si>
  <si>
    <t>Остаток средств на конец текущего финансового года</t>
  </si>
  <si>
    <t>Доходы, всего:</t>
  </si>
  <si>
    <t>субсидии на финансовое обеспечение выполнения муниципального задания за счет средств бюджета Федерального фонда обязательного медицинского страхования</t>
  </si>
  <si>
    <t>доходы от штрафов, пеней, иных сумм принудительного изъятия, всего</t>
  </si>
  <si>
    <t>доходы от операций с активами, всего</t>
  </si>
  <si>
    <t>прочие поступления, всего</t>
  </si>
  <si>
    <t>увеличение остатков денежных средств за счет возврата дебиторской задолженности прошлых лет</t>
  </si>
  <si>
    <t>Расходы, всего</t>
  </si>
  <si>
    <t>на выплаты персоналу, всего</t>
  </si>
  <si>
    <t>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</si>
  <si>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</si>
  <si>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</si>
  <si>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</si>
  <si>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</t>
  </si>
  <si>
    <t>на иные выплаты работникам</t>
  </si>
  <si>
    <t>денежное довольствие военнослужащих и сотрудников, имеющих специальные звания</t>
  </si>
  <si>
    <t>иные выплаты военнослужащим и сотрудникам, имеющим специальные звания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</si>
  <si>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</si>
  <si>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на оплату труда стажеров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</si>
  <si>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</si>
  <si>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</si>
  <si>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</si>
  <si>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</si>
  <si>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</si>
  <si>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</si>
  <si>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</si>
  <si>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</si>
  <si>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</si>
  <si>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другим организациям и физическим лицам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</si>
  <si>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</si>
  <si>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</si>
  <si>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</si>
  <si>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</si>
  <si>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 xml:space="preserve">расходы на закупку товаров, работ, услуг, всего &lt;1&gt; </t>
  </si>
  <si>
    <t>закупку товаров, работ, услуг в целях капитального ремонта муниципального имущества</t>
  </si>
  <si>
    <t>капитальные вложения в объекты муниципальной собственности, всего</t>
  </si>
  <si>
    <t>строительство (реконструкция) объектов недвижимого имущества муниципальными учреждениями</t>
  </si>
  <si>
    <t>Выплаты, уменьшающие доход, всего</t>
  </si>
  <si>
    <t>налог на прибыль</t>
  </si>
  <si>
    <t>налог на добавленную стоимость</t>
  </si>
  <si>
    <t>прочие налоги, уменьшающие доход</t>
  </si>
  <si>
    <t>Прочие выплаты, всего</t>
  </si>
  <si>
    <t>возврат в бюджет средств субсидии</t>
  </si>
  <si>
    <t>0002</t>
  </si>
  <si>
    <t>Коды строк</t>
  </si>
  <si>
    <t>Выплаты на закупку товаров, работ, услуг, всего</t>
  </si>
  <si>
    <t>за счет субсидий, предоставляемых на финансовое обеспечение выполнения муниципального задания</t>
  </si>
  <si>
    <t>1.4.1.1.</t>
  </si>
  <si>
    <t>в соответствии с Федеральным законом №44-ФЗ</t>
  </si>
  <si>
    <t>1.4.1.2.</t>
  </si>
  <si>
    <t>в соответствии с Федеральным законом №223-ФЗ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</si>
  <si>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</si>
  <si>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</si>
  <si>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</si>
  <si>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1.4.2.2.</t>
  </si>
  <si>
    <t>1.4.3.</t>
  </si>
  <si>
    <t>за счет субсидий, предоставляемых на осуществление капитальных вложений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</si>
  <si>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</si>
  <si>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</si>
  <si>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</si>
  <si>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</si>
  <si>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</si>
  <si>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</si>
  <si>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</si>
  <si>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</si>
  <si>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Итого по контрактам, планируемым к заключению в соответствующем финансовом году в соответствии с Федеральным законом №44-ФЗ, по соответствующему году закупки</t>
  </si>
  <si>
    <t>в том числе по году начала закупки:</t>
  </si>
  <si>
    <t>Итого по договорам, планируемым к заключению в соответствующем финансовом году в соответствии с Федеральным законом №223-ФЗ, по соответствующему году закупки</t>
  </si>
  <si>
    <t xml:space="preserve"> Раздел 2. Сведения по выплатам на закупки товаров, работ, услуг</t>
  </si>
  <si>
    <t>Доплата до МРОТ (26686 руб.)</t>
  </si>
  <si>
    <t xml:space="preserve">&lt;*&gt;   Указываются   страховые  тарифы,  дифференцированные  по  классам профессионального  риска,  установленные  Федеральным законом от 22 декабря 2005   г.    N  179-ФЗ  «О  страховых  тарифах  на  обязательное социальное страхование  от  несчастных  случаев  на  производстве  и  профессиональных заболеваний  на  2006 год» </t>
  </si>
  <si>
    <t>1.4.1.</t>
  </si>
  <si>
    <t>Исполнитель: экономист</t>
  </si>
  <si>
    <t>С.Н.Ершова</t>
  </si>
  <si>
    <t>О.Г.Иванова</t>
  </si>
  <si>
    <t>тел.: 8(34676)22296</t>
  </si>
  <si>
    <t xml:space="preserve">    Муниципальное бюджетное общеобразовательное учреждение средняя общеобразовательная школа №5</t>
  </si>
  <si>
    <t xml:space="preserve"> Категория: " Руководители"</t>
  </si>
  <si>
    <t>Заместитель директора  по учебно- воспитательной  работе</t>
  </si>
  <si>
    <t>Заместитель директора  по воспитательной  работе</t>
  </si>
  <si>
    <t>Заместитель директора  по  гражданско-патриотическому воспитанию</t>
  </si>
  <si>
    <t>Заместитель директора по административно-хозяйственной работе</t>
  </si>
  <si>
    <t>Итого по категории "Руководители"</t>
  </si>
  <si>
    <t xml:space="preserve">   Категория: "Специалисты"</t>
  </si>
  <si>
    <t>группа "Педагогический персонал"</t>
  </si>
  <si>
    <t>Учитель-дефектолог</t>
  </si>
  <si>
    <t>Преподаватель организатор основ безопасности и жизнедеятельности (допризывной подготовки)</t>
  </si>
  <si>
    <t>Педагог-организатор</t>
  </si>
  <si>
    <t>Педагог дополнительного образования</t>
  </si>
  <si>
    <t>Учитель</t>
  </si>
  <si>
    <t>Эсперты</t>
  </si>
  <si>
    <t>итого по группе</t>
  </si>
  <si>
    <t>группа "Прочие специалисты"</t>
  </si>
  <si>
    <t>Инженер (по техническим средствам обучения)</t>
  </si>
  <si>
    <t>Специалист (по связям с общественностью)</t>
  </si>
  <si>
    <t>Специалист (по питанию)</t>
  </si>
  <si>
    <t>Бухгалтер</t>
  </si>
  <si>
    <t>Экономист 1 категории</t>
  </si>
  <si>
    <t>Лаборант</t>
  </si>
  <si>
    <t>Звукооператор</t>
  </si>
  <si>
    <t>Документовед</t>
  </si>
  <si>
    <t>Библиотекарь</t>
  </si>
  <si>
    <t xml:space="preserve">итого по группе </t>
  </si>
  <si>
    <t>Итого по категории "Специалисты"</t>
  </si>
  <si>
    <t>Итого по категории "Служащие"</t>
  </si>
  <si>
    <t>Архивариус</t>
  </si>
  <si>
    <t>Ассистент по оказанию технической помощи</t>
  </si>
  <si>
    <t xml:space="preserve">   Категория "Служащие"</t>
  </si>
  <si>
    <t xml:space="preserve">   Категория "Рабочие"</t>
  </si>
  <si>
    <t>Водитель</t>
  </si>
  <si>
    <t>Вахтер</t>
  </si>
  <si>
    <t>Итого по категории "Рабочие"</t>
  </si>
  <si>
    <t>Итого (местный бюджет, окружной бюджет):</t>
  </si>
  <si>
    <t>Содействие улучшению положения на рынке труда не занятых трудовой деятельность и безработных граждан</t>
  </si>
  <si>
    <t>курьер</t>
  </si>
  <si>
    <t>Компенсация расходов на оплату стоимости проезда и провоза багажа к месту использования отпуска и обратно(работники учреждения)</t>
  </si>
  <si>
    <t>Компенсация расходов на оплату стоимости проезда и провоза багажа к месту использования отпуска и обратно (иждивенцы работников кучреждения)</t>
  </si>
  <si>
    <t>4 квартал 2019.</t>
  </si>
  <si>
    <t>1,2,3 кв.  2020г.</t>
  </si>
  <si>
    <t xml:space="preserve">Обслуживание кнопки тревожной сигнализации </t>
  </si>
  <si>
    <t>Проведение технического состояния транспортного средства</t>
  </si>
  <si>
    <t xml:space="preserve">Охранные услуги (постовая охрана) </t>
  </si>
  <si>
    <t>Предрейсовый , послерейсовый медицинский осмотр водителя</t>
  </si>
  <si>
    <t>Информационно-технические услуги (право использования и годовое сопровождение программы "Сбис")</t>
  </si>
  <si>
    <t>Право использование программы ЭВМ "Квалифицированный классик", для управления сертификатом УРМ</t>
  </si>
  <si>
    <t>установка и настройка ПО VIP Net Client (КТЗ)</t>
  </si>
  <si>
    <t xml:space="preserve"> Оплата прочих работ, услуг  (окружной бюджет ), в том числе</t>
  </si>
  <si>
    <t>Организация питания обучающихся (софинансирование)</t>
  </si>
  <si>
    <t>Организация питания обучающихся (льготная категория)</t>
  </si>
  <si>
    <t>повышение квалификации работников учреждения</t>
  </si>
  <si>
    <t>4.1.</t>
  </si>
  <si>
    <t>4.2.</t>
  </si>
  <si>
    <t xml:space="preserve"> Оплата прочих работ, услуг  (окружной бюджет), п.3.10. Обеспечение проведения государственной итоговой аттестации,  в том числе</t>
  </si>
  <si>
    <t>5.1.</t>
  </si>
  <si>
    <t>приобретение программного продукта - Шлюз безопасности+контент фильтр</t>
  </si>
  <si>
    <t>госстандарт</t>
  </si>
  <si>
    <t xml:space="preserve"> Оплата прочих работ, услуг  (окружной, местный бюджет), п.7.1. Организация работы лагеря дневного прибывания,в том числе</t>
  </si>
  <si>
    <t>6.1.</t>
  </si>
  <si>
    <t>6.2.</t>
  </si>
  <si>
    <t>6.3.</t>
  </si>
  <si>
    <t>6.4.</t>
  </si>
  <si>
    <t>Организация горячего питания в лагере дневного прибывания (местный бюджет)</t>
  </si>
  <si>
    <t>Организация горячего питания в лагере дневного прибывания (окружной бюджет)</t>
  </si>
  <si>
    <t>Посещение  кинотеатра в лагере дневного прибывания</t>
  </si>
  <si>
    <t>Страхование обучающихся в лагере с дневным прибыванием</t>
  </si>
  <si>
    <t>классы</t>
  </si>
  <si>
    <t>приобретение сканера на ЕГЭ</t>
  </si>
  <si>
    <t xml:space="preserve"> КОСГУ 341 " Увеличение стоимости лекарственных препаратов и материалов"</t>
  </si>
  <si>
    <t xml:space="preserve"> КОСГУ 342 "Увеличение стоимости продуктов питания"</t>
  </si>
  <si>
    <t xml:space="preserve"> КОСГУ 343 "Увеличение стоимости ГСМ"</t>
  </si>
  <si>
    <t xml:space="preserve"> КОСГУ 344 " Увеличение стоимости строительных материалов"</t>
  </si>
  <si>
    <t>ГСМ</t>
  </si>
  <si>
    <t>приобретение спец.одежды</t>
  </si>
  <si>
    <t xml:space="preserve"> КОСГУ 345 " Увеличение стоимости мягкого инвентаря"</t>
  </si>
  <si>
    <t>КОСГУ 346"Увеличение стоимости прочих оборотных запасов"</t>
  </si>
  <si>
    <t>моющие, дезинфицирующие средства</t>
  </si>
  <si>
    <t>хозяйственные товары</t>
  </si>
  <si>
    <t>раздел 4 печатные пособия, библиотечный фонд - приобретение учебных пособий КОСГУ 346</t>
  </si>
  <si>
    <t>раздел 6 расходные материалы - приобретение канц.товаров, картриджей, расходных материалов для каб. Химии, технологии КОСГУ 346</t>
  </si>
  <si>
    <t>КОСГУ 349"Увеличение стоимости прочих материальных запасов однократного применения"</t>
  </si>
  <si>
    <t>изготовление бланков строгой отчетности</t>
  </si>
  <si>
    <t>3.2.</t>
  </si>
  <si>
    <t>приобретение настольных игр, хоз.товаров, моющих средств</t>
  </si>
  <si>
    <t>лагерь ДПД (местный бюджет)</t>
  </si>
  <si>
    <t>питание в лагере ДПД (местный бюджет)</t>
  </si>
  <si>
    <t>питание в лагере ДПД (окружной бюджет)</t>
  </si>
  <si>
    <t>п.1.4. (центр занятости</t>
  </si>
  <si>
    <t>п. РО 3.10. (ЕГЭ)</t>
  </si>
  <si>
    <t xml:space="preserve"> Приобретение основных средств  (окружной бюджет), п.3.10. Обеспечение проведения государственной итоговой аттестации,  в том числе</t>
  </si>
  <si>
    <t>Итого лагерь дневного прибывания (местный бюджет):</t>
  </si>
  <si>
    <t>5.1. Страхование (КОСГУ 227)</t>
  </si>
  <si>
    <t>Страхование автомобиля (местный бюджет)</t>
  </si>
  <si>
    <t>программа "Развитие образования и молодежной политики в городе Урай" на 2019-2030 годы, подпрограмма 3, подпункт 3.6. "Мероприятия, способствующие развитию детских органов самоуправления (проведение и участие  в мероприятиях городского, окружного и федерального уровней)</t>
  </si>
  <si>
    <t>суточные расходы на участие в фестивале"Диалог цивилизаций" сопровождающему</t>
  </si>
  <si>
    <t>программа "Развитию образования и молодежной политики в городе Урай" на 2019-2030 годы", подпрограмма 3, подпункт3.4. "Реализация мероприятий , направленных на гражданско-патриотическое воспитание молодежи" (бюджет городского округа Урай).</t>
  </si>
  <si>
    <t>расходы в части суточных  расходов, для участия в поисковой экспедиции "Патриот"</t>
  </si>
  <si>
    <t>2 человек по 21 сутки</t>
  </si>
  <si>
    <t>оплата транспортных расходов, проживание сопровождающему на фестиваль "Диалог цивилизаций"(квр 112)</t>
  </si>
  <si>
    <t>оплата транспортных расходов, проживание, обучающегося  на фестиваль "Диалог цивилизаций"(квр 113)</t>
  </si>
  <si>
    <t>огранизация горячего питания (обучающийся)</t>
  </si>
  <si>
    <t>программа "Развитию образования и молодежной политики в городе Урай" на 2019-2030 годы", подпрограмма 3, подпункт 3.4. "Реализация мероприятий , направленных на гражданско-патриотическое воспитание молодежи" (бюджет городского округа Урай).</t>
  </si>
  <si>
    <t>стрельба в городском тире (учебные сборы) квр 244</t>
  </si>
  <si>
    <t>организация горячего питания (учебные сборы) квр 244</t>
  </si>
  <si>
    <t>проезд, проживание сопровождающих  отряда "Патриот"(2 сопровождающих) КВР 112</t>
  </si>
  <si>
    <t>программа "Развитие образования и молодежной политики в городе Урай" на 2019-2030 годы, подпрограмма 5, подпункт 5.3. "Обеспечение деятельности медицинского кабинета" (бюджет городского округа)</t>
  </si>
  <si>
    <t>оснащение для медицинского кабинета</t>
  </si>
  <si>
    <t>вода бутилированная (на проведение учебных сборов)</t>
  </si>
  <si>
    <t>форма камуфляжная</t>
  </si>
  <si>
    <t>п.3 п 3.4</t>
  </si>
  <si>
    <t>п.2 п 2.5</t>
  </si>
  <si>
    <t>Горячее водоснабжение, куб.м (компонент на холодную воду)</t>
  </si>
  <si>
    <t>Горячее водоснабжение, Гкал (компонент на тепловую энергию)</t>
  </si>
  <si>
    <t>Свод средств от предпринимательской и иной приносящей доход деятельности</t>
  </si>
  <si>
    <t>Приобретение основных средств , в том числе</t>
  </si>
  <si>
    <t>лагерь ДПД</t>
  </si>
  <si>
    <t>Итого :</t>
  </si>
  <si>
    <t>Возмещение расходов на прохождение медицинского осмотра (ЛДП)</t>
  </si>
  <si>
    <t>органинизация гор.питания (местный бюджет)</t>
  </si>
  <si>
    <t>1.2. Расчеты (обоснования) выплат компенсационного характера персоналу, не включаемых в фонд оплаты труда (КОСГУ 212, 214, 226 / КВР 112, 113)</t>
  </si>
  <si>
    <t xml:space="preserve"> Приобретение  расходных материалов, канц.товаров и т.д.  (окружной бюджет), п.3.10. Обеспечение проведения государственной итоговой аттестации,  в том числе</t>
  </si>
  <si>
    <t>года</t>
  </si>
  <si>
    <t>Материальная помощь на погребение (местный бюджет)</t>
  </si>
  <si>
    <t>работа</t>
  </si>
  <si>
    <t>2. Расчеты (обоснования) расходов на социальные и иные выплаты населению КОСГУ 263/КВР 321</t>
  </si>
  <si>
    <t>КОСГУ 266 (КВР 111, 321)</t>
  </si>
  <si>
    <t>Выплата пособий по сокращению численности (КВР 321)</t>
  </si>
  <si>
    <t>Выплата пособий за первые три дня временной нетрудоспособности за счет средств работодателя (окружной бюджет) КВР 111</t>
  </si>
  <si>
    <t>Итого по КОСГУ 340:</t>
  </si>
  <si>
    <t>Начисление на оплату труда экспертам (окружной бюджет)</t>
  </si>
  <si>
    <t>Оплата экспертам за проверку работ по ЕГЭ, ОГЭ (окружной бюджет)</t>
  </si>
  <si>
    <t>Организация питания обучающихся (софинансирование 1 - 4 классы)</t>
  </si>
  <si>
    <t>2. Расчеты (обоснования) расходов на социальные и иные выплаты населению КОСГУ 296/КВР 350</t>
  </si>
  <si>
    <t>награждения учащихся стипендией главы города Урай</t>
  </si>
  <si>
    <t>награждения учащихся премией ООО "ЛУКОЙЛ-Западная Сибирь"</t>
  </si>
  <si>
    <t>Программа «Развитие образования и молодежной политики в городе Урай» на 2019-2030 годы, утвержденной постановлением администрации города Урай от 27.09.2018 №2502, подпрограмма III , подпункт 3.2. "Организация и проведение мероприятий по развитию талантливых  детей и молодежи (участие в муниципальных, региональных, федеральных  учебно-исследовательских и творческих мероприятиях: олимпиады, сессии, форумы, чемпионаты, конкурсы, слеты, профильные смены; награждение  с участием главы города Урай, Губернатора Ханты-Мансийского автономного округа - Югры, награждение именной премией общества с ограниченной ответственностью «ЛУКОЙЛ – Западная Сибирь»  учащихся общеобразовательных организаций за отличную учебу и примерное поведение, достижение значительных результатов в олимпиадах, смотрах и конкурсах и др.)"                                                                                                                                            (бюджет городского округа)</t>
  </si>
  <si>
    <t>п.3 п.3.2</t>
  </si>
  <si>
    <t>Приобретение основных средств (гранд, софин-е местный бюджет) по итогам конкурса на лучшею подготовку к воееной службе , в том числе</t>
  </si>
  <si>
    <t>приобретение щита для метания, саперные лопатки,переносная радиостанции</t>
  </si>
  <si>
    <t>п. 3.4</t>
  </si>
  <si>
    <t>приобретение стартовых номеров</t>
  </si>
  <si>
    <t>федеральные средства</t>
  </si>
  <si>
    <t>"Успех каждого ребенка"</t>
  </si>
  <si>
    <t>выполнение работ по дезинфекции помещения учреждения</t>
  </si>
  <si>
    <t>помощь депутата Думы ХМАО-Югры</t>
  </si>
  <si>
    <t>приобретение мебели для медицинского блока, светильника, облучателя-рециркулятора, питьевого фонтанчика, пульта микшерского</t>
  </si>
  <si>
    <t>раздел 3 "Цифровые образовательные ресурсы, экранно-звуковые пособия" демонстрационное , учебное оборудование , наглядные средства обучения- мебель в столовую, учебные классы</t>
  </si>
  <si>
    <t>раздел 5 "Игры и игрушки… "</t>
  </si>
  <si>
    <t xml:space="preserve">раздел 1 "Технические средства обучения"  - приобретение компьютерного класса, системного блока, проектора </t>
  </si>
  <si>
    <t>раздел 2  "Демонстрационное , учебное оборудование , наглядные средства обучения" - мебель в столовую, учебные классы</t>
  </si>
  <si>
    <t>раздел 4 "Печатные пособия, библиотечный фонд"  - приобретение учебников</t>
  </si>
  <si>
    <t>раздел 6  "Расходные материалы"  - приобретение оборудования для кабинета химии, технологии</t>
  </si>
  <si>
    <t>дотация на поддержку мер по обеспечению сбалансированности бюджетов городских округови муниципальных районов ХМАО-Югры, направленные на мероприятия, связанные с профилактикой и устранением последствий распространения новой короновирусной инфекцией</t>
  </si>
  <si>
    <t>Дотация (дезинфекция помещения)</t>
  </si>
  <si>
    <t xml:space="preserve">Оплата труда работникам лагеря с дневным пребыванием </t>
  </si>
  <si>
    <t>приобретение канц.товаров для ГДП</t>
  </si>
  <si>
    <t>ВСЕГО</t>
  </si>
  <si>
    <t>Ежемесячное денежное вознаграждение за классное руководство</t>
  </si>
  <si>
    <t>ежемесячное вознаграждение за кл.рук</t>
  </si>
  <si>
    <t>приобретение термометров</t>
  </si>
  <si>
    <t>выполнение печатных работ</t>
  </si>
  <si>
    <t>приобретение значков юнармии</t>
  </si>
  <si>
    <t>приобретение парадной формы</t>
  </si>
  <si>
    <t>Субсидия на реализацию муниципальной программы «Развитие образования и молодежной политики в городе Урай» на 2019-2030 годы, утвержденной постановлением администрации города Урай от 27.09.2018 №2502, подпрограмма II, подпункт 2.5. "Обеспечение безопасных и комфортных условий обучения, в т.ч. устранение предписаний надзорных органов" (наказы избирателей депутатам Думы ХМАО-Югры)</t>
  </si>
  <si>
    <t>Субсидия на реализацию муниципальной программы «Развитие образования и молодежной политики в городе Урай» на 2019-2030 годы, утвержденной постановлением администрации города Урай от 27.09.2018 №2502, подпрограмма III, подпункт 3.12 "Реализация основного мероприятия регионального проекта «Успех каждого ребенка». Расходы на создание новых мест дополнительного образования детей"</t>
  </si>
  <si>
    <t>приобретение СЗИ</t>
  </si>
  <si>
    <t>п.1 п.1.4.</t>
  </si>
  <si>
    <t>программа "Защита населения и территории от чрезвычайных ситуаций, совершенствование гражданской обороны и  обеспечение первичных мер пожарной безопасности" на 2019-2030 годы, утвержденной постановлением администрациигорода Урай от 25.09.2018 №2467, п.п.1, п.1.4. "Профилактика инфекционных и паразитарных заболеваний" (бюджет городского округа Урай).</t>
  </si>
  <si>
    <t>приобретение набора метательных ножей, тренажор-петля</t>
  </si>
  <si>
    <t>огнетушители, коврик на остаток 2400</t>
  </si>
  <si>
    <t>изготовление пригласительных, буклетов, программок, печать грамот и благотворительных писем</t>
  </si>
  <si>
    <t>приобретение акустической системы, наборов инструментов, шлифовальной  машины, портативного верстака, шкаф для хим.реагентов, швейной машинки по коже, паяльной лампы и  т.д.(реализация проекта "По дорожкам фронтовыим", благотворительные средства)</t>
  </si>
  <si>
    <t>приобретение спецодежды (реализация проекта "По дорожкам фронтовым", благотворительные средства)</t>
  </si>
  <si>
    <t>Приобретение материальных запасов, в том числе</t>
  </si>
  <si>
    <t>приобретение расходных материалов (реализация проекта "По дорожкам фронтовым", благотворительные средства)</t>
  </si>
  <si>
    <t>4.4.</t>
  </si>
  <si>
    <t>приобретение МЭО</t>
  </si>
  <si>
    <t>остаток средств от штрафа с электронной площадки - приобретение канц.товаров</t>
  </si>
  <si>
    <t>средства от аренды - приобретение расходных материалов</t>
  </si>
  <si>
    <t xml:space="preserve"> год</t>
  </si>
  <si>
    <t>сайт ПО веб сайта Модуль обращения граждан (школьный сайт)</t>
  </si>
  <si>
    <t>СОГЛАСОВАНО:</t>
  </si>
  <si>
    <t>УТВЕРЖДАЮ:</t>
  </si>
  <si>
    <t xml:space="preserve">(должностное лицо органа, 
осуществляющего фкункции и 
полномочия учредителя)   </t>
  </si>
  <si>
    <t>(наименование должностного лица, 
утверждающего документ)</t>
  </si>
  <si>
    <t>(подпись)                                   (расшифровка подписи)</t>
  </si>
  <si>
    <t>от</t>
  </si>
  <si>
    <t>000</t>
  </si>
  <si>
    <t>доходы от собственности, всего</t>
  </si>
  <si>
    <t>АРЕНДА</t>
  </si>
  <si>
    <t>доходы от оказания услуг, работ, компенсации затрат учреждений, всего</t>
  </si>
  <si>
    <t>субсидии на финансовое обеспечение выполнения муниципального задания за счет средств бюджета публично-правового образования, создавшего учреждение</t>
  </si>
  <si>
    <t>МЗ</t>
  </si>
  <si>
    <t>поступления от оказания услуг (выполнения работ) на платной основе и от иной приносящей доход деятельности</t>
  </si>
  <si>
    <t>1230</t>
  </si>
  <si>
    <t>доходы от компенсации затрат</t>
  </si>
  <si>
    <t>1240</t>
  </si>
  <si>
    <t>безвозмездные денежные поступления, всего</t>
  </si>
  <si>
    <t>1410</t>
  </si>
  <si>
    <t>целевые субсидии</t>
  </si>
  <si>
    <t>1420</t>
  </si>
  <si>
    <t>прочие доходы, всего</t>
  </si>
  <si>
    <t>ИНЫЕ</t>
  </si>
  <si>
    <t>211, 266</t>
  </si>
  <si>
    <t>212, 214, 226</t>
  </si>
  <si>
    <t>расходы на выплаты военнослужащим и сотрудникам, имеющим специальные звания, зависящие от размера денежного довольствия</t>
  </si>
  <si>
    <t>2180</t>
  </si>
  <si>
    <t>2181</t>
  </si>
  <si>
    <t xml:space="preserve">иные выплаты населению </t>
  </si>
  <si>
    <t xml:space="preserve"> гранты, предоставляемые бюджетным учреждениям</t>
  </si>
  <si>
    <t xml:space="preserve"> гранты, предоставляемые автономным учреждениям</t>
  </si>
  <si>
    <t xml:space="preserve"> гранты, предоставляемые иным некоммерческим организациям (за исключением бюджетных и автономных учреждений)</t>
  </si>
  <si>
    <t>2440</t>
  </si>
  <si>
    <t>2450</t>
  </si>
  <si>
    <t>2460</t>
  </si>
  <si>
    <r>
      <t xml:space="preserve">&lt;1&gt;  В Разделе 2 "Сведения по выплатам на закупку товаров, работ, услуг" Плана детализируются показатели выплат по расходам на закупку товаров, работ, услуг,  отраженные по соответствующим строкам  </t>
    </r>
    <r>
      <rPr>
        <sz val="10"/>
        <rFont val="Times New Roman"/>
        <family val="1"/>
        <charset val="204"/>
      </rPr>
      <t xml:space="preserve"> Раздела 1</t>
    </r>
    <r>
      <rPr>
        <sz val="10"/>
        <color theme="1"/>
        <rFont val="Times New Roman"/>
        <family val="1"/>
        <charset val="204"/>
      </rPr>
      <t xml:space="preserve"> «Поступления и выплаты» Плана.</t>
    </r>
    <r>
      <rPr>
        <b/>
        <sz val="10"/>
        <color theme="1"/>
        <rFont val="Times New Roman"/>
        <family val="1"/>
        <charset val="204"/>
      </rPr>
      <t xml:space="preserve">          </t>
    </r>
  </si>
  <si>
    <t>Код по бюджетной классификации РФ</t>
  </si>
  <si>
    <t>1.3.1.</t>
  </si>
  <si>
    <t>из них: субсидия на иные цели, на осуществление капитальных вложений или грант в форме субсидии...(п.4 ст.78.1)</t>
  </si>
  <si>
    <t>26310.1</t>
  </si>
  <si>
    <t>1.3.2.</t>
  </si>
  <si>
    <t>26421.1</t>
  </si>
  <si>
    <t>26430.1</t>
  </si>
  <si>
    <t>П+РП+Б</t>
  </si>
  <si>
    <t>26451.1</t>
  </si>
  <si>
    <t>2023 год</t>
  </si>
  <si>
    <t>Лабораторные - химические анализы воды, определение нормы дез.хлора</t>
  </si>
  <si>
    <t>4.3.</t>
  </si>
  <si>
    <t>приобретение программного продукта - "Первая помощь….."</t>
  </si>
  <si>
    <t>п.3 п.п. 3.10 Возмещение расходов экспертам (проезд, проживание)</t>
  </si>
  <si>
    <t>Муниципальное бюджетное общеобразовательное учреждение 
средняя общеобразовательная школа № 5</t>
  </si>
  <si>
    <t>пересмотреть</t>
  </si>
  <si>
    <t>будет</t>
  </si>
  <si>
    <t>1 раз в квартал</t>
  </si>
  <si>
    <t>обслучивание питьевых фонтанчиков (10 шт + система УВО в столовой 2 шт)</t>
  </si>
  <si>
    <t>Возмещение расходов (проезд, проживание)(местный бюджет)</t>
  </si>
  <si>
    <t>Компенсация дополнительных расходов (командировка)</t>
  </si>
  <si>
    <t>Возмещение расходов на проживание и транспортные расходы (командировка)</t>
  </si>
  <si>
    <t>Оплата проезда к месту учебы</t>
  </si>
  <si>
    <t>выполнение ремонтных работ в учреждении(ремонт орг.техники, оборудования в пищеблоке и т.д.)</t>
  </si>
  <si>
    <t>защита каналов связи (РО п.3.10.), (ЕГЭ, ГИА)</t>
  </si>
  <si>
    <t>Методист</t>
  </si>
  <si>
    <t>декабрь</t>
  </si>
  <si>
    <t>Л.Р.Зорина</t>
  </si>
  <si>
    <t>Е.Н.Крицкая</t>
  </si>
  <si>
    <t>Итого (федеральный бюджет):</t>
  </si>
  <si>
    <t>Выплата пособий за первые три дня временной нетрудоспособности за счет средств работодателя (феральный бюджет)</t>
  </si>
  <si>
    <t>3.3.</t>
  </si>
  <si>
    <t xml:space="preserve"> Оплата прочих работ, услуг  (окружной, федеральный бюджет ), в том числе</t>
  </si>
  <si>
    <t>Организация питания обучающихся (1 - 4 классы) окружной бюджет</t>
  </si>
  <si>
    <t>Организация питания обучающихся (1 - 4 классы) федеральный бюджет</t>
  </si>
  <si>
    <t>примечание</t>
  </si>
  <si>
    <t>строительные материалы необходимы для проведения косметического ремонта в учреждении</t>
  </si>
  <si>
    <t>строительные материалы (лаки, краски,кисть, и т.д….)</t>
  </si>
  <si>
    <t xml:space="preserve">шкаф расстоечный </t>
  </si>
  <si>
    <t>пароконвектомат</t>
  </si>
  <si>
    <t>плита электрическая 4-х конфорочная без жарочного шкафа</t>
  </si>
  <si>
    <t>слайсер</t>
  </si>
  <si>
    <t>2.8.</t>
  </si>
  <si>
    <t>2.9.</t>
  </si>
  <si>
    <t>2.10.</t>
  </si>
  <si>
    <t>2.11.</t>
  </si>
  <si>
    <t>2.12.</t>
  </si>
  <si>
    <t>Оплата за обучение по охране труда</t>
  </si>
  <si>
    <t>Специальная оценка условий труда (делаем постепенно все раб.места у которых заканчивается срок оценки)</t>
  </si>
  <si>
    <t>место</t>
  </si>
  <si>
    <t>1.13.</t>
  </si>
  <si>
    <t>1.14.</t>
  </si>
  <si>
    <t>1.15.</t>
  </si>
  <si>
    <t>обслуживание необходимо для безопасной эксплуатации спортивного сооружения</t>
  </si>
  <si>
    <t>Обслуживание СКУД, видеонаблюдения</t>
  </si>
  <si>
    <t>Обслуживание пожарных кранов (гидрантов)</t>
  </si>
  <si>
    <t>Техническое обслуживание и технический ремонт шлагбаума  (совместно с электрическими приводовами ворот)</t>
  </si>
  <si>
    <t>Техническое обслуживание и технический ремонт электромагнитных замков и кнопок экстренного открытия дверей</t>
  </si>
  <si>
    <t>услугу</t>
  </si>
  <si>
    <t>2.13.</t>
  </si>
  <si>
    <t>1.16.</t>
  </si>
  <si>
    <t>Сертификат (освидетельствование ворот футбольных)</t>
  </si>
  <si>
    <t>2.14.</t>
  </si>
  <si>
    <t>2.15.</t>
  </si>
  <si>
    <t>приобретение новогодней ели, гирлянды</t>
  </si>
  <si>
    <t>приобретение новогодней иллюминации</t>
  </si>
  <si>
    <t>2.16.</t>
  </si>
  <si>
    <t>2.17.</t>
  </si>
  <si>
    <t>приобретение сервера для видеонаблюдения</t>
  </si>
  <si>
    <t>2.18.</t>
  </si>
  <si>
    <t>2.19.</t>
  </si>
  <si>
    <t>камера видеонаблюдения</t>
  </si>
  <si>
    <t>стол кондитерский</t>
  </si>
  <si>
    <t>2.20.</t>
  </si>
  <si>
    <t>2.21.</t>
  </si>
  <si>
    <t>банкетки</t>
  </si>
  <si>
    <t>приобретение СЗИ (для работников учреждения)</t>
  </si>
  <si>
    <t>2.22.</t>
  </si>
  <si>
    <t>2.23.</t>
  </si>
  <si>
    <t>калорифер (пищеблок)</t>
  </si>
  <si>
    <t>вентиляр (пищеблок)</t>
  </si>
  <si>
    <t>приобретение штор</t>
  </si>
  <si>
    <t>приобретение автошины на автомобиль (лето)</t>
  </si>
  <si>
    <t>статья 223   примечание</t>
  </si>
  <si>
    <t>статья 225  примечание</t>
  </si>
  <si>
    <t>статья 226 примечание</t>
  </si>
  <si>
    <t>статья 344   примечание</t>
  </si>
  <si>
    <t>статья 345    примечание</t>
  </si>
  <si>
    <t>статья 346   примечание</t>
  </si>
  <si>
    <t>Разработка проектно сметной документации по видеонаблюдению (т.е. увеличение видиокамер), требование антитеррористической безопасности)</t>
  </si>
  <si>
    <t>увеличение суммы на моющие обусловленно  ростом цен. Хозяйственные товары  рост, т.к. необходимо закупить ведра, швабры, веники, совки, грабли, лопаты, имеющиеся пришли в не годность. СЗИ необходимо для работников учреждения.</t>
  </si>
  <si>
    <t>соблюдения требований роспотребнадзора</t>
  </si>
  <si>
    <t>соблюдения требований антитеррористической безопасности</t>
  </si>
  <si>
    <t>Очистка кровли от наледи</t>
  </si>
  <si>
    <t>усугу</t>
  </si>
  <si>
    <t>стирка штор</t>
  </si>
  <si>
    <t>1020*12</t>
  </si>
  <si>
    <t xml:space="preserve">101291 отыграли </t>
  </si>
  <si>
    <t xml:space="preserve">телефонная связь </t>
  </si>
  <si>
    <t>органинизация гор.питания (федеральный, окружной бюджет)</t>
  </si>
  <si>
    <t>Уникальный код &lt;3&gt;</t>
  </si>
  <si>
    <t>из них &lt;3&gt;:</t>
  </si>
  <si>
    <t>26430.2</t>
  </si>
  <si>
    <t>26451.2</t>
  </si>
  <si>
    <t>Доплата до МРОТ (29957,4 руб.)</t>
  </si>
  <si>
    <t>началка</t>
  </si>
  <si>
    <t>приобретение канц.товаров</t>
  </si>
  <si>
    <t>приобретение калькуляторов</t>
  </si>
  <si>
    <t>10% = 4803353</t>
  </si>
  <si>
    <t>_____________________Л.В.Зайцева</t>
  </si>
  <si>
    <t>Директор МБОУ СОШ №5</t>
  </si>
  <si>
    <t>компенсация  950000</t>
  </si>
  <si>
    <t xml:space="preserve"> Расчет (обоснование) расходов на оплату коммунальных услуг (КОСГУ 223, КВР 247)</t>
  </si>
  <si>
    <t>6.3. Расчет (обоснование) расходов на оплату коммунальных услуг (КОСГУ 223, КВР 244)</t>
  </si>
  <si>
    <t>ИТОГО 223 статья</t>
  </si>
  <si>
    <t>Тьютер</t>
  </si>
  <si>
    <t>Всего:</t>
  </si>
  <si>
    <t xml:space="preserve">1 раз в полугодие </t>
  </si>
  <si>
    <t>1 раз в год</t>
  </si>
  <si>
    <t>Объект, цикличность</t>
  </si>
  <si>
    <t>4 квартал 2022.</t>
  </si>
  <si>
    <t>1,2,3 кв.  2023г.</t>
  </si>
  <si>
    <t>134, 135</t>
  </si>
  <si>
    <t>152, 155</t>
  </si>
  <si>
    <t>мероприятие 11.00.03</t>
  </si>
  <si>
    <t>213, 226, 345</t>
  </si>
  <si>
    <t>226, 345</t>
  </si>
  <si>
    <t>221,223,225,226,228,310,342,344,346,353</t>
  </si>
  <si>
    <t>мероприятие 11.00.01, 11.00.05</t>
  </si>
  <si>
    <t>формула = стр 0001+1000-2000+3000</t>
  </si>
  <si>
    <t>Формула=стр 1100+1200+1300+1400+1500+1900+1980</t>
  </si>
  <si>
    <t>МЗ+Пл+РП</t>
  </si>
  <si>
    <t>МЗ "1"л/с</t>
  </si>
  <si>
    <t>Пл+РП "2" л/с+"6" л/с</t>
  </si>
  <si>
    <r>
      <t>ШТРАФЫ  "3" л/с  (</t>
    </r>
    <r>
      <rPr>
        <b/>
        <sz val="11"/>
        <color rgb="FFC00000"/>
        <rFont val="Calibri"/>
        <family val="2"/>
        <charset val="204"/>
        <scheme val="minor"/>
      </rPr>
      <t xml:space="preserve">ВНИМАНИЕ! </t>
    </r>
    <r>
      <rPr>
        <sz val="11"/>
        <color rgb="FFC00000"/>
        <rFont val="Calibri"/>
        <family val="2"/>
        <charset val="204"/>
        <scheme val="minor"/>
      </rPr>
      <t>Налог с доходов в стр. 3020!)</t>
    </r>
  </si>
  <si>
    <t>ИНЫЕ+ ГРАНТЫ  "7" л/с+БЛАГОТВОРИТЕЛЬНОСТЬ+ГРАНТЫ "3" л/с</t>
  </si>
  <si>
    <r>
      <t>ИНЫЕ "7" л/с (</t>
    </r>
    <r>
      <rPr>
        <b/>
        <sz val="11"/>
        <color rgb="FFC00000"/>
        <rFont val="Calibri"/>
        <family val="2"/>
        <charset val="204"/>
        <scheme val="minor"/>
      </rPr>
      <t xml:space="preserve">ВНИМАНИЕ! </t>
    </r>
    <r>
      <rPr>
        <sz val="11"/>
        <color rgb="FFC00000"/>
        <rFont val="Calibri"/>
        <family val="2"/>
        <charset val="204"/>
        <scheme val="minor"/>
      </rPr>
      <t>Только целевые!)</t>
    </r>
  </si>
  <si>
    <r>
      <t xml:space="preserve"> ВНИМАНИЕ!</t>
    </r>
    <r>
      <rPr>
        <sz val="11"/>
        <color rgb="FFC00000"/>
        <rFont val="Calibri"/>
        <family val="2"/>
        <charset val="204"/>
        <scheme val="minor"/>
      </rPr>
      <t xml:space="preserve"> В стр 1900 </t>
    </r>
    <r>
      <rPr>
        <b/>
        <sz val="11"/>
        <color rgb="FFC00000"/>
        <rFont val="Calibri"/>
        <family val="2"/>
        <charset val="204"/>
        <scheme val="minor"/>
      </rPr>
      <t xml:space="preserve">не входит </t>
    </r>
    <r>
      <rPr>
        <sz val="11"/>
        <color rgb="FFC00000"/>
        <rFont val="Calibri"/>
        <family val="2"/>
        <charset val="204"/>
        <scheme val="minor"/>
      </rPr>
      <t xml:space="preserve"> стр 1980!</t>
    </r>
  </si>
  <si>
    <t>формула = 2100+2200+2300+2400+2500+2600</t>
  </si>
  <si>
    <t>закупку научно-исследовательских и опытно-конструкторских  и технологических работработ</t>
  </si>
  <si>
    <t>прочую закупку товаров, работ и услуг</t>
  </si>
  <si>
    <t>закупку товаров, работ, услуг в целях создания, развития, эксплуатации и вывода из  эксплуатации государственных информационных систем</t>
  </si>
  <si>
    <t>закупку энергетических ресурсов</t>
  </si>
  <si>
    <t>2700</t>
  </si>
  <si>
    <t>в том числе: приобретение объектов недвижимого имущества муниципальными учреждениями</t>
  </si>
  <si>
    <t>2710</t>
  </si>
  <si>
    <t>2720</t>
  </si>
  <si>
    <t>26310.2</t>
  </si>
  <si>
    <t>&lt;3&gt; Указывается уникальный код объекта капитального строительства или объекта недвижимого имущества, присвоенный государственной интегрированной информационной системой управления общественными финансами "Электронный бюджет", в случае если  источником финансового обеспечения расходов на осуществление  капитальных вложений  являются средства федерального бюджета, в том  числе предоставленные в виде межбюджетного трансферта вцелях софинансирования</t>
  </si>
  <si>
    <r>
      <t xml:space="preserve">по контрактам (договорам), заключенным до начала текущего финансового года без применения норм Федерального </t>
    </r>
    <r>
      <rPr>
        <sz val="14"/>
        <rFont val="Times New Roman"/>
        <family val="1"/>
        <charset val="204"/>
      </rPr>
      <t>закона</t>
    </r>
    <r>
      <rPr>
        <sz val="14"/>
        <color theme="1"/>
        <rFont val="Times New Roman"/>
        <family val="1"/>
        <charset val="204"/>
      </rPr>
      <t xml:space="preserve"> от 05.04.2013 №44-ФЗ «О контрактной системе в сфере закупок товаров, работ, услуг для обеспечения государственных и муниципальных нужд» (далее - Федеральный закон №44-ФЗ) и Федерального </t>
    </r>
    <r>
      <rPr>
        <sz val="14"/>
        <rFont val="Times New Roman"/>
        <family val="1"/>
        <charset val="204"/>
      </rPr>
      <t>закона</t>
    </r>
    <r>
      <rPr>
        <sz val="14"/>
        <color theme="1"/>
        <rFont val="Times New Roman"/>
        <family val="1"/>
        <charset val="204"/>
      </rPr>
      <t xml:space="preserve"> от 18.07.2011 №223-ФЗ «О закупках товаров, работ, услуг отдельными видами юридических лиц» (далее - Федеральный закон №223-ФЗ)</t>
    </r>
  </si>
  <si>
    <r>
      <t xml:space="preserve">по контрактам (договорам), планируемым к заключению в соответствующем финансовом году без применения норм Федерального </t>
    </r>
    <r>
      <rPr>
        <sz val="14"/>
        <rFont val="Times New Roman"/>
        <family val="1"/>
        <charset val="204"/>
      </rPr>
      <t>закона</t>
    </r>
    <r>
      <rPr>
        <sz val="14"/>
        <color theme="1"/>
        <rFont val="Times New Roman"/>
        <family val="1"/>
        <charset val="204"/>
      </rPr>
      <t xml:space="preserve"> №44-ФЗ и Федерального </t>
    </r>
    <r>
      <rPr>
        <sz val="14"/>
        <rFont val="Times New Roman"/>
        <family val="1"/>
        <charset val="204"/>
      </rPr>
      <t>закона</t>
    </r>
    <r>
      <rPr>
        <sz val="14"/>
        <color theme="1"/>
        <rFont val="Times New Roman"/>
        <family val="1"/>
        <charset val="204"/>
      </rPr>
      <t xml:space="preserve"> №223-ФЗ</t>
    </r>
  </si>
  <si>
    <r>
      <t xml:space="preserve">по контрактам (договорам), заключенным до начала текущего финансового года с учетом требований Федерального </t>
    </r>
    <r>
      <rPr>
        <sz val="14"/>
        <rFont val="Times New Roman"/>
        <family val="1"/>
        <charset val="204"/>
      </rPr>
      <t>закона</t>
    </r>
    <r>
      <rPr>
        <sz val="14"/>
        <color theme="1"/>
        <rFont val="Times New Roman"/>
        <family val="1"/>
        <charset val="204"/>
      </rPr>
      <t xml:space="preserve"> №44-ФЗ и Федерального </t>
    </r>
    <r>
      <rPr>
        <sz val="14"/>
        <rFont val="Times New Roman"/>
        <family val="1"/>
        <charset val="204"/>
      </rPr>
      <t>закона</t>
    </r>
    <r>
      <rPr>
        <sz val="14"/>
        <color theme="1"/>
        <rFont val="Times New Roman"/>
        <family val="1"/>
        <charset val="204"/>
      </rPr>
      <t xml:space="preserve"> №223-ФЗ</t>
    </r>
  </si>
  <si>
    <r>
      <t xml:space="preserve">по контрактам (договорам), планируемым к заключению в соответствующем финансовом году с учетом требований Федерального </t>
    </r>
    <r>
      <rPr>
        <sz val="14"/>
        <rFont val="Times New Roman"/>
        <family val="1"/>
        <charset val="204"/>
      </rPr>
      <t>закона</t>
    </r>
    <r>
      <rPr>
        <sz val="14"/>
        <color theme="1"/>
        <rFont val="Times New Roman"/>
        <family val="1"/>
        <charset val="204"/>
      </rPr>
      <t xml:space="preserve"> №44-ФЗ и Федерального </t>
    </r>
    <r>
      <rPr>
        <sz val="14"/>
        <rFont val="Times New Roman"/>
        <family val="1"/>
        <charset val="204"/>
      </rPr>
      <t>закона</t>
    </r>
    <r>
      <rPr>
        <sz val="14"/>
        <color theme="1"/>
        <rFont val="Times New Roman"/>
        <family val="1"/>
        <charset val="204"/>
      </rPr>
      <t xml:space="preserve"> №223-ФЗ</t>
    </r>
  </si>
  <si>
    <t>2024 год</t>
  </si>
  <si>
    <t>необходима приобретение спец.одежды персоналу (категория рабочие) , так же зимнею одежду дворникам.</t>
  </si>
  <si>
    <t>объемы по факту 1 полугодия 2022 =77+46+76+106+92+75,  2 полугодие факт 2021=18+19+67+87+55+54. Тариф с 01.01.23= от 01.07.22., а с 01.07.23 предусмотрела рост тарифа в размере 4%</t>
  </si>
  <si>
    <t>объемы по факту 1 полугодия 2022 =3,6+2,2+3,6+5+4,3+3,5,  2 полугодие факт 2021=1+1+3,2+4,1+2,6+2,6. Тариф с 01.01.23= от 01.07.22., а с 01.07.23 предусмотрела рост тарифа в размере 4%</t>
  </si>
  <si>
    <t>объемы по факту 1 полугодия 2022 =49+71+175+157+146+135,  2 полугодие факт 2021=40+18+88+124+72+124. Тариф с 01.01.23= от 01.07.22., а с 01.07.23 предусмотрела рост тарифа в размере 4%</t>
  </si>
  <si>
    <t>объемы по факту 1 полугодия 2022 =94+113+251+263+238+210,  2 полугодие факт 2021=58+34+155+211+127+211.  Тариф с 01.01.23= от 01.07.22., а с 01.07.23 предусмотрела рост тарифа в размере 4%</t>
  </si>
  <si>
    <t>объемы по факту 1 полугодия 2022 =13*6 месяцев,  2 полугодие факт 2021=13*6 месяцев. Тариф с 01.01.23= от 01.07.22., а с 01.07.23 предусмотрела рост тарифа в размере 4%</t>
  </si>
  <si>
    <t>объемы по факту 1 полугодия 2022 = 158+165+180+93+54, 2 полугодие факт 2021=60+83+130+235. Тариф с 01.01.23=от 01.07.22., а с 01.07.23 предусмотрела рост тарифа в размере 4%</t>
  </si>
  <si>
    <t>объемы по факту 1 полугодия 2022 =12100+9876+12595+13647+12743+8412,  2 полугодие факт 2021=4513+1415+10588+13848+12598+14603. Тариф с 01.01.23=от 01.07.22., а с 01.07.23 предусмотрела рост тарифа в размере 4%</t>
  </si>
  <si>
    <t>сумма рассчитана из расчета стоимости 1 часа охраны в размере 326,19 рублей, всего часов 2373</t>
  </si>
  <si>
    <t>рабочие места в бухгалтерию</t>
  </si>
  <si>
    <t>жалюзи в бухгалтерию</t>
  </si>
  <si>
    <t>кондинционер в бухгалтерию</t>
  </si>
  <si>
    <t>средняя стоимость на 1 работника в переделах 6000,00</t>
  </si>
  <si>
    <t>предусмотрела рост 10%, договор 2022 года  36000,0</t>
  </si>
  <si>
    <t>первоначальная сумма на 2022 год= 101800, по результатам торгов сумма составила = 101291. предусмотрела рост 10%</t>
  </si>
  <si>
    <t>первоначальная сумма на 2022 год = 66000, по результатам торгов сумма составила = 42240. Предусмотрела рост 10%</t>
  </si>
  <si>
    <t>первоначальная сумма на 2022 год = 70000, по результатам торгов сумма составила = 39229. Предусмотрела рост 10%</t>
  </si>
  <si>
    <t>первоначальная сумма на 2022 год = 2880, предусмотрела рост 10%</t>
  </si>
  <si>
    <t>Итого = 7801,6 кв.м.Подвал учреждения = 1337,6 м2. Школа S= 6025,5 кв. м;, мастерская S= 278,5 кв. м; вспомогательное помещение S= 160 кв.м</t>
  </si>
  <si>
    <t>Итого = 6464 кв.м. Школа S= 6025 кв. м;, мастерская S= 278,5 кв. м; вспомогательное помещение S= 160 кв.м</t>
  </si>
  <si>
    <t>1.20.</t>
  </si>
  <si>
    <t>Проведение оценки профессиональных рисков</t>
  </si>
  <si>
    <t>Обучениепо пожарной безопасности</t>
  </si>
  <si>
    <t>Обучение по гражданской обороне</t>
  </si>
  <si>
    <t>Обучение по программе "Антитеррор"</t>
  </si>
  <si>
    <t>1 раз в 5 лет (согласно плана мероприятий от специалиста по охране труда)</t>
  </si>
  <si>
    <t>1 раз в 3 года (согласно плана мероприятийс от специалиста по охране труда)</t>
  </si>
  <si>
    <t>постепенно на всех рабочих местах (согласно плана мероприятий от специалиста по охране труда)</t>
  </si>
  <si>
    <t>1 раз в 5 лет, (рабочие места СОУТ 2018 г.)специальная оценка труда в учреждении делается постепенно (согласно плана  мероприятий от специалиста по охране труда)</t>
  </si>
  <si>
    <t>необходимо обучение следующих специалистов : директора, зам.диретора по УВР 3 чел., учитель 1 чел. (согласно плана мероприятий от специалиста по охране труда)</t>
  </si>
  <si>
    <t>1 раз в 2 года, проводилась в 2021 году  (94 чел по 250 р.), (согласно плана мероприятий от специалиста по охране труда)</t>
  </si>
  <si>
    <t>приобретение аптечек в 2шт мастерские, 1 приемная, 1 вахта, 1 столовая, 1 зам.директор. Стоимость 1 на 25.07.22 в пределах 2500.</t>
  </si>
  <si>
    <t xml:space="preserve">в течении года происходят поломки в пищеблоке </t>
  </si>
  <si>
    <t>1.21.</t>
  </si>
  <si>
    <t>1 раз в год, февраль-март</t>
  </si>
  <si>
    <t>по потребности</t>
  </si>
  <si>
    <t>Техническое обслуживание и технический ремонт футбольного покрытия</t>
  </si>
  <si>
    <t>к приемке учреждения, к новому учебному году</t>
  </si>
  <si>
    <t>1 раз в год, соблюдения требований роспотребнадзора</t>
  </si>
  <si>
    <t>факт 2022 года = 505261,59 - 104 человека.  По предоставленному плану мероприятий от специалиста по ОТ в 2023 году ожидается 110 чел</t>
  </si>
  <si>
    <t>с апреля по октябрь</t>
  </si>
  <si>
    <t>предусмотрела рост 10%, договор 2022 года  12240 р.</t>
  </si>
  <si>
    <t>предусмотрела рост 10%, договор 2022 года  77784,2 р.</t>
  </si>
  <si>
    <t>в бухгалтерии = 1 С-3 места; Камин - 2 места. Предусмотрела рост 10%, договор 2022 года 68200 р.</t>
  </si>
  <si>
    <t>есть ком-кое 4 рабочих места, предусмотрелв рост 10%, договор 2022 года 36000 р.</t>
  </si>
  <si>
    <t>Испытание и измерение электрооборудования</t>
  </si>
  <si>
    <t>вывеска для кабинета со шрифтом Брайля</t>
  </si>
  <si>
    <t>Выполнение монтажных работ по установке громкой связи (транслиционной акустической системы)</t>
  </si>
  <si>
    <t>лестничный подъемник для инвалидов (мобильное подъемное устройство)</t>
  </si>
  <si>
    <t>холодильник среднетемпературный (полки 4 шт., мощность 350 Вт, объем 700 л, тип охлаждения динамический, допустимая нагрузка на полку 40 кг, расположение агрегата вергнее, корпус цельнозаливной, материал обшивок корпуса сталь с полимерным покрытием, дверь металлическая, распашная, замок, подсветка)</t>
  </si>
  <si>
    <t>холодильник низкотемпературный (полки 4 шт., мощность 550 Вт, объем 700 л, тип охлаждения динамический, допустимая нагрузка на полку 40 кг, расположение агрегата верхнее, корпус цельнозаливной, материал обшивок корпуса сталь с полимерным покрытием, дверь металлическая, распашная, замок, подсветка)</t>
  </si>
  <si>
    <t>стеллаж для склада сыпучих продуктов</t>
  </si>
  <si>
    <t>металлический шкаф для хранения инвентаря, моющих и дезинфицирующих средств</t>
  </si>
  <si>
    <t>измельчитель пищевых отходов для столовой (промышленный)</t>
  </si>
  <si>
    <t>напольный  электросушитель для рук</t>
  </si>
  <si>
    <t xml:space="preserve">Утилизация снега </t>
  </si>
  <si>
    <t>сумма рассчитана из расчета двухразового прохождения мед.осмотра в размере 180,0 рублей, количество раб.дней 216</t>
  </si>
  <si>
    <t>приобретение канц.товаров , хоз.тваров, моющих средств для проведения платных услуг по программе "Я первоклассник"</t>
  </si>
  <si>
    <t>Учитель физкультуры</t>
  </si>
  <si>
    <t>Учитель нач.классов</t>
  </si>
  <si>
    <t>площадь вместе с вспомагательным помещением составляет 6464 кв.м,= 6464 кв. м*3,5рубля*12 месяцев = 271488,0 р.</t>
  </si>
  <si>
    <t>(на 2023 год и плановый период 2024 и 2025 годов)</t>
  </si>
  <si>
    <t>План финансово-хозяйственной деятельности на 2023год</t>
  </si>
  <si>
    <t>1 раз в 3 года</t>
  </si>
  <si>
    <t>в 2020 проводили работы</t>
  </si>
  <si>
    <t>грибок постовой</t>
  </si>
  <si>
    <t>инф.стенд</t>
  </si>
  <si>
    <t>пластиковые стаканы</t>
  </si>
  <si>
    <t>туалетная бумага</t>
  </si>
  <si>
    <t>крем для обуви</t>
  </si>
  <si>
    <t>бумага ксероксная, цветная</t>
  </si>
  <si>
    <t>питьевая вода</t>
  </si>
  <si>
    <t>дипломы, сертификаты, благодарственные письма</t>
  </si>
  <si>
    <t>проезд, проживание  участников отряда "Патриот"(6 обучающихся) КВР 113</t>
  </si>
  <si>
    <t>Итого (местный бюджет, окружной бюджет, федеральный бюджет):</t>
  </si>
  <si>
    <t>Всего (местный бюджет, окружной бюджет, федеральный бюджет):</t>
  </si>
  <si>
    <t>изготовление методического и наглядного материала (распечатка, ламинирование и т.д.)</t>
  </si>
  <si>
    <t>оплата приглашенных специалистов</t>
  </si>
  <si>
    <t>букет из живых цветов, сертификаты победителей</t>
  </si>
  <si>
    <t>приобретение наградного материала (кубки, медали, грамоты)</t>
  </si>
  <si>
    <t>п.5 п 5.1</t>
  </si>
  <si>
    <t>п.4 п 4.3</t>
  </si>
  <si>
    <t>Итого (платные услуги):</t>
  </si>
  <si>
    <t>Итого (платные услуги) :</t>
  </si>
  <si>
    <t>первоначальная  стоимость по факту составляла 5 рублей, с учетом роста 10 % = 7801,6 кв.м*5,5рублей*12 месяцев = 514905,6</t>
  </si>
  <si>
    <t>Денежная выплата обучающ.из льготн. категории за двухразовое питание 198 рублей (2 чел. обучение на дому постоянно)</t>
  </si>
  <si>
    <t>01.01.23=152,0; 01.09.23=160,0</t>
  </si>
  <si>
    <t>01.01.23=378 рублей, 01.09.23=398,0; денежная компенсация 189 руб.</t>
  </si>
  <si>
    <t>311 чел. 160 дней</t>
  </si>
  <si>
    <t>230 чел.160 дней</t>
  </si>
  <si>
    <t>5-11 кл.=192 чел; кадеты = 54 чел.</t>
  </si>
  <si>
    <t>приобретение банкеток,  диэлектрического коврика и т.д.</t>
  </si>
  <si>
    <t>договор проведение психоотрического освидетельствования пед.работников учреждения</t>
  </si>
  <si>
    <t xml:space="preserve">    = 7107*1,5*(0,15+0,3+1,05)+50</t>
  </si>
  <si>
    <t xml:space="preserve">мат помощь </t>
  </si>
  <si>
    <t>Перезарядка огнетушителей</t>
  </si>
  <si>
    <t>1 раз в месяц</t>
  </si>
  <si>
    <t>приобретение бочков для унитаза</t>
  </si>
  <si>
    <t>1 полугодие (72+46+76+106+92+75)</t>
  </si>
  <si>
    <t>2 полугодие (27+28+57+81+80)</t>
  </si>
  <si>
    <t>1 полугодие  (4+2+4+5+4+3)</t>
  </si>
  <si>
    <t>2 полугодие (2+1+3+4+4)</t>
  </si>
  <si>
    <t>2 полугодие (31+42+115+120+113)</t>
  </si>
  <si>
    <t>2 полугодие (31+70+170+201+193)</t>
  </si>
  <si>
    <t>1 полугодие (158+165+180+94+54)</t>
  </si>
  <si>
    <t>2 полугодие (31+93+160)</t>
  </si>
  <si>
    <t>1 полугодие (12100+9876+12595+13647+12743+8412)</t>
  </si>
  <si>
    <t>2 полугодие (3404+3296+10131+14373+15015)</t>
  </si>
  <si>
    <t>1 полугодие (99+121+175+157+146+135)</t>
  </si>
  <si>
    <t>1 полугодие (144+163+251+263+238+210)</t>
  </si>
  <si>
    <t>пд</t>
  </si>
  <si>
    <t>Обслуживание и текущий ремонт электромагнитных замков, шлагбаума и ворот (СКУД, видеонаблюдение)</t>
  </si>
  <si>
    <t>курьер, рабочий зеленого хозяйства</t>
  </si>
  <si>
    <t>Выплата материальной помощи на погребение сотрудника</t>
  </si>
  <si>
    <t>Оплата услуг по информационно-консультативному обслуживанию и сопровождению программных продуктов(1С,Камин)</t>
  </si>
  <si>
    <t>Оказание услуг по информационно-техническому обслуживанию УРМ</t>
  </si>
  <si>
    <t>01.01.23= 5 - 11 классы =106,4 руб, кадеты = 212,8 руб; 01.09.23=5-11 классы 112,0, кадеты 224,1 руб</t>
  </si>
  <si>
    <t>18,12 руб</t>
  </si>
  <si>
    <t>п.2  "Развитие современной инфраструктуры" п.2.5. "Обеспечение безопасных и комфортных условий обучения, в т.ч. устранение предписаний надзорных органов"</t>
  </si>
  <si>
    <t>проведение замеров сопротивляции</t>
  </si>
  <si>
    <t>приобретение расходных материалов для ремонта</t>
  </si>
  <si>
    <t>43200 ПЕРВОНАЧАЛЬНО</t>
  </si>
  <si>
    <t>01.09.23=5-11 классы 112,0, кадеты 224,1 руб</t>
  </si>
  <si>
    <t>01.09.23=398,0; денежная компенсация 189 руб.</t>
  </si>
  <si>
    <t>компенсация  540000</t>
  </si>
  <si>
    <t xml:space="preserve"> 01.09.23=5-11 классы 112,0, кадеты 224,1 руб</t>
  </si>
  <si>
    <t>приобретение программного продукта "Касперский"</t>
  </si>
  <si>
    <t>охрана,ком-ка,вентиляция, 01, питание, связь,ктс, бензин ,смайл, ,,,,,,</t>
  </si>
  <si>
    <t>27,23 руб</t>
  </si>
  <si>
    <t xml:space="preserve"> 01.09.23=75,68</t>
  </si>
  <si>
    <t xml:space="preserve"> 01.09.23=57,09</t>
  </si>
  <si>
    <t>22,59 руб</t>
  </si>
  <si>
    <t xml:space="preserve"> 01.09.23=75,58</t>
  </si>
  <si>
    <t>01.09.23=61,83</t>
  </si>
  <si>
    <t>1основное + 2 дополнительно</t>
  </si>
  <si>
    <t>2025 год</t>
  </si>
  <si>
    <t>на 2023 г. текущий финансовый год</t>
  </si>
  <si>
    <t>на 2024г. первый год планового периода</t>
  </si>
  <si>
    <t>на 2025г. второй год планового периода</t>
  </si>
  <si>
    <t>Субсидия на иные цели, не связанные с финансовым обеспечением выполнения муницыпального задания на оказание муниципальных услуг (субсидии на иные цели)</t>
  </si>
  <si>
    <t>8,36 / 120 * 100</t>
  </si>
  <si>
    <t>Ежемесячное денежное вознаграждение за классное руководство (федеральный бюджет)</t>
  </si>
  <si>
    <t>федеральный бюджет</t>
  </si>
  <si>
    <t>п.2  "Развитие современной инфраструктуры" п.2.5. "Обеспечение безопасных и комфортных условий обучения, в т.ч. устранение предписаний надзорных органов"(бюджет городского округа)</t>
  </si>
  <si>
    <t xml:space="preserve">программа "Развитию образования и молодежной политики в городе Урай" на 2019-2030 годы", подпрограмма 3, подпункт 3.4. "Реализация мероприятий , направленных на гражданско-патриотическое воспитание молодежи" (бюджет городского округа) </t>
  </si>
  <si>
    <t>программа  "Развитие муниципальной методической службы" подпрограмма 4.3. "Конкурсы в сфере образования. Организация и проведение профессиональных праздников" (бюджет городского округа).</t>
  </si>
  <si>
    <t>программа "Развитию образования и молодежной политики в городе Урай" на 2019-2030 годы", подпрограмма 3, подпункт 3.4. "Реализация мероприятий , направленных на гражданско-патриотическое воспитание молодежи" (бюджет городского округа).</t>
  </si>
  <si>
    <t>программа  "Здоровьесбережение и здоровьесбережение" подпрограмма 5.1. "Мероприятие, направленые на формирование здорового образа жизни (проведение  и участие в мероприятиях городского, окружного, федерального округа), (бюджет городского округа).</t>
  </si>
  <si>
    <t>программа "Развитию образования и молодежной политики в городе Урай" на 2019-2030 годы", подпрограмма 3, подпункт3.4. "Реализация мероприятий , направленных на гражданско-патриотическое воспитание молодежи" (бюджет городского округа).</t>
  </si>
  <si>
    <t>244, 247</t>
  </si>
  <si>
    <t>244 , 247</t>
  </si>
  <si>
    <t>Доплата до Указа Президента  ПП (68 чел)</t>
  </si>
  <si>
    <t>Доплата до указа Президента ПП</t>
  </si>
  <si>
    <t>доплата до указа Президента ПП</t>
  </si>
  <si>
    <t>+</t>
  </si>
  <si>
    <t>в конце 2022</t>
  </si>
  <si>
    <t>Начальник УО администрации г.Урай</t>
  </si>
  <si>
    <t>И.о.директора МБОУ СОШ №5</t>
  </si>
  <si>
    <t>_____________________О.Л.Уланова</t>
  </si>
  <si>
    <t>"29 "декабря  2022 г.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</si>
  <si>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</si>
  <si>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</si>
  <si>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</si>
  <si>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договор 2023 на 11 мес 208859,5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</si>
</sst>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₽_-;\-* #,##0.00_₽_-;_-* &quot;-&quot;??_₽_-;_-@_-"/>
    <numFmt numFmtId="166" formatCode="0.0"/>
    <numFmt numFmtId="167" formatCode="0.0%"/>
    <numFmt numFmtId="168" formatCode="#,##0.0"/>
    <numFmt numFmtId="169" formatCode="_-* #,##0_р_._-;\-* #,##0_р_._-;_-* &quot;-&quot;??_р_._-;_-@_-"/>
    <numFmt numFmtId="170" formatCode="#,##0.00_ ;\-#,##0.00\ "/>
    <numFmt numFmtId="171" formatCode="_-* #,##0.0000_р_._-;\-* #,##0.0000_р_._-;_-* &quot;-&quot;??_р_._-;_-@_-"/>
    <numFmt numFmtId="172" formatCode="#,##0.00_р_."/>
    <numFmt numFmtId="173" formatCode="#,##0.00\ _₽"/>
    <numFmt numFmtId="174" formatCode="#,##0.000_р_."/>
    <numFmt numFmtId="175" formatCode="#,##0.000000000_ ;\-#,##0.000000000\ "/>
    <numFmt numFmtId="176" formatCode="_-* #,##0.000_р_._-;\-* #,##0.000_р_._-;_-* &quot;-&quot;??_р_._-;_-@_-"/>
    <numFmt numFmtId="177" formatCode="#,##0.00000000_ ;\-#,##0.00000000\ "/>
  </numFmts>
  <fonts count="6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name val="Helv"/>
      <family val="2"/>
      <charset val="204"/>
    </font>
    <font>
      <b/>
      <sz val="14"/>
      <color theme="1"/>
      <name val="Calibri"/>
      <family val="2"/>
      <charset val="204"/>
    </font>
    <font>
      <b/>
      <u/>
      <sz val="12"/>
      <color theme="1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name val="Arial Cyr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u/>
      <sz val="11"/>
      <name val="Calibri"/>
      <family val="2"/>
      <charset val="204"/>
    </font>
    <font>
      <b/>
      <sz val="14"/>
      <name val="Calibri"/>
      <family val="2"/>
      <charset val="204"/>
    </font>
    <font>
      <b/>
      <u/>
      <sz val="12"/>
      <name val="Calibri"/>
      <family val="2"/>
      <charset val="204"/>
    </font>
    <font>
      <sz val="8"/>
      <name val="Calibri"/>
      <family val="2"/>
      <charset val="204"/>
    </font>
    <font>
      <b/>
      <sz val="11"/>
      <name val="Calibri"/>
      <family val="2"/>
      <charset val="204"/>
    </font>
    <font>
      <b/>
      <u/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6"/>
      <color rgb="FFFF0000"/>
      <name val="Calibri"/>
      <family val="2"/>
      <charset val="204"/>
    </font>
    <font>
      <b/>
      <sz val="11"/>
      <name val="Times New Roman"/>
      <family val="1"/>
      <charset val="204"/>
    </font>
    <font>
      <u/>
      <sz val="10"/>
      <name val="Calibri"/>
      <family val="2"/>
      <charset val="204"/>
    </font>
    <font>
      <b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</font>
    <font>
      <sz val="12"/>
      <color theme="1"/>
      <name val="Times New Roman CYR"/>
      <charset val="204"/>
    </font>
    <font>
      <u val="singleAccounting"/>
      <sz val="11"/>
      <color theme="1"/>
      <name val="Times New Roman"/>
      <family val="1"/>
      <charset val="204"/>
    </font>
    <font>
      <i/>
      <u val="singleAccounting"/>
      <sz val="11"/>
      <color theme="1"/>
      <name val="Times New Roman"/>
      <family val="1"/>
      <charset val="204"/>
    </font>
    <font>
      <sz val="9"/>
      <name val="Calibri"/>
      <family val="2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</font>
    <font>
      <b/>
      <sz val="12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2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18"/>
      <color theme="1"/>
      <name val="Calibri"/>
      <family val="2"/>
      <charset val="204"/>
    </font>
    <font>
      <sz val="11"/>
      <color theme="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0"/>
      <color rgb="FF00B05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2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6" xfId="0" applyFont="1" applyBorder="1" applyAlignment="1">
      <alignment horizontal="center"/>
    </xf>
    <xf numFmtId="0" fontId="3" fillId="0" borderId="6" xfId="0" applyFont="1" applyBorder="1"/>
    <xf numFmtId="0" fontId="5" fillId="0" borderId="4" xfId="0" applyFont="1" applyBorder="1"/>
    <xf numFmtId="0" fontId="3" fillId="0" borderId="4" xfId="0" applyFont="1" applyBorder="1"/>
    <xf numFmtId="0" fontId="4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4" fontId="3" fillId="2" borderId="1" xfId="0" applyNumberFormat="1" applyFont="1" applyFill="1" applyBorder="1" applyAlignment="1">
      <alignment horizontal="center" wrapText="1"/>
    </xf>
    <xf numFmtId="167" fontId="3" fillId="2" borderId="1" xfId="2" applyNumberFormat="1" applyFont="1" applyFill="1" applyBorder="1" applyAlignment="1">
      <alignment horizontal="center" wrapText="1"/>
    </xf>
    <xf numFmtId="164" fontId="6" fillId="0" borderId="0" xfId="1" applyNumberFormat="1" applyFont="1" applyAlignment="1">
      <alignment vertical="top"/>
    </xf>
    <xf numFmtId="0" fontId="4" fillId="0" borderId="1" xfId="0" applyFont="1" applyBorder="1" applyAlignment="1">
      <alignment horizontal="center" wrapText="1"/>
    </xf>
    <xf numFmtId="164" fontId="6" fillId="0" borderId="0" xfId="1" applyNumberFormat="1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wrapText="1"/>
    </xf>
    <xf numFmtId="16" fontId="3" fillId="0" borderId="1" xfId="0" applyNumberFormat="1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2" fillId="0" borderId="0" xfId="0" applyFont="1" applyAlignment="1">
      <alignment horizontal="left"/>
    </xf>
    <xf numFmtId="0" fontId="11" fillId="0" borderId="1" xfId="3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wrapText="1"/>
    </xf>
    <xf numFmtId="9" fontId="7" fillId="0" borderId="1" xfId="2" applyFont="1" applyBorder="1" applyAlignment="1">
      <alignment horizontal="center" wrapText="1"/>
    </xf>
    <xf numFmtId="168" fontId="7" fillId="0" borderId="1" xfId="0" applyNumberFormat="1" applyFont="1" applyBorder="1" applyAlignment="1">
      <alignment horizontal="center" wrapText="1"/>
    </xf>
    <xf numFmtId="0" fontId="12" fillId="0" borderId="3" xfId="3" applyFont="1" applyFill="1" applyBorder="1" applyAlignment="1"/>
    <xf numFmtId="0" fontId="12" fillId="0" borderId="4" xfId="3" applyFont="1" applyFill="1" applyBorder="1" applyAlignment="1"/>
    <xf numFmtId="0" fontId="13" fillId="0" borderId="1" xfId="3" applyFont="1" applyFill="1" applyBorder="1" applyAlignment="1">
      <alignment horizontal="center" wrapText="1"/>
    </xf>
    <xf numFmtId="0" fontId="11" fillId="0" borderId="1" xfId="3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" fontId="11" fillId="0" borderId="1" xfId="3" applyNumberFormat="1" applyFont="1" applyFill="1" applyBorder="1" applyAlignment="1">
      <alignment horizontal="center" wrapText="1"/>
    </xf>
    <xf numFmtId="166" fontId="11" fillId="0" borderId="1" xfId="3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1" fontId="14" fillId="2" borderId="1" xfId="0" applyNumberFormat="1" applyFont="1" applyFill="1" applyBorder="1" applyAlignment="1">
      <alignment horizontal="center" wrapText="1"/>
    </xf>
    <xf numFmtId="4" fontId="15" fillId="2" borderId="1" xfId="0" applyNumberFormat="1" applyFont="1" applyFill="1" applyBorder="1" applyAlignment="1">
      <alignment horizontal="center" wrapText="1"/>
    </xf>
    <xf numFmtId="9" fontId="6" fillId="2" borderId="1" xfId="2" applyFont="1" applyFill="1" applyBorder="1" applyAlignment="1">
      <alignment horizontal="center" wrapText="1"/>
    </xf>
    <xf numFmtId="168" fontId="6" fillId="2" borderId="1" xfId="0" applyNumberFormat="1" applyFont="1" applyFill="1" applyBorder="1" applyAlignment="1">
      <alignment horizontal="center" wrapText="1"/>
    </xf>
    <xf numFmtId="166" fontId="14" fillId="2" borderId="1" xfId="0" applyNumberFormat="1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3" fontId="16" fillId="0" borderId="1" xfId="0" applyNumberFormat="1" applyFont="1" applyBorder="1" applyAlignment="1">
      <alignment horizontal="center" wrapText="1"/>
    </xf>
    <xf numFmtId="3" fontId="15" fillId="2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6" fillId="0" borderId="0" xfId="4" applyFont="1" applyFill="1" applyAlignment="1">
      <alignment horizontal="justify"/>
    </xf>
    <xf numFmtId="0" fontId="16" fillId="0" borderId="0" xfId="4" applyFont="1" applyFill="1"/>
    <xf numFmtId="0" fontId="19" fillId="0" borderId="0" xfId="4" applyFont="1" applyFill="1"/>
    <xf numFmtId="0" fontId="16" fillId="0" borderId="0" xfId="4" applyFont="1" applyFill="1" applyAlignment="1">
      <alignment horizontal="right"/>
    </xf>
    <xf numFmtId="0" fontId="22" fillId="0" borderId="0" xfId="4" applyFont="1" applyFill="1" applyAlignment="1"/>
    <xf numFmtId="0" fontId="23" fillId="0" borderId="0" xfId="4" applyFont="1" applyFill="1"/>
    <xf numFmtId="0" fontId="24" fillId="0" borderId="0" xfId="4" applyFont="1" applyFill="1" applyAlignment="1">
      <alignment horizontal="right"/>
    </xf>
    <xf numFmtId="0" fontId="16" fillId="0" borderId="0" xfId="4" applyFont="1" applyFill="1" applyAlignment="1">
      <alignment horizontal="left"/>
    </xf>
    <xf numFmtId="0" fontId="22" fillId="0" borderId="0" xfId="4" applyFont="1" applyFill="1"/>
    <xf numFmtId="0" fontId="25" fillId="0" borderId="0" xfId="4" applyFont="1" applyFill="1"/>
    <xf numFmtId="0" fontId="18" fillId="0" borderId="0" xfId="0" applyFont="1" applyAlignment="1">
      <alignment horizontal="right"/>
    </xf>
    <xf numFmtId="0" fontId="18" fillId="0" borderId="6" xfId="0" applyFont="1" applyBorder="1" applyAlignment="1">
      <alignment horizontal="right"/>
    </xf>
    <xf numFmtId="0" fontId="18" fillId="0" borderId="6" xfId="0" applyFont="1" applyBorder="1"/>
    <xf numFmtId="0" fontId="18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6" xfId="0" applyFont="1" applyBorder="1" applyAlignment="1">
      <alignment horizontal="center"/>
    </xf>
    <xf numFmtId="0" fontId="20" fillId="0" borderId="0" xfId="4" applyFont="1" applyFill="1" applyAlignment="1">
      <alignment wrapText="1"/>
    </xf>
    <xf numFmtId="0" fontId="23" fillId="0" borderId="0" xfId="4" applyFont="1" applyFill="1" applyAlignment="1">
      <alignment vertical="top"/>
    </xf>
    <xf numFmtId="0" fontId="3" fillId="0" borderId="1" xfId="0" applyFont="1" applyBorder="1" applyAlignment="1">
      <alignment horizontal="center" wrapText="1"/>
    </xf>
    <xf numFmtId="164" fontId="5" fillId="0" borderId="1" xfId="1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1" xfId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164" fontId="3" fillId="0" borderId="1" xfId="1" applyFont="1" applyBorder="1" applyAlignment="1"/>
    <xf numFmtId="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3" fontId="3" fillId="2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170" fontId="3" fillId="0" borderId="1" xfId="1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1" fontId="3" fillId="0" borderId="0" xfId="0" applyNumberFormat="1" applyFont="1"/>
    <xf numFmtId="168" fontId="3" fillId="0" borderId="1" xfId="0" applyNumberFormat="1" applyFont="1" applyBorder="1" applyAlignment="1">
      <alignment horizontal="center" wrapText="1"/>
    </xf>
    <xf numFmtId="170" fontId="3" fillId="0" borderId="1" xfId="1" applyNumberFormat="1" applyFont="1" applyBorder="1" applyAlignment="1"/>
    <xf numFmtId="0" fontId="3" fillId="0" borderId="1" xfId="0" applyFont="1" applyBorder="1"/>
    <xf numFmtId="170" fontId="3" fillId="0" borderId="0" xfId="0" applyNumberFormat="1" applyFont="1"/>
    <xf numFmtId="0" fontId="30" fillId="3" borderId="1" xfId="0" applyFont="1" applyFill="1" applyBorder="1" applyAlignment="1">
      <alignment horizontal="center" vertical="center" wrapText="1"/>
    </xf>
    <xf numFmtId="173" fontId="30" fillId="3" borderId="1" xfId="0" applyNumberFormat="1" applyFont="1" applyFill="1" applyBorder="1" applyAlignment="1">
      <alignment horizontal="center" vertical="top" wrapText="1"/>
    </xf>
    <xf numFmtId="0" fontId="28" fillId="0" borderId="0" xfId="0" applyFont="1" applyAlignment="1">
      <alignment horizontal="left"/>
    </xf>
    <xf numFmtId="0" fontId="27" fillId="0" borderId="0" xfId="0" applyFont="1"/>
    <xf numFmtId="0" fontId="29" fillId="0" borderId="0" xfId="0" applyFont="1" applyAlignment="1">
      <alignment horizontal="right"/>
    </xf>
    <xf numFmtId="0" fontId="29" fillId="0" borderId="0" xfId="0" applyFont="1"/>
    <xf numFmtId="0" fontId="30" fillId="0" borderId="6" xfId="0" applyFont="1" applyBorder="1" applyAlignment="1">
      <alignment horizontal="center"/>
    </xf>
    <xf numFmtId="0" fontId="27" fillId="0" borderId="6" xfId="0" applyFont="1" applyBorder="1"/>
    <xf numFmtId="0" fontId="30" fillId="0" borderId="4" xfId="0" applyFont="1" applyBorder="1"/>
    <xf numFmtId="0" fontId="27" fillId="0" borderId="4" xfId="0" applyFont="1" applyBorder="1"/>
    <xf numFmtId="0" fontId="28" fillId="0" borderId="0" xfId="0" applyFont="1" applyAlignment="1">
      <alignment horizontal="justify"/>
    </xf>
    <xf numFmtId="0" fontId="27" fillId="0" borderId="7" xfId="0" applyFont="1" applyBorder="1" applyAlignment="1">
      <alignment wrapText="1"/>
    </xf>
    <xf numFmtId="3" fontId="27" fillId="2" borderId="1" xfId="0" applyNumberFormat="1" applyFont="1" applyFill="1" applyBorder="1" applyAlignment="1">
      <alignment horizontal="center" wrapText="1"/>
    </xf>
    <xf numFmtId="167" fontId="27" fillId="2" borderId="1" xfId="2" applyNumberFormat="1" applyFont="1" applyFill="1" applyBorder="1" applyAlignment="1">
      <alignment horizontal="center" wrapText="1"/>
    </xf>
    <xf numFmtId="170" fontId="27" fillId="0" borderId="1" xfId="1" applyNumberFormat="1" applyFont="1" applyBorder="1" applyAlignment="1"/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16" fontId="27" fillId="0" borderId="1" xfId="0" applyNumberFormat="1" applyFont="1" applyBorder="1" applyAlignment="1">
      <alignment horizontal="center" wrapText="1"/>
    </xf>
    <xf numFmtId="0" fontId="30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27" fillId="0" borderId="7" xfId="0" applyFont="1" applyBorder="1" applyAlignment="1">
      <alignment horizontal="center" wrapText="1"/>
    </xf>
    <xf numFmtId="0" fontId="6" fillId="0" borderId="0" xfId="0" applyFont="1" applyFill="1"/>
    <xf numFmtId="0" fontId="27" fillId="4" borderId="1" xfId="0" applyFont="1" applyFill="1" applyBorder="1" applyAlignment="1">
      <alignment horizontal="center" wrapText="1"/>
    </xf>
    <xf numFmtId="164" fontId="27" fillId="0" borderId="1" xfId="1" applyFont="1" applyFill="1" applyBorder="1" applyAlignment="1"/>
    <xf numFmtId="0" fontId="27" fillId="0" borderId="1" xfId="0" applyFont="1" applyBorder="1" applyAlignment="1">
      <alignment horizontal="left" vertical="top" wrapText="1"/>
    </xf>
    <xf numFmtId="173" fontId="27" fillId="0" borderId="1" xfId="0" applyNumberFormat="1" applyFont="1" applyBorder="1" applyAlignment="1">
      <alignment horizontal="center" vertical="top" wrapText="1"/>
    </xf>
    <xf numFmtId="1" fontId="27" fillId="0" borderId="1" xfId="0" applyNumberFormat="1" applyFont="1" applyBorder="1" applyAlignment="1">
      <alignment horizontal="center" vertical="top" wrapText="1"/>
    </xf>
    <xf numFmtId="170" fontId="27" fillId="0" borderId="1" xfId="0" applyNumberFormat="1" applyFont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right" vertical="top" wrapText="1"/>
    </xf>
    <xf numFmtId="0" fontId="30" fillId="0" borderId="1" xfId="0" applyFont="1" applyFill="1" applyBorder="1" applyAlignment="1">
      <alignment horizontal="center" vertical="center" wrapText="1"/>
    </xf>
    <xf numFmtId="173" fontId="30" fillId="0" borderId="1" xfId="0" applyNumberFormat="1" applyFont="1" applyFill="1" applyBorder="1" applyAlignment="1">
      <alignment horizontal="center" vertical="center" wrapText="1"/>
    </xf>
    <xf numFmtId="173" fontId="30" fillId="0" borderId="1" xfId="0" applyNumberFormat="1" applyFont="1" applyFill="1" applyBorder="1" applyAlignment="1">
      <alignment horizontal="center" vertical="top" wrapText="1"/>
    </xf>
    <xf numFmtId="170" fontId="30" fillId="0" borderId="1" xfId="0" applyNumberFormat="1" applyFont="1" applyFill="1" applyBorder="1" applyAlignment="1">
      <alignment horizontal="center" vertical="top" wrapText="1"/>
    </xf>
    <xf numFmtId="0" fontId="29" fillId="0" borderId="1" xfId="0" applyFont="1" applyBorder="1" applyAlignment="1">
      <alignment horizontal="right" vertical="top" wrapText="1"/>
    </xf>
    <xf numFmtId="173" fontId="29" fillId="0" borderId="1" xfId="0" applyNumberFormat="1" applyFont="1" applyBorder="1" applyAlignment="1">
      <alignment horizontal="center" vertical="top" wrapText="1"/>
    </xf>
    <xf numFmtId="170" fontId="29" fillId="0" borderId="1" xfId="0" applyNumberFormat="1" applyFont="1" applyBorder="1" applyAlignment="1">
      <alignment horizontal="center" vertical="center" wrapText="1"/>
    </xf>
    <xf numFmtId="172" fontId="27" fillId="0" borderId="1" xfId="0" applyNumberFormat="1" applyFont="1" applyBorder="1" applyAlignment="1">
      <alignment horizontal="center" vertical="top" wrapText="1"/>
    </xf>
    <xf numFmtId="39" fontId="27" fillId="0" borderId="1" xfId="0" applyNumberFormat="1" applyFont="1" applyBorder="1" applyAlignment="1">
      <alignment horizontal="right" vertical="top" wrapText="1"/>
    </xf>
    <xf numFmtId="0" fontId="30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center" vertical="top" wrapText="1"/>
    </xf>
    <xf numFmtId="172" fontId="30" fillId="0" borderId="1" xfId="0" applyNumberFormat="1" applyFont="1" applyFill="1" applyBorder="1" applyAlignment="1">
      <alignment horizontal="center" vertical="top" wrapText="1"/>
    </xf>
    <xf numFmtId="39" fontId="30" fillId="0" borderId="1" xfId="0" applyNumberFormat="1" applyFont="1" applyFill="1" applyBorder="1" applyAlignment="1">
      <alignment horizontal="right" vertical="top" wrapText="1"/>
    </xf>
    <xf numFmtId="0" fontId="30" fillId="3" borderId="1" xfId="0" applyFont="1" applyFill="1" applyBorder="1" applyAlignment="1">
      <alignment horizontal="center" vertical="top" wrapText="1"/>
    </xf>
    <xf numFmtId="172" fontId="30" fillId="3" borderId="1" xfId="0" applyNumberFormat="1" applyFont="1" applyFill="1" applyBorder="1" applyAlignment="1">
      <alignment horizontal="center" vertical="top" wrapText="1"/>
    </xf>
    <xf numFmtId="0" fontId="27" fillId="3" borderId="1" xfId="0" applyFont="1" applyFill="1" applyBorder="1" applyAlignment="1">
      <alignment horizontal="center" vertical="top" wrapText="1"/>
    </xf>
    <xf numFmtId="164" fontId="6" fillId="0" borderId="0" xfId="0" applyNumberFormat="1" applyFont="1"/>
    <xf numFmtId="0" fontId="3" fillId="0" borderId="0" xfId="0" applyFont="1" applyFill="1"/>
    <xf numFmtId="43" fontId="3" fillId="0" borderId="0" xfId="0" applyNumberFormat="1" applyFont="1"/>
    <xf numFmtId="173" fontId="27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4" fontId="3" fillId="0" borderId="0" xfId="0" applyNumberFormat="1" applyFont="1"/>
    <xf numFmtId="172" fontId="27" fillId="0" borderId="1" xfId="0" applyNumberFormat="1" applyFont="1" applyFill="1" applyBorder="1" applyAlignment="1">
      <alignment horizontal="center" vertical="top" wrapText="1"/>
    </xf>
    <xf numFmtId="1" fontId="27" fillId="0" borderId="1" xfId="0" applyNumberFormat="1" applyFont="1" applyFill="1" applyBorder="1" applyAlignment="1">
      <alignment horizontal="center" wrapText="1"/>
    </xf>
    <xf numFmtId="170" fontId="27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Border="1"/>
    <xf numFmtId="39" fontId="30" fillId="0" borderId="1" xfId="0" applyNumberFormat="1" applyFont="1" applyBorder="1" applyAlignment="1">
      <alignment horizontal="right" vertical="top" wrapText="1"/>
    </xf>
    <xf numFmtId="0" fontId="31" fillId="0" borderId="0" xfId="0" applyFont="1" applyBorder="1" applyAlignment="1">
      <alignment horizontal="center" vertical="top" wrapText="1"/>
    </xf>
    <xf numFmtId="164" fontId="6" fillId="0" borderId="0" xfId="1" applyNumberFormat="1" applyFont="1" applyAlignment="1">
      <alignment horizontal="center" vertical="center"/>
    </xf>
    <xf numFmtId="0" fontId="34" fillId="0" borderId="0" xfId="0" applyFont="1"/>
    <xf numFmtId="3" fontId="31" fillId="0" borderId="1" xfId="0" applyNumberFormat="1" applyFont="1" applyBorder="1" applyAlignment="1">
      <alignment horizontal="center" wrapText="1"/>
    </xf>
    <xf numFmtId="173" fontId="6" fillId="0" borderId="0" xfId="0" applyNumberFormat="1" applyFont="1"/>
    <xf numFmtId="43" fontId="6" fillId="0" borderId="0" xfId="0" applyNumberFormat="1" applyFont="1"/>
    <xf numFmtId="0" fontId="19" fillId="0" borderId="6" xfId="4" applyFont="1" applyFill="1" applyBorder="1" applyAlignment="1">
      <alignment horizontal="center"/>
    </xf>
    <xf numFmtId="0" fontId="19" fillId="0" borderId="6" xfId="4" applyFont="1" applyFill="1" applyBorder="1" applyAlignment="1">
      <alignment horizontal="left"/>
    </xf>
    <xf numFmtId="170" fontId="30" fillId="0" borderId="1" xfId="0" applyNumberFormat="1" applyFont="1" applyBorder="1" applyAlignment="1">
      <alignment horizontal="center" vertical="top" wrapText="1"/>
    </xf>
    <xf numFmtId="170" fontId="30" fillId="3" borderId="1" xfId="0" applyNumberFormat="1" applyFont="1" applyFill="1" applyBorder="1" applyAlignment="1">
      <alignment horizontal="center" vertical="center" wrapText="1"/>
    </xf>
    <xf numFmtId="164" fontId="27" fillId="2" borderId="1" xfId="1" applyFont="1" applyFill="1" applyBorder="1" applyAlignment="1"/>
    <xf numFmtId="0" fontId="27" fillId="2" borderId="1" xfId="0" applyFont="1" applyFill="1" applyBorder="1" applyAlignment="1">
      <alignment horizontal="center" vertical="center" wrapText="1"/>
    </xf>
    <xf numFmtId="170" fontId="27" fillId="2" borderId="1" xfId="1" applyNumberFormat="1" applyFont="1" applyFill="1" applyBorder="1" applyAlignment="1">
      <alignment horizontal="center" vertical="center"/>
    </xf>
    <xf numFmtId="3" fontId="27" fillId="0" borderId="1" xfId="0" applyNumberFormat="1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wrapText="1"/>
    </xf>
    <xf numFmtId="0" fontId="26" fillId="0" borderId="8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center" wrapText="1"/>
    </xf>
    <xf numFmtId="164" fontId="27" fillId="5" borderId="1" xfId="1" applyFont="1" applyFill="1" applyBorder="1" applyAlignment="1"/>
    <xf numFmtId="164" fontId="27" fillId="7" borderId="1" xfId="1" applyFont="1" applyFill="1" applyBorder="1" applyAlignment="1"/>
    <xf numFmtId="0" fontId="27" fillId="0" borderId="2" xfId="0" applyFont="1" applyFill="1" applyBorder="1" applyAlignment="1">
      <alignment horizontal="center" wrapText="1"/>
    </xf>
    <xf numFmtId="0" fontId="27" fillId="7" borderId="1" xfId="0" applyFont="1" applyFill="1" applyBorder="1" applyAlignment="1">
      <alignment horizontal="center"/>
    </xf>
    <xf numFmtId="3" fontId="27" fillId="7" borderId="1" xfId="0" applyNumberFormat="1" applyFont="1" applyFill="1" applyBorder="1" applyAlignment="1">
      <alignment horizontal="center" wrapText="1"/>
    </xf>
    <xf numFmtId="0" fontId="27" fillId="7" borderId="1" xfId="0" applyFont="1" applyFill="1" applyBorder="1" applyAlignment="1">
      <alignment horizontal="center" wrapText="1"/>
    </xf>
    <xf numFmtId="170" fontId="27" fillId="7" borderId="1" xfId="1" applyNumberFormat="1" applyFont="1" applyFill="1" applyBorder="1" applyAlignment="1"/>
    <xf numFmtId="170" fontId="27" fillId="5" borderId="1" xfId="1" applyNumberFormat="1" applyFont="1" applyFill="1" applyBorder="1" applyAlignment="1">
      <alignment horizontal="center"/>
    </xf>
    <xf numFmtId="170" fontId="27" fillId="7" borderId="1" xfId="1" applyNumberFormat="1" applyFont="1" applyFill="1" applyBorder="1" applyAlignment="1">
      <alignment horizontal="center"/>
    </xf>
    <xf numFmtId="0" fontId="3" fillId="7" borderId="0" xfId="0" applyFont="1" applyFill="1"/>
    <xf numFmtId="43" fontId="33" fillId="0" borderId="0" xfId="4" applyNumberFormat="1" applyFont="1" applyFill="1"/>
    <xf numFmtId="0" fontId="27" fillId="0" borderId="14" xfId="0" applyFont="1" applyFill="1" applyBorder="1" applyAlignment="1">
      <alignment horizontal="center" wrapText="1"/>
    </xf>
    <xf numFmtId="164" fontId="3" fillId="0" borderId="0" xfId="0" applyNumberFormat="1" applyFont="1"/>
    <xf numFmtId="0" fontId="23" fillId="0" borderId="0" xfId="4" applyFont="1" applyFill="1" applyBorder="1" applyAlignment="1">
      <alignment vertical="top" wrapText="1"/>
    </xf>
    <xf numFmtId="0" fontId="16" fillId="0" borderId="0" xfId="4" applyFont="1" applyFill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top" wrapText="1"/>
    </xf>
    <xf numFmtId="0" fontId="30" fillId="0" borderId="3" xfId="0" applyFont="1" applyBorder="1" applyAlignment="1">
      <alignment horizontal="left" vertical="top" wrapText="1"/>
    </xf>
    <xf numFmtId="0" fontId="30" fillId="0" borderId="4" xfId="0" applyFont="1" applyBorder="1" applyAlignment="1">
      <alignment vertical="top" wrapText="1"/>
    </xf>
    <xf numFmtId="0" fontId="30" fillId="0" borderId="5" xfId="0" applyFont="1" applyBorder="1" applyAlignment="1">
      <alignment vertical="top" wrapText="1"/>
    </xf>
    <xf numFmtId="0" fontId="27" fillId="0" borderId="1" xfId="0" applyFont="1" applyBorder="1" applyAlignment="1">
      <alignment vertical="top"/>
    </xf>
    <xf numFmtId="0" fontId="30" fillId="0" borderId="3" xfId="0" applyFont="1" applyBorder="1" applyAlignment="1">
      <alignment horizontal="center" wrapText="1"/>
    </xf>
    <xf numFmtId="0" fontId="30" fillId="0" borderId="5" xfId="0" applyFont="1" applyBorder="1" applyAlignment="1">
      <alignment horizontal="center" wrapText="1"/>
    </xf>
    <xf numFmtId="0" fontId="31" fillId="0" borderId="3" xfId="0" applyFont="1" applyBorder="1" applyAlignment="1">
      <alignment horizontal="center" vertical="top" wrapText="1"/>
    </xf>
    <xf numFmtId="0" fontId="27" fillId="0" borderId="3" xfId="0" applyFont="1" applyBorder="1" applyAlignment="1">
      <alignment horizontal="center" wrapText="1"/>
    </xf>
    <xf numFmtId="0" fontId="27" fillId="0" borderId="5" xfId="0" applyFont="1" applyBorder="1" applyAlignment="1">
      <alignment horizontal="center" wrapText="1"/>
    </xf>
    <xf numFmtId="0" fontId="27" fillId="2" borderId="1" xfId="0" applyFont="1" applyFill="1" applyBorder="1" applyAlignment="1">
      <alignment horizontal="center" wrapText="1"/>
    </xf>
    <xf numFmtId="0" fontId="31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wrapText="1"/>
    </xf>
    <xf numFmtId="3" fontId="27" fillId="0" borderId="1" xfId="0" applyNumberFormat="1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7" borderId="3" xfId="0" applyFont="1" applyFill="1" applyBorder="1" applyAlignment="1">
      <alignment horizontal="left" wrapText="1"/>
    </xf>
    <xf numFmtId="0" fontId="27" fillId="7" borderId="3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" fontId="27" fillId="0" borderId="1" xfId="0" applyNumberFormat="1" applyFont="1" applyBorder="1" applyAlignment="1">
      <alignment horizontal="center" wrapText="1"/>
    </xf>
    <xf numFmtId="164" fontId="27" fillId="7" borderId="4" xfId="1" applyFont="1" applyFill="1" applyBorder="1" applyAlignment="1"/>
    <xf numFmtId="164" fontId="27" fillId="7" borderId="5" xfId="1" applyFont="1" applyFill="1" applyBorder="1" applyAlignment="1"/>
    <xf numFmtId="164" fontId="27" fillId="0" borderId="0" xfId="0" applyNumberFormat="1" applyFont="1" applyAlignment="1">
      <alignment horizontal="center"/>
    </xf>
    <xf numFmtId="0" fontId="27" fillId="0" borderId="1" xfId="0" applyFont="1" applyFill="1" applyBorder="1" applyAlignment="1">
      <alignment horizontal="center" wrapText="1"/>
    </xf>
    <xf numFmtId="164" fontId="6" fillId="0" borderId="0" xfId="1" applyNumberFormat="1" applyFont="1" applyBorder="1" applyAlignment="1">
      <alignment horizontal="center" vertical="top"/>
    </xf>
    <xf numFmtId="164" fontId="6" fillId="0" borderId="0" xfId="1" applyNumberFormat="1" applyFont="1" applyAlignment="1">
      <alignment horizontal="center" vertical="top"/>
    </xf>
    <xf numFmtId="0" fontId="38" fillId="0" borderId="1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left" vertical="top" wrapText="1"/>
    </xf>
    <xf numFmtId="170" fontId="39" fillId="0" borderId="0" xfId="0" applyNumberFormat="1" applyFont="1"/>
    <xf numFmtId="0" fontId="39" fillId="0" borderId="0" xfId="0" applyFont="1"/>
    <xf numFmtId="0" fontId="27" fillId="0" borderId="3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" xfId="0" applyBorder="1" applyAlignment="1">
      <alignment vertical="top"/>
    </xf>
    <xf numFmtId="170" fontId="30" fillId="3" borderId="1" xfId="0" applyNumberFormat="1" applyFont="1" applyFill="1" applyBorder="1" applyAlignment="1">
      <alignment horizontal="center" vertical="top" wrapText="1"/>
    </xf>
    <xf numFmtId="0" fontId="30" fillId="7" borderId="3" xfId="0" applyFont="1" applyFill="1" applyBorder="1" applyAlignment="1">
      <alignment horizontal="right" vertical="top" wrapText="1"/>
    </xf>
    <xf numFmtId="0" fontId="30" fillId="7" borderId="4" xfId="0" applyFont="1" applyFill="1" applyBorder="1" applyAlignment="1">
      <alignment horizontal="right" vertical="top" wrapText="1"/>
    </xf>
    <xf numFmtId="0" fontId="30" fillId="7" borderId="4" xfId="0" applyFont="1" applyFill="1" applyBorder="1" applyAlignment="1">
      <alignment horizontal="center" vertical="top" wrapText="1"/>
    </xf>
    <xf numFmtId="172" fontId="30" fillId="7" borderId="4" xfId="0" applyNumberFormat="1" applyFont="1" applyFill="1" applyBorder="1" applyAlignment="1">
      <alignment horizontal="center" vertical="top" wrapText="1"/>
    </xf>
    <xf numFmtId="0" fontId="27" fillId="7" borderId="4" xfId="0" applyFont="1" applyFill="1" applyBorder="1" applyAlignment="1">
      <alignment horizontal="center" vertical="top" wrapText="1"/>
    </xf>
    <xf numFmtId="39" fontId="30" fillId="7" borderId="5" xfId="0" applyNumberFormat="1" applyFont="1" applyFill="1" applyBorder="1" applyAlignment="1">
      <alignment horizontal="right" vertical="top" wrapText="1"/>
    </xf>
    <xf numFmtId="39" fontId="30" fillId="3" borderId="1" xfId="0" applyNumberFormat="1" applyFont="1" applyFill="1" applyBorder="1" applyAlignment="1">
      <alignment horizontal="center" vertical="top" wrapText="1"/>
    </xf>
    <xf numFmtId="39" fontId="30" fillId="3" borderId="5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27" fillId="7" borderId="4" xfId="0" applyFont="1" applyFill="1" applyBorder="1" applyAlignment="1">
      <alignment horizontal="left" wrapText="1"/>
    </xf>
    <xf numFmtId="0" fontId="27" fillId="7" borderId="5" xfId="0" applyFont="1" applyFill="1" applyBorder="1" applyAlignment="1">
      <alignment horizontal="left" wrapText="1"/>
    </xf>
    <xf numFmtId="0" fontId="27" fillId="7" borderId="1" xfId="0" applyFont="1" applyFill="1" applyBorder="1" applyAlignment="1">
      <alignment horizontal="center" vertical="center" wrapText="1"/>
    </xf>
    <xf numFmtId="170" fontId="27" fillId="7" borderId="1" xfId="1" applyNumberFormat="1" applyFont="1" applyFill="1" applyBorder="1" applyAlignment="1">
      <alignment horizontal="center" vertical="center"/>
    </xf>
    <xf numFmtId="0" fontId="27" fillId="7" borderId="5" xfId="0" applyFont="1" applyFill="1" applyBorder="1" applyAlignment="1">
      <alignment horizontal="center" vertical="center" wrapText="1"/>
    </xf>
    <xf numFmtId="0" fontId="27" fillId="7" borderId="3" xfId="0" applyFont="1" applyFill="1" applyBorder="1" applyAlignment="1">
      <alignment horizontal="center" vertical="center" wrapText="1"/>
    </xf>
    <xf numFmtId="164" fontId="27" fillId="7" borderId="1" xfId="1" applyFont="1" applyFill="1" applyBorder="1" applyAlignment="1">
      <alignment vertical="center"/>
    </xf>
    <xf numFmtId="164" fontId="27" fillId="2" borderId="1" xfId="1" applyFont="1" applyFill="1" applyBorder="1" applyAlignment="1">
      <alignment vertical="center"/>
    </xf>
    <xf numFmtId="0" fontId="28" fillId="7" borderId="3" xfId="0" applyFont="1" applyFill="1" applyBorder="1" applyAlignment="1">
      <alignment horizontal="center" wrapText="1"/>
    </xf>
    <xf numFmtId="16" fontId="27" fillId="2" borderId="1" xfId="0" applyNumberFormat="1" applyFont="1" applyFill="1" applyBorder="1" applyAlignment="1">
      <alignment horizontal="center" wrapText="1"/>
    </xf>
    <xf numFmtId="4" fontId="27" fillId="2" borderId="1" xfId="0" applyNumberFormat="1" applyFont="1" applyFill="1" applyBorder="1" applyAlignment="1">
      <alignment horizontal="center" wrapText="1"/>
    </xf>
    <xf numFmtId="4" fontId="27" fillId="7" borderId="3" xfId="0" applyNumberFormat="1" applyFont="1" applyFill="1" applyBorder="1" applyAlignment="1">
      <alignment horizontal="center" wrapText="1"/>
    </xf>
    <xf numFmtId="4" fontId="27" fillId="7" borderId="5" xfId="0" applyNumberFormat="1" applyFont="1" applyFill="1" applyBorder="1" applyAlignment="1">
      <alignment horizontal="center" wrapText="1"/>
    </xf>
    <xf numFmtId="0" fontId="26" fillId="0" borderId="0" xfId="4" applyFont="1" applyFill="1" applyBorder="1" applyAlignment="1">
      <alignment horizontal="center"/>
    </xf>
    <xf numFmtId="0" fontId="26" fillId="0" borderId="0" xfId="4" applyFont="1" applyFill="1" applyBorder="1" applyAlignment="1">
      <alignment horizontal="left"/>
    </xf>
    <xf numFmtId="0" fontId="26" fillId="0" borderId="0" xfId="4" applyFont="1" applyFill="1" applyBorder="1"/>
    <xf numFmtId="0" fontId="16" fillId="0" borderId="0" xfId="4" applyFont="1" applyFill="1" applyBorder="1" applyAlignment="1">
      <alignment horizontal="right"/>
    </xf>
    <xf numFmtId="0" fontId="30" fillId="6" borderId="1" xfId="0" applyFont="1" applyFill="1" applyBorder="1" applyAlignment="1">
      <alignment vertical="top" wrapText="1"/>
    </xf>
    <xf numFmtId="0" fontId="27" fillId="6" borderId="3" xfId="0" applyFont="1" applyFill="1" applyBorder="1" applyAlignment="1">
      <alignment horizontal="center" vertical="top" wrapText="1"/>
    </xf>
    <xf numFmtId="39" fontId="30" fillId="6" borderId="5" xfId="0" applyNumberFormat="1" applyFont="1" applyFill="1" applyBorder="1" applyAlignment="1">
      <alignment horizontal="right" vertical="top" wrapText="1"/>
    </xf>
    <xf numFmtId="0" fontId="27" fillId="8" borderId="1" xfId="0" applyFont="1" applyFill="1" applyBorder="1" applyAlignment="1">
      <alignment horizontal="center" wrapText="1"/>
    </xf>
    <xf numFmtId="0" fontId="30" fillId="7" borderId="1" xfId="0" applyFont="1" applyFill="1" applyBorder="1" applyAlignment="1">
      <alignment horizontal="center" wrapText="1"/>
    </xf>
    <xf numFmtId="0" fontId="30" fillId="7" borderId="3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16" fontId="27" fillId="0" borderId="4" xfId="0" applyNumberFormat="1" applyFont="1" applyBorder="1" applyAlignment="1">
      <alignment horizontal="center" wrapText="1"/>
    </xf>
    <xf numFmtId="0" fontId="27" fillId="7" borderId="4" xfId="0" applyFont="1" applyFill="1" applyBorder="1" applyAlignment="1">
      <alignment horizontal="center"/>
    </xf>
    <xf numFmtId="0" fontId="27" fillId="0" borderId="1" xfId="0" applyFont="1" applyBorder="1" applyAlignment="1">
      <alignment horizontal="center" wrapText="1"/>
    </xf>
    <xf numFmtId="3" fontId="27" fillId="0" borderId="5" xfId="0" applyNumberFormat="1" applyFont="1" applyBorder="1" applyAlignment="1">
      <alignment horizontal="center" wrapText="1"/>
    </xf>
    <xf numFmtId="170" fontId="30" fillId="7" borderId="1" xfId="0" applyNumberFormat="1" applyFont="1" applyFill="1" applyBorder="1" applyAlignment="1">
      <alignment horizontal="center" vertical="top" wrapText="1"/>
    </xf>
    <xf numFmtId="0" fontId="30" fillId="7" borderId="1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center" wrapText="1"/>
    </xf>
    <xf numFmtId="0" fontId="23" fillId="0" borderId="0" xfId="4" applyFont="1" applyFill="1" applyBorder="1" applyAlignment="1">
      <alignment horizontal="center" vertical="top"/>
    </xf>
    <xf numFmtId="0" fontId="23" fillId="0" borderId="0" xfId="4" applyFont="1" applyFill="1" applyBorder="1" applyAlignment="1">
      <alignment horizontal="left" vertical="top"/>
    </xf>
    <xf numFmtId="0" fontId="23" fillId="0" borderId="0" xfId="4" applyFont="1" applyFill="1" applyBorder="1" applyAlignment="1">
      <alignment horizontal="center" vertical="top"/>
    </xf>
    <xf numFmtId="0" fontId="27" fillId="7" borderId="3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wrapText="1"/>
    </xf>
    <xf numFmtId="0" fontId="27" fillId="0" borderId="0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center" wrapText="1"/>
    </xf>
    <xf numFmtId="0" fontId="23" fillId="0" borderId="0" xfId="4" applyFont="1" applyFill="1" applyBorder="1" applyAlignment="1">
      <alignment horizontal="center" vertical="top"/>
    </xf>
    <xf numFmtId="170" fontId="28" fillId="7" borderId="5" xfId="1" applyNumberFormat="1" applyFont="1" applyFill="1" applyBorder="1" applyAlignment="1"/>
    <xf numFmtId="0" fontId="27" fillId="0" borderId="3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 vertical="top" wrapText="1"/>
    </xf>
    <xf numFmtId="3" fontId="27" fillId="0" borderId="1" xfId="0" applyNumberFormat="1" applyFont="1" applyBorder="1" applyAlignment="1">
      <alignment horizontal="center" wrapText="1"/>
    </xf>
    <xf numFmtId="0" fontId="27" fillId="2" borderId="1" xfId="0" applyFont="1" applyFill="1" applyBorder="1" applyAlignment="1">
      <alignment horizontal="center" wrapText="1"/>
    </xf>
    <xf numFmtId="170" fontId="28" fillId="7" borderId="1" xfId="1" applyNumberFormat="1" applyFont="1" applyFill="1" applyBorder="1" applyAlignment="1"/>
    <xf numFmtId="0" fontId="27" fillId="0" borderId="4" xfId="0" applyFont="1" applyBorder="1" applyAlignment="1">
      <alignment horizontal="center"/>
    </xf>
    <xf numFmtId="0" fontId="27" fillId="0" borderId="1" xfId="0" applyFont="1" applyBorder="1" applyAlignment="1">
      <alignment horizontal="center" wrapText="1"/>
    </xf>
    <xf numFmtId="0" fontId="23" fillId="0" borderId="0" xfId="4" applyFont="1" applyFill="1" applyBorder="1" applyAlignment="1">
      <alignment horizontal="center" vertical="top"/>
    </xf>
    <xf numFmtId="0" fontId="30" fillId="0" borderId="1" xfId="0" applyFont="1" applyBorder="1" applyAlignment="1">
      <alignment horizontal="center"/>
    </xf>
    <xf numFmtId="0" fontId="43" fillId="0" borderId="0" xfId="4" applyFont="1" applyFill="1" applyBorder="1" applyAlignment="1">
      <alignment horizontal="center" vertical="top"/>
    </xf>
    <xf numFmtId="0" fontId="28" fillId="0" borderId="3" xfId="0" applyFont="1" applyBorder="1" applyAlignment="1">
      <alignment horizontal="center" wrapText="1"/>
    </xf>
    <xf numFmtId="0" fontId="4" fillId="0" borderId="0" xfId="0" applyFont="1"/>
    <xf numFmtId="0" fontId="31" fillId="0" borderId="1" xfId="0" applyFont="1" applyBorder="1" applyAlignment="1">
      <alignment horizontal="center" vertical="top" wrapText="1"/>
    </xf>
    <xf numFmtId="164" fontId="27" fillId="0" borderId="4" xfId="1" applyFont="1" applyFill="1" applyBorder="1" applyAlignment="1"/>
    <xf numFmtId="0" fontId="27" fillId="0" borderId="4" xfId="0" applyFont="1" applyBorder="1" applyAlignment="1">
      <alignment horizontal="right" wrapText="1"/>
    </xf>
    <xf numFmtId="0" fontId="27" fillId="0" borderId="1" xfId="0" applyFont="1" applyBorder="1" applyAlignment="1">
      <alignment horizontal="center" wrapText="1"/>
    </xf>
    <xf numFmtId="0" fontId="27" fillId="2" borderId="1" xfId="0" applyFont="1" applyFill="1" applyBorder="1" applyAlignment="1">
      <alignment horizontal="center" wrapText="1"/>
    </xf>
    <xf numFmtId="4" fontId="27" fillId="0" borderId="4" xfId="0" applyNumberFormat="1" applyFont="1" applyBorder="1" applyAlignment="1">
      <alignment horizontal="center" wrapText="1"/>
    </xf>
    <xf numFmtId="3" fontId="31" fillId="0" borderId="4" xfId="0" applyNumberFormat="1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1" fontId="29" fillId="0" borderId="6" xfId="0" applyNumberFormat="1" applyFont="1" applyBorder="1" applyAlignment="1">
      <alignment horizontal="center"/>
    </xf>
    <xf numFmtId="0" fontId="24" fillId="0" borderId="0" xfId="4" applyFont="1" applyFill="1" applyAlignment="1">
      <alignment horizontal="left"/>
    </xf>
    <xf numFmtId="0" fontId="16" fillId="0" borderId="0" xfId="4" applyFont="1" applyFill="1" applyAlignment="1">
      <alignment horizontal="center"/>
    </xf>
    <xf numFmtId="0" fontId="16" fillId="7" borderId="0" xfId="4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6" fillId="0" borderId="0" xfId="4" applyFont="1" applyFill="1" applyAlignment="1">
      <alignment horizontal="left"/>
    </xf>
    <xf numFmtId="0" fontId="47" fillId="0" borderId="0" xfId="4" applyFont="1" applyFill="1"/>
    <xf numFmtId="0" fontId="19" fillId="7" borderId="6" xfId="4" applyFont="1" applyFill="1" applyBorder="1"/>
    <xf numFmtId="0" fontId="19" fillId="0" borderId="6" xfId="4" applyFont="1" applyFill="1" applyBorder="1"/>
    <xf numFmtId="0" fontId="36" fillId="0" borderId="6" xfId="4" applyFont="1" applyFill="1" applyBorder="1"/>
    <xf numFmtId="0" fontId="16" fillId="7" borderId="0" xfId="4" applyFont="1" applyFill="1" applyBorder="1" applyAlignment="1">
      <alignment horizontal="center"/>
    </xf>
    <xf numFmtId="0" fontId="16" fillId="7" borderId="6" xfId="4" applyFont="1" applyFill="1" applyBorder="1" applyAlignment="1">
      <alignment horizontal="left"/>
    </xf>
    <xf numFmtId="0" fontId="16" fillId="7" borderId="6" xfId="4" applyFont="1" applyFill="1" applyBorder="1" applyAlignment="1">
      <alignment horizontal="center"/>
    </xf>
    <xf numFmtId="14" fontId="16" fillId="7" borderId="1" xfId="4" applyNumberFormat="1" applyFont="1" applyFill="1" applyBorder="1" applyAlignment="1">
      <alignment horizontal="center"/>
    </xf>
    <xf numFmtId="0" fontId="16" fillId="0" borderId="1" xfId="4" applyFont="1" applyFill="1" applyBorder="1" applyAlignment="1">
      <alignment horizontal="center"/>
    </xf>
    <xf numFmtId="0" fontId="22" fillId="0" borderId="0" xfId="4" applyFont="1" applyFill="1" applyBorder="1"/>
    <xf numFmtId="0" fontId="22" fillId="0" borderId="0" xfId="4" applyFont="1" applyFill="1" applyBorder="1" applyAlignment="1"/>
    <xf numFmtId="0" fontId="23" fillId="0" borderId="0" xfId="4" applyFont="1" applyFill="1" applyBorder="1"/>
    <xf numFmtId="0" fontId="48" fillId="0" borderId="0" xfId="4" applyFont="1" applyFill="1" applyAlignment="1"/>
    <xf numFmtId="0" fontId="24" fillId="0" borderId="0" xfId="4" applyFont="1" applyFill="1" applyAlignment="1"/>
    <xf numFmtId="0" fontId="16" fillId="7" borderId="1" xfId="4" applyFont="1" applyFill="1" applyBorder="1" applyAlignment="1">
      <alignment horizontal="center"/>
    </xf>
    <xf numFmtId="0" fontId="7" fillId="7" borderId="0" xfId="0" applyFont="1" applyFill="1"/>
    <xf numFmtId="170" fontId="3" fillId="7" borderId="0" xfId="0" applyNumberFormat="1" applyFont="1" applyFill="1"/>
    <xf numFmtId="0" fontId="45" fillId="7" borderId="0" xfId="0" applyFont="1" applyFill="1"/>
    <xf numFmtId="164" fontId="6" fillId="7" borderId="0" xfId="1" applyNumberFormat="1" applyFont="1" applyFill="1" applyAlignment="1">
      <alignment vertical="top"/>
    </xf>
    <xf numFmtId="164" fontId="6" fillId="7" borderId="0" xfId="1" applyNumberFormat="1" applyFont="1" applyFill="1" applyAlignment="1">
      <alignment vertical="center"/>
    </xf>
    <xf numFmtId="0" fontId="6" fillId="7" borderId="0" xfId="0" applyFont="1" applyFill="1"/>
    <xf numFmtId="164" fontId="3" fillId="7" borderId="0" xfId="0" applyNumberFormat="1" applyFont="1" applyFill="1"/>
    <xf numFmtId="175" fontId="3" fillId="7" borderId="0" xfId="0" applyNumberFormat="1" applyFont="1" applyFill="1"/>
    <xf numFmtId="164" fontId="7" fillId="7" borderId="0" xfId="0" applyNumberFormat="1" applyFont="1" applyFill="1"/>
    <xf numFmtId="0" fontId="7" fillId="7" borderId="0" xfId="0" applyFont="1" applyFill="1" applyAlignment="1">
      <alignment horizontal="center" wrapText="1"/>
    </xf>
    <xf numFmtId="164" fontId="6" fillId="7" borderId="0" xfId="1" applyNumberFormat="1" applyFont="1" applyFill="1" applyAlignment="1">
      <alignment horizontal="center" vertical="top"/>
    </xf>
    <xf numFmtId="164" fontId="6" fillId="7" borderId="0" xfId="1" applyNumberFormat="1" applyFont="1" applyFill="1" applyAlignment="1">
      <alignment horizontal="center" vertical="center"/>
    </xf>
    <xf numFmtId="171" fontId="3" fillId="7" borderId="0" xfId="0" applyNumberFormat="1" applyFont="1" applyFill="1"/>
    <xf numFmtId="0" fontId="3" fillId="7" borderId="0" xfId="0" applyFont="1" applyFill="1" applyBorder="1"/>
    <xf numFmtId="43" fontId="6" fillId="7" borderId="0" xfId="0" applyNumberFormat="1" applyFont="1" applyFill="1"/>
    <xf numFmtId="165" fontId="3" fillId="7" borderId="0" xfId="0" applyNumberFormat="1" applyFont="1" applyFill="1"/>
    <xf numFmtId="0" fontId="28" fillId="7" borderId="0" xfId="0" applyFont="1" applyFill="1" applyBorder="1" applyAlignment="1">
      <alignment horizontal="center" vertical="top" wrapText="1"/>
    </xf>
    <xf numFmtId="0" fontId="4" fillId="7" borderId="0" xfId="0" applyFont="1" applyFill="1" applyAlignment="1">
      <alignment wrapText="1"/>
    </xf>
    <xf numFmtId="0" fontId="28" fillId="7" borderId="1" xfId="0" applyFont="1" applyFill="1" applyBorder="1" applyAlignment="1">
      <alignment horizontal="center" wrapText="1"/>
    </xf>
    <xf numFmtId="0" fontId="4" fillId="7" borderId="0" xfId="0" applyFont="1" applyFill="1" applyAlignment="1">
      <alignment horizontal="center" wrapText="1"/>
    </xf>
    <xf numFmtId="0" fontId="4" fillId="7" borderId="0" xfId="0" applyFont="1" applyFill="1" applyAlignment="1">
      <alignment horizontal="left" wrapText="1"/>
    </xf>
    <xf numFmtId="4" fontId="4" fillId="7" borderId="0" xfId="0" applyNumberFormat="1" applyFont="1" applyFill="1" applyAlignment="1">
      <alignment wrapText="1"/>
    </xf>
    <xf numFmtId="170" fontId="4" fillId="7" borderId="0" xfId="0" applyNumberFormat="1" applyFont="1" applyFill="1" applyAlignment="1">
      <alignment wrapText="1"/>
    </xf>
    <xf numFmtId="170" fontId="51" fillId="7" borderId="0" xfId="0" applyNumberFormat="1" applyFont="1" applyFill="1" applyAlignment="1">
      <alignment wrapText="1"/>
    </xf>
    <xf numFmtId="0" fontId="51" fillId="7" borderId="0" xfId="0" applyFont="1" applyFill="1" applyAlignment="1">
      <alignment wrapText="1"/>
    </xf>
    <xf numFmtId="164" fontId="4" fillId="7" borderId="0" xfId="1" applyNumberFormat="1" applyFont="1" applyFill="1" applyAlignment="1">
      <alignment vertical="top" wrapText="1"/>
    </xf>
    <xf numFmtId="164" fontId="4" fillId="7" borderId="0" xfId="1" applyNumberFormat="1" applyFont="1" applyFill="1" applyBorder="1" applyAlignment="1">
      <alignment horizontal="center" vertical="top" wrapText="1"/>
    </xf>
    <xf numFmtId="164" fontId="4" fillId="7" borderId="0" xfId="1" applyNumberFormat="1" applyFont="1" applyFill="1" applyAlignment="1">
      <alignment vertical="center" wrapText="1"/>
    </xf>
    <xf numFmtId="164" fontId="4" fillId="7" borderId="0" xfId="0" applyNumberFormat="1" applyFont="1" applyFill="1" applyAlignment="1">
      <alignment wrapText="1"/>
    </xf>
    <xf numFmtId="0" fontId="4" fillId="7" borderId="1" xfId="0" applyFont="1" applyFill="1" applyBorder="1" applyAlignment="1">
      <alignment wrapText="1"/>
    </xf>
    <xf numFmtId="164" fontId="4" fillId="7" borderId="1" xfId="1" applyNumberFormat="1" applyFont="1" applyFill="1" applyBorder="1" applyAlignment="1">
      <alignment vertical="top" wrapText="1"/>
    </xf>
    <xf numFmtId="173" fontId="4" fillId="7" borderId="0" xfId="0" applyNumberFormat="1" applyFont="1" applyFill="1" applyAlignment="1">
      <alignment wrapText="1"/>
    </xf>
    <xf numFmtId="0" fontId="30" fillId="0" borderId="6" xfId="0" applyFont="1" applyBorder="1" applyAlignment="1">
      <alignment horizontal="center"/>
    </xf>
    <xf numFmtId="164" fontId="27" fillId="7" borderId="1" xfId="1" applyFont="1" applyFill="1" applyBorder="1" applyAlignment="1">
      <alignment horizontal="center" vertical="center"/>
    </xf>
    <xf numFmtId="0" fontId="3" fillId="7" borderId="0" xfId="0" applyFont="1" applyFill="1" applyAlignment="1">
      <alignment horizontal="left"/>
    </xf>
    <xf numFmtId="0" fontId="52" fillId="7" borderId="0" xfId="0" applyFont="1" applyFill="1"/>
    <xf numFmtId="0" fontId="27" fillId="0" borderId="7" xfId="0" applyFont="1" applyBorder="1" applyAlignment="1">
      <alignment horizontal="center" wrapText="1"/>
    </xf>
    <xf numFmtId="0" fontId="27" fillId="7" borderId="7" xfId="0" applyFont="1" applyFill="1" applyBorder="1" applyAlignment="1">
      <alignment horizontal="center" wrapText="1"/>
    </xf>
    <xf numFmtId="0" fontId="27" fillId="7" borderId="8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/>
    </xf>
    <xf numFmtId="0" fontId="27" fillId="7" borderId="3" xfId="0" applyFont="1" applyFill="1" applyBorder="1" applyAlignment="1">
      <alignment horizontal="center" wrapText="1"/>
    </xf>
    <xf numFmtId="0" fontId="27" fillId="7" borderId="5" xfId="0" applyFont="1" applyFill="1" applyBorder="1" applyAlignment="1">
      <alignment horizontal="center" wrapText="1"/>
    </xf>
    <xf numFmtId="170" fontId="27" fillId="2" borderId="1" xfId="1" applyNumberFormat="1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wrapText="1"/>
    </xf>
    <xf numFmtId="4" fontId="27" fillId="7" borderId="1" xfId="0" applyNumberFormat="1" applyFont="1" applyFill="1" applyBorder="1" applyAlignment="1">
      <alignment horizontal="center" wrapText="1"/>
    </xf>
    <xf numFmtId="164" fontId="27" fillId="7" borderId="1" xfId="1" applyFont="1" applyFill="1" applyBorder="1" applyAlignment="1"/>
    <xf numFmtId="164" fontId="27" fillId="2" borderId="1" xfId="1" applyFont="1" applyFill="1" applyBorder="1" applyAlignment="1"/>
    <xf numFmtId="0" fontId="27" fillId="7" borderId="3" xfId="0" applyFont="1" applyFill="1" applyBorder="1" applyAlignment="1">
      <alignment horizontal="left" wrapText="1"/>
    </xf>
    <xf numFmtId="0" fontId="27" fillId="7" borderId="4" xfId="0" applyFont="1" applyFill="1" applyBorder="1" applyAlignment="1">
      <alignment horizontal="left" wrapText="1"/>
    </xf>
    <xf numFmtId="0" fontId="27" fillId="7" borderId="5" xfId="0" applyFont="1" applyFill="1" applyBorder="1" applyAlignment="1">
      <alignment horizontal="left" wrapText="1"/>
    </xf>
    <xf numFmtId="39" fontId="30" fillId="6" borderId="5" xfId="0" applyNumberFormat="1" applyFont="1" applyFill="1" applyBorder="1" applyAlignment="1">
      <alignment horizontal="right" vertical="top" wrapText="1"/>
    </xf>
    <xf numFmtId="0" fontId="31" fillId="7" borderId="1" xfId="0" applyFont="1" applyFill="1" applyBorder="1" applyAlignment="1">
      <alignment horizontal="center" vertical="top" wrapText="1"/>
    </xf>
    <xf numFmtId="0" fontId="28" fillId="7" borderId="1" xfId="0" applyFont="1" applyFill="1" applyBorder="1" applyAlignment="1">
      <alignment horizontal="left" wrapText="1"/>
    </xf>
    <xf numFmtId="0" fontId="30" fillId="7" borderId="1" xfId="0" applyFont="1" applyFill="1" applyBorder="1" applyAlignment="1">
      <alignment horizontal="center" wrapText="1"/>
    </xf>
    <xf numFmtId="16" fontId="3" fillId="7" borderId="0" xfId="0" applyNumberFormat="1" applyFont="1" applyFill="1"/>
    <xf numFmtId="0" fontId="28" fillId="7" borderId="0" xfId="0" applyFont="1" applyFill="1" applyAlignment="1">
      <alignment horizontal="left"/>
    </xf>
    <xf numFmtId="0" fontId="27" fillId="7" borderId="0" xfId="0" applyFont="1" applyFill="1"/>
    <xf numFmtId="0" fontId="29" fillId="7" borderId="0" xfId="0" applyFont="1" applyFill="1" applyAlignment="1">
      <alignment horizontal="right"/>
    </xf>
    <xf numFmtId="1" fontId="29" fillId="7" borderId="6" xfId="0" applyNumberFormat="1" applyFont="1" applyFill="1" applyBorder="1" applyAlignment="1">
      <alignment horizontal="center"/>
    </xf>
    <xf numFmtId="0" fontId="29" fillId="7" borderId="0" xfId="0" applyFont="1" applyFill="1"/>
    <xf numFmtId="0" fontId="30" fillId="7" borderId="6" xfId="0" applyFont="1" applyFill="1" applyBorder="1" applyAlignment="1">
      <alignment horizontal="center"/>
    </xf>
    <xf numFmtId="0" fontId="27" fillId="7" borderId="6" xfId="0" applyFont="1" applyFill="1" applyBorder="1"/>
    <xf numFmtId="0" fontId="30" fillId="7" borderId="4" xfId="0" applyFont="1" applyFill="1" applyBorder="1"/>
    <xf numFmtId="0" fontId="27" fillId="7" borderId="4" xfId="0" applyFont="1" applyFill="1" applyBorder="1"/>
    <xf numFmtId="0" fontId="28" fillId="7" borderId="1" xfId="0" applyFont="1" applyFill="1" applyBorder="1" applyAlignment="1">
      <alignment horizontal="center" vertical="top" wrapText="1"/>
    </xf>
    <xf numFmtId="0" fontId="27" fillId="7" borderId="1" xfId="0" applyFont="1" applyFill="1" applyBorder="1" applyAlignment="1">
      <alignment horizontal="center" vertical="top" wrapText="1"/>
    </xf>
    <xf numFmtId="0" fontId="27" fillId="7" borderId="1" xfId="0" applyFont="1" applyFill="1" applyBorder="1" applyAlignment="1">
      <alignment horizontal="left" vertical="top" wrapText="1"/>
    </xf>
    <xf numFmtId="173" fontId="27" fillId="7" borderId="1" xfId="0" applyNumberFormat="1" applyFont="1" applyFill="1" applyBorder="1" applyAlignment="1">
      <alignment horizontal="center" vertical="top" wrapText="1"/>
    </xf>
    <xf numFmtId="1" fontId="27" fillId="7" borderId="1" xfId="0" applyNumberFormat="1" applyFont="1" applyFill="1" applyBorder="1" applyAlignment="1">
      <alignment horizontal="center" vertical="top" wrapText="1"/>
    </xf>
    <xf numFmtId="170" fontId="27" fillId="7" borderId="1" xfId="0" applyNumberFormat="1" applyFont="1" applyFill="1" applyBorder="1" applyAlignment="1">
      <alignment horizontal="center" vertical="top" wrapText="1"/>
    </xf>
    <xf numFmtId="0" fontId="30" fillId="7" borderId="1" xfId="0" applyFont="1" applyFill="1" applyBorder="1" applyAlignment="1">
      <alignment horizontal="center" vertical="center" wrapText="1"/>
    </xf>
    <xf numFmtId="173" fontId="30" fillId="7" borderId="1" xfId="0" applyNumberFormat="1" applyFont="1" applyFill="1" applyBorder="1" applyAlignment="1">
      <alignment horizontal="center" vertical="center" wrapText="1"/>
    </xf>
    <xf numFmtId="0" fontId="44" fillId="7" borderId="1" xfId="0" applyFont="1" applyFill="1" applyBorder="1" applyAlignment="1">
      <alignment horizontal="center" vertical="top" wrapText="1"/>
    </xf>
    <xf numFmtId="0" fontId="44" fillId="7" borderId="1" xfId="0" applyFont="1" applyFill="1" applyBorder="1" applyAlignment="1">
      <alignment horizontal="left" vertical="top" wrapText="1"/>
    </xf>
    <xf numFmtId="173" fontId="30" fillId="7" borderId="1" xfId="0" applyNumberFormat="1" applyFont="1" applyFill="1" applyBorder="1" applyAlignment="1">
      <alignment horizontal="center" vertical="top" wrapText="1"/>
    </xf>
    <xf numFmtId="39" fontId="30" fillId="7" borderId="1" xfId="0" applyNumberFormat="1" applyFont="1" applyFill="1" applyBorder="1" applyAlignment="1">
      <alignment horizontal="center" vertical="top" wrapText="1"/>
    </xf>
    <xf numFmtId="170" fontId="30" fillId="7" borderId="1" xfId="0" applyNumberFormat="1" applyFont="1" applyFill="1" applyBorder="1" applyAlignment="1">
      <alignment horizontal="center" vertical="center" wrapText="1"/>
    </xf>
    <xf numFmtId="177" fontId="3" fillId="7" borderId="0" xfId="0" applyNumberFormat="1" applyFont="1" applyFill="1"/>
    <xf numFmtId="0" fontId="29" fillId="7" borderId="1" xfId="0" applyFont="1" applyFill="1" applyBorder="1" applyAlignment="1">
      <alignment horizontal="right" vertical="top" wrapText="1"/>
    </xf>
    <xf numFmtId="0" fontId="29" fillId="7" borderId="1" xfId="0" applyFont="1" applyFill="1" applyBorder="1" applyAlignment="1">
      <alignment horizontal="center" vertical="center" wrapText="1"/>
    </xf>
    <xf numFmtId="173" fontId="29" fillId="7" borderId="1" xfId="0" applyNumberFormat="1" applyFont="1" applyFill="1" applyBorder="1" applyAlignment="1">
      <alignment horizontal="center" vertical="top" wrapText="1"/>
    </xf>
    <xf numFmtId="172" fontId="27" fillId="7" borderId="1" xfId="0" applyNumberFormat="1" applyFont="1" applyFill="1" applyBorder="1" applyAlignment="1">
      <alignment horizontal="center" vertical="top" wrapText="1"/>
    </xf>
    <xf numFmtId="39" fontId="27" fillId="7" borderId="1" xfId="0" applyNumberFormat="1" applyFont="1" applyFill="1" applyBorder="1" applyAlignment="1">
      <alignment horizontal="center" vertical="top" wrapText="1"/>
    </xf>
    <xf numFmtId="0" fontId="30" fillId="7" borderId="1" xfId="0" applyFont="1" applyFill="1" applyBorder="1" applyAlignment="1">
      <alignment horizontal="center" vertical="top" wrapText="1"/>
    </xf>
    <xf numFmtId="172" fontId="30" fillId="7" borderId="1" xfId="0" applyNumberFormat="1" applyFont="1" applyFill="1" applyBorder="1" applyAlignment="1">
      <alignment horizontal="center" vertical="top" wrapText="1"/>
    </xf>
    <xf numFmtId="0" fontId="30" fillId="7" borderId="1" xfId="0" applyFont="1" applyFill="1" applyBorder="1" applyAlignment="1">
      <alignment vertical="top" wrapText="1"/>
    </xf>
    <xf numFmtId="1" fontId="27" fillId="7" borderId="1" xfId="0" applyNumberFormat="1" applyFont="1" applyFill="1" applyBorder="1" applyAlignment="1">
      <alignment horizontal="center" wrapText="1"/>
    </xf>
    <xf numFmtId="0" fontId="31" fillId="7" borderId="1" xfId="0" applyFont="1" applyFill="1" applyBorder="1" applyAlignment="1">
      <alignment horizontal="center" vertical="center" wrapText="1"/>
    </xf>
    <xf numFmtId="0" fontId="27" fillId="7" borderId="7" xfId="0" applyFont="1" applyFill="1" applyBorder="1" applyAlignment="1">
      <alignment wrapText="1"/>
    </xf>
    <xf numFmtId="0" fontId="30" fillId="7" borderId="5" xfId="0" applyFont="1" applyFill="1" applyBorder="1" applyAlignment="1">
      <alignment horizontal="center" wrapText="1"/>
    </xf>
    <xf numFmtId="0" fontId="27" fillId="7" borderId="1" xfId="0" applyFont="1" applyFill="1" applyBorder="1" applyAlignment="1">
      <alignment horizontal="left" vertical="center" wrapText="1"/>
    </xf>
    <xf numFmtId="43" fontId="3" fillId="7" borderId="0" xfId="0" applyNumberFormat="1" applyFont="1" applyFill="1"/>
    <xf numFmtId="0" fontId="28" fillId="7" borderId="0" xfId="0" applyFont="1" applyFill="1" applyAlignment="1">
      <alignment horizontal="justify"/>
    </xf>
    <xf numFmtId="0" fontId="29" fillId="7" borderId="0" xfId="0" applyFont="1" applyFill="1" applyAlignment="1"/>
    <xf numFmtId="0" fontId="9" fillId="7" borderId="0" xfId="0" applyFont="1" applyFill="1" applyAlignment="1">
      <alignment horizontal="left"/>
    </xf>
    <xf numFmtId="0" fontId="5" fillId="7" borderId="0" xfId="0" applyFont="1" applyFill="1" applyBorder="1" applyAlignment="1">
      <alignment horizontal="center"/>
    </xf>
    <xf numFmtId="0" fontId="53" fillId="7" borderId="0" xfId="0" applyFont="1" applyFill="1" applyAlignment="1">
      <alignment horizontal="left"/>
    </xf>
    <xf numFmtId="3" fontId="27" fillId="7" borderId="1" xfId="0" applyNumberFormat="1" applyFont="1" applyFill="1" applyBorder="1" applyAlignment="1">
      <alignment horizontal="center" vertical="center" wrapText="1"/>
    </xf>
    <xf numFmtId="16" fontId="27" fillId="7" borderId="1" xfId="0" applyNumberFormat="1" applyFont="1" applyFill="1" applyBorder="1" applyAlignment="1">
      <alignment horizontal="center" wrapText="1"/>
    </xf>
    <xf numFmtId="3" fontId="31" fillId="7" borderId="1" xfId="0" applyNumberFormat="1" applyFont="1" applyFill="1" applyBorder="1" applyAlignment="1">
      <alignment horizontal="center" wrapText="1"/>
    </xf>
    <xf numFmtId="0" fontId="30" fillId="7" borderId="0" xfId="0" applyFont="1" applyFill="1" applyAlignment="1">
      <alignment horizontal="center"/>
    </xf>
    <xf numFmtId="0" fontId="32" fillId="7" borderId="0" xfId="0" applyFont="1" applyFill="1" applyAlignment="1">
      <alignment horizontal="right"/>
    </xf>
    <xf numFmtId="164" fontId="27" fillId="7" borderId="0" xfId="0" applyNumberFormat="1" applyFont="1" applyFill="1" applyBorder="1" applyAlignment="1">
      <alignment horizontal="center"/>
    </xf>
    <xf numFmtId="0" fontId="27" fillId="7" borderId="0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0" fillId="7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left" vertical="center" wrapText="1"/>
    </xf>
    <xf numFmtId="0" fontId="4" fillId="7" borderId="0" xfId="4" applyFont="1" applyFill="1" applyAlignment="1">
      <alignment wrapText="1"/>
    </xf>
    <xf numFmtId="0" fontId="7" fillId="7" borderId="0" xfId="4" applyFont="1" applyFill="1"/>
    <xf numFmtId="0" fontId="3" fillId="7" borderId="0" xfId="4" applyFont="1" applyFill="1"/>
    <xf numFmtId="0" fontId="27" fillId="7" borderId="0" xfId="4" applyFont="1" applyFill="1" applyBorder="1" applyAlignment="1">
      <alignment horizontal="center"/>
    </xf>
    <xf numFmtId="0" fontId="27" fillId="7" borderId="0" xfId="4" applyFont="1" applyFill="1" applyBorder="1"/>
    <xf numFmtId="43" fontId="31" fillId="7" borderId="0" xfId="4" applyNumberFormat="1" applyFont="1" applyFill="1" applyAlignment="1">
      <alignment horizontal="center"/>
    </xf>
    <xf numFmtId="0" fontId="7" fillId="7" borderId="0" xfId="4" applyFont="1" applyFill="1" applyBorder="1" applyAlignment="1">
      <alignment horizontal="right"/>
    </xf>
    <xf numFmtId="0" fontId="7" fillId="7" borderId="0" xfId="4" applyFont="1" applyFill="1" applyAlignment="1">
      <alignment horizontal="center"/>
    </xf>
    <xf numFmtId="0" fontId="3" fillId="7" borderId="6" xfId="4" applyFont="1" applyFill="1" applyBorder="1" applyAlignment="1">
      <alignment horizontal="center"/>
    </xf>
    <xf numFmtId="0" fontId="3" fillId="7" borderId="6" xfId="4" applyFont="1" applyFill="1" applyBorder="1" applyAlignment="1">
      <alignment horizontal="left"/>
    </xf>
    <xf numFmtId="0" fontId="3" fillId="7" borderId="0" xfId="4" applyFont="1" applyFill="1" applyAlignment="1">
      <alignment horizontal="center"/>
    </xf>
    <xf numFmtId="164" fontId="30" fillId="7" borderId="1" xfId="1" applyFont="1" applyFill="1" applyBorder="1" applyAlignment="1">
      <alignment horizontal="center" vertical="center"/>
    </xf>
    <xf numFmtId="164" fontId="30" fillId="7" borderId="1" xfId="1" applyNumberFormat="1" applyFont="1" applyFill="1" applyBorder="1" applyAlignment="1">
      <alignment horizontal="center"/>
    </xf>
    <xf numFmtId="0" fontId="30" fillId="7" borderId="1" xfId="0" applyFont="1" applyFill="1" applyBorder="1" applyAlignment="1">
      <alignment horizontal="center" wrapText="1"/>
    </xf>
    <xf numFmtId="0" fontId="31" fillId="7" borderId="1" xfId="0" applyFont="1" applyFill="1" applyBorder="1" applyAlignment="1">
      <alignment horizontal="center" vertical="top" wrapText="1"/>
    </xf>
    <xf numFmtId="0" fontId="27" fillId="7" borderId="1" xfId="0" applyFont="1" applyFill="1" applyBorder="1" applyAlignment="1">
      <alignment horizontal="center" wrapText="1"/>
    </xf>
    <xf numFmtId="4" fontId="27" fillId="7" borderId="1" xfId="0" applyNumberFormat="1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30" fillId="7" borderId="0" xfId="0" applyFont="1" applyFill="1" applyBorder="1" applyAlignment="1">
      <alignment horizontal="right" wrapText="1"/>
    </xf>
    <xf numFmtId="0" fontId="30" fillId="7" borderId="0" xfId="0" applyFont="1" applyFill="1" applyBorder="1" applyAlignment="1">
      <alignment horizontal="center" wrapText="1"/>
    </xf>
    <xf numFmtId="3" fontId="30" fillId="7" borderId="1" xfId="0" applyNumberFormat="1" applyFont="1" applyFill="1" applyBorder="1" applyAlignment="1">
      <alignment horizontal="center" wrapText="1"/>
    </xf>
    <xf numFmtId="0" fontId="5" fillId="7" borderId="0" xfId="0" applyFont="1" applyFill="1"/>
    <xf numFmtId="4" fontId="30" fillId="7" borderId="1" xfId="0" applyNumberFormat="1" applyFont="1" applyFill="1" applyBorder="1" applyAlignment="1">
      <alignment horizontal="center" wrapText="1"/>
    </xf>
    <xf numFmtId="164" fontId="5" fillId="7" borderId="0" xfId="0" applyNumberFormat="1" applyFont="1" applyFill="1"/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 vertical="top" wrapText="1"/>
    </xf>
    <xf numFmtId="0" fontId="27" fillId="7" borderId="1" xfId="0" applyFont="1" applyFill="1" applyBorder="1" applyAlignment="1">
      <alignment horizontal="center" wrapText="1"/>
    </xf>
    <xf numFmtId="0" fontId="30" fillId="7" borderId="1" xfId="0" applyFont="1" applyFill="1" applyBorder="1" applyAlignment="1">
      <alignment horizontal="center" wrapText="1"/>
    </xf>
    <xf numFmtId="0" fontId="27" fillId="7" borderId="1" xfId="0" applyFont="1" applyFill="1" applyBorder="1" applyAlignment="1">
      <alignment horizontal="center" wrapText="1"/>
    </xf>
    <xf numFmtId="170" fontId="30" fillId="7" borderId="1" xfId="1" applyNumberFormat="1" applyFont="1" applyFill="1" applyBorder="1" applyAlignment="1">
      <alignment horizontal="center" vertical="center"/>
    </xf>
    <xf numFmtId="170" fontId="27" fillId="7" borderId="1" xfId="1" applyNumberFormat="1" applyFont="1" applyFill="1" applyBorder="1" applyAlignment="1">
      <alignment horizontal="center" wrapText="1"/>
    </xf>
    <xf numFmtId="0" fontId="30" fillId="7" borderId="1" xfId="0" applyFont="1" applyFill="1" applyBorder="1" applyAlignment="1">
      <alignment horizontal="center" vertical="center"/>
    </xf>
    <xf numFmtId="16" fontId="30" fillId="7" borderId="1" xfId="0" applyNumberFormat="1" applyFont="1" applyFill="1" applyBorder="1" applyAlignment="1">
      <alignment horizontal="center" wrapText="1"/>
    </xf>
    <xf numFmtId="0" fontId="30" fillId="7" borderId="1" xfId="0" applyFont="1" applyFill="1" applyBorder="1" applyAlignment="1">
      <alignment horizontal="center"/>
    </xf>
    <xf numFmtId="0" fontId="58" fillId="0" borderId="0" xfId="0" applyFont="1" applyFill="1"/>
    <xf numFmtId="0" fontId="59" fillId="0" borderId="0" xfId="0" applyFont="1" applyFill="1"/>
    <xf numFmtId="49" fontId="60" fillId="0" borderId="1" xfId="0" applyNumberFormat="1" applyFont="1" applyFill="1" applyBorder="1" applyAlignment="1">
      <alignment horizontal="center" vertical="top" wrapText="1"/>
    </xf>
    <xf numFmtId="49" fontId="61" fillId="0" borderId="1" xfId="0" applyNumberFormat="1" applyFont="1" applyFill="1" applyBorder="1" applyAlignment="1">
      <alignment horizontal="center" vertical="top" wrapText="1"/>
    </xf>
    <xf numFmtId="0" fontId="60" fillId="0" borderId="7" xfId="0" applyFont="1" applyFill="1" applyBorder="1" applyAlignment="1">
      <alignment vertical="top" wrapText="1"/>
    </xf>
    <xf numFmtId="0" fontId="61" fillId="0" borderId="1" xfId="0" applyFont="1" applyFill="1" applyBorder="1" applyAlignment="1">
      <alignment horizontal="center" wrapText="1"/>
    </xf>
    <xf numFmtId="0" fontId="60" fillId="0" borderId="8" xfId="0" applyFont="1" applyFill="1" applyBorder="1" applyAlignment="1">
      <alignment horizontal="justify" vertical="top" wrapText="1"/>
    </xf>
    <xf numFmtId="0" fontId="60" fillId="0" borderId="8" xfId="0" applyFont="1" applyFill="1" applyBorder="1" applyAlignment="1">
      <alignment vertical="top" wrapText="1"/>
    </xf>
    <xf numFmtId="0" fontId="60" fillId="0" borderId="11" xfId="0" applyFont="1" applyFill="1" applyBorder="1" applyAlignment="1">
      <alignment horizontal="center" wrapText="1"/>
    </xf>
    <xf numFmtId="0" fontId="60" fillId="0" borderId="8" xfId="0" applyFont="1" applyFill="1" applyBorder="1" applyAlignment="1">
      <alignment wrapText="1"/>
    </xf>
    <xf numFmtId="0" fontId="60" fillId="0" borderId="1" xfId="0" applyFont="1" applyFill="1" applyBorder="1" applyAlignment="1">
      <alignment wrapText="1"/>
    </xf>
    <xf numFmtId="14" fontId="61" fillId="0" borderId="7" xfId="0" applyNumberFormat="1" applyFont="1" applyFill="1" applyBorder="1" applyAlignment="1">
      <alignment horizontal="center" wrapText="1"/>
    </xf>
    <xf numFmtId="0" fontId="61" fillId="0" borderId="1" xfId="0" applyFont="1" applyFill="1" applyBorder="1" applyAlignment="1">
      <alignment wrapText="1"/>
    </xf>
    <xf numFmtId="164" fontId="61" fillId="0" borderId="1" xfId="0" applyNumberFormat="1" applyFont="1" applyFill="1" applyBorder="1" applyAlignment="1">
      <alignment wrapText="1"/>
    </xf>
    <xf numFmtId="0" fontId="60" fillId="0" borderId="11" xfId="0" applyFont="1" applyFill="1" applyBorder="1" applyAlignment="1">
      <alignment vertical="top" wrapText="1"/>
    </xf>
    <xf numFmtId="0" fontId="60" fillId="0" borderId="15" xfId="0" applyFont="1" applyFill="1" applyBorder="1" applyAlignment="1">
      <alignment vertical="top" wrapText="1"/>
    </xf>
    <xf numFmtId="0" fontId="60" fillId="0" borderId="14" xfId="0" applyFont="1" applyFill="1" applyBorder="1" applyAlignment="1">
      <alignment wrapText="1"/>
    </xf>
    <xf numFmtId="0" fontId="60" fillId="0" borderId="1" xfId="0" applyFont="1" applyFill="1" applyBorder="1" applyAlignment="1">
      <alignment vertical="top" wrapText="1"/>
    </xf>
    <xf numFmtId="0" fontId="61" fillId="0" borderId="5" xfId="0" applyFont="1" applyFill="1" applyBorder="1" applyAlignment="1">
      <alignment horizontal="center" wrapText="1"/>
    </xf>
    <xf numFmtId="0" fontId="60" fillId="0" borderId="3" xfId="0" applyFont="1" applyFill="1" applyBorder="1" applyAlignment="1">
      <alignment horizontal="center" vertical="top" wrapText="1"/>
    </xf>
    <xf numFmtId="164" fontId="60" fillId="0" borderId="5" xfId="0" applyNumberFormat="1" applyFont="1" applyFill="1" applyBorder="1" applyAlignment="1">
      <alignment horizontal="center" wrapText="1"/>
    </xf>
    <xf numFmtId="0" fontId="60" fillId="0" borderId="3" xfId="0" applyFont="1" applyFill="1" applyBorder="1" applyAlignment="1">
      <alignment horizontal="justify" vertical="top" wrapText="1"/>
    </xf>
    <xf numFmtId="0" fontId="60" fillId="0" borderId="5" xfId="0" applyFont="1" applyFill="1" applyBorder="1" applyAlignment="1">
      <alignment horizontal="center" vertical="top" wrapText="1"/>
    </xf>
    <xf numFmtId="0" fontId="61" fillId="0" borderId="1" xfId="0" applyFont="1" applyFill="1" applyBorder="1" applyAlignment="1">
      <alignment vertical="top" wrapText="1"/>
    </xf>
    <xf numFmtId="164" fontId="60" fillId="0" borderId="1" xfId="0" applyNumberFormat="1" applyFont="1" applyFill="1" applyBorder="1" applyAlignment="1">
      <alignment vertical="top" wrapText="1"/>
    </xf>
    <xf numFmtId="0" fontId="60" fillId="0" borderId="1" xfId="0" applyFont="1" applyFill="1" applyBorder="1" applyAlignment="1">
      <alignment horizontal="justify" vertical="top" wrapText="1"/>
    </xf>
    <xf numFmtId="0" fontId="60" fillId="0" borderId="0" xfId="0" applyFont="1" applyFill="1" applyBorder="1" applyAlignment="1">
      <alignment horizontal="justify" vertical="top" wrapText="1"/>
    </xf>
    <xf numFmtId="0" fontId="60" fillId="0" borderId="0" xfId="0" applyFont="1" applyFill="1" applyBorder="1" applyAlignment="1">
      <alignment vertical="top" wrapText="1"/>
    </xf>
    <xf numFmtId="0" fontId="61" fillId="0" borderId="0" xfId="0" applyFont="1" applyFill="1" applyBorder="1" applyAlignment="1">
      <alignment vertical="top" wrapText="1"/>
    </xf>
    <xf numFmtId="0" fontId="62" fillId="0" borderId="6" xfId="4" applyFont="1" applyFill="1" applyBorder="1" applyAlignment="1">
      <alignment horizontal="center"/>
    </xf>
    <xf numFmtId="0" fontId="61" fillId="0" borderId="6" xfId="4" applyFont="1" applyFill="1" applyBorder="1" applyAlignment="1">
      <alignment horizontal="center"/>
    </xf>
    <xf numFmtId="0" fontId="62" fillId="0" borderId="6" xfId="4" applyFont="1" applyFill="1" applyBorder="1" applyAlignment="1">
      <alignment horizontal="left"/>
    </xf>
    <xf numFmtId="0" fontId="62" fillId="0" borderId="6" xfId="4" applyFont="1" applyFill="1" applyBorder="1"/>
    <xf numFmtId="0" fontId="62" fillId="0" borderId="0" xfId="4" applyFont="1" applyFill="1"/>
    <xf numFmtId="0" fontId="62" fillId="0" borderId="0" xfId="4" applyFont="1" applyFill="1" applyBorder="1" applyAlignment="1">
      <alignment vertical="top"/>
    </xf>
    <xf numFmtId="0" fontId="62" fillId="0" borderId="10" xfId="4" applyFont="1" applyFill="1" applyBorder="1" applyAlignment="1">
      <alignment vertical="top"/>
    </xf>
    <xf numFmtId="0" fontId="61" fillId="0" borderId="0" xfId="4" applyFont="1" applyFill="1" applyAlignment="1">
      <alignment horizontal="center"/>
    </xf>
    <xf numFmtId="0" fontId="63" fillId="0" borderId="0" xfId="4" applyFont="1" applyFill="1"/>
    <xf numFmtId="164" fontId="58" fillId="0" borderId="0" xfId="0" applyNumberFormat="1" applyFont="1" applyFill="1"/>
    <xf numFmtId="167" fontId="64" fillId="7" borderId="1" xfId="2" applyNumberFormat="1" applyFont="1" applyFill="1" applyBorder="1" applyAlignment="1">
      <alignment horizontal="center" wrapText="1"/>
    </xf>
    <xf numFmtId="0" fontId="54" fillId="7" borderId="1" xfId="0" applyFont="1" applyFill="1" applyBorder="1" applyAlignment="1">
      <alignment horizontal="center" wrapText="1"/>
    </xf>
    <xf numFmtId="164" fontId="27" fillId="7" borderId="4" xfId="1" applyFont="1" applyFill="1" applyBorder="1" applyAlignment="1">
      <alignment horizontal="center"/>
    </xf>
    <xf numFmtId="0" fontId="4" fillId="7" borderId="14" xfId="0" applyFont="1" applyFill="1" applyBorder="1" applyAlignment="1">
      <alignment wrapText="1"/>
    </xf>
    <xf numFmtId="0" fontId="4" fillId="7" borderId="8" xfId="0" applyFont="1" applyFill="1" applyBorder="1" applyAlignment="1">
      <alignment wrapText="1"/>
    </xf>
    <xf numFmtId="0" fontId="2" fillId="7" borderId="0" xfId="0" applyFont="1" applyFill="1" applyAlignment="1">
      <alignment wrapText="1"/>
    </xf>
    <xf numFmtId="0" fontId="27" fillId="7" borderId="1" xfId="0" applyFont="1" applyFill="1" applyBorder="1" applyAlignment="1">
      <alignment horizontal="center" wrapText="1"/>
    </xf>
    <xf numFmtId="0" fontId="28" fillId="7" borderId="1" xfId="0" applyFont="1" applyFill="1" applyBorder="1" applyAlignment="1">
      <alignment horizontal="left" wrapText="1"/>
    </xf>
    <xf numFmtId="0" fontId="27" fillId="7" borderId="1" xfId="0" applyFont="1" applyFill="1" applyBorder="1" applyAlignment="1">
      <alignment horizontal="center" wrapText="1"/>
    </xf>
    <xf numFmtId="0" fontId="27" fillId="7" borderId="1" xfId="0" applyFont="1" applyFill="1" applyBorder="1" applyAlignment="1">
      <alignment horizontal="center" wrapText="1"/>
    </xf>
    <xf numFmtId="0" fontId="28" fillId="7" borderId="1" xfId="0" applyFont="1" applyFill="1" applyBorder="1" applyAlignment="1">
      <alignment horizontal="left" wrapText="1"/>
    </xf>
    <xf numFmtId="164" fontId="27" fillId="7" borderId="1" xfId="1" applyFont="1" applyFill="1" applyBorder="1" applyAlignment="1"/>
    <xf numFmtId="0" fontId="0" fillId="7" borderId="1" xfId="0" applyFont="1" applyFill="1" applyBorder="1" applyAlignment="1">
      <alignment horizontal="center" wrapText="1"/>
    </xf>
    <xf numFmtId="0" fontId="31" fillId="7" borderId="1" xfId="0" applyFont="1" applyFill="1" applyBorder="1" applyAlignment="1">
      <alignment horizontal="center" vertical="top" wrapText="1"/>
    </xf>
    <xf numFmtId="0" fontId="31" fillId="7" borderId="3" xfId="0" applyFont="1" applyFill="1" applyBorder="1" applyAlignment="1">
      <alignment horizontal="center" vertical="top" wrapText="1"/>
    </xf>
    <xf numFmtId="0" fontId="27" fillId="7" borderId="1" xfId="0" applyFont="1" applyFill="1" applyBorder="1" applyAlignment="1">
      <alignment horizontal="center" vertical="top" wrapText="1"/>
    </xf>
    <xf numFmtId="0" fontId="29" fillId="7" borderId="1" xfId="0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left" vertical="top" wrapText="1"/>
    </xf>
    <xf numFmtId="0" fontId="27" fillId="7" borderId="4" xfId="0" applyFont="1" applyFill="1" applyBorder="1" applyAlignment="1">
      <alignment horizontal="center" vertical="top" wrapText="1"/>
    </xf>
    <xf numFmtId="172" fontId="27" fillId="7" borderId="3" xfId="0" applyNumberFormat="1" applyFont="1" applyFill="1" applyBorder="1" applyAlignment="1">
      <alignment horizontal="center" wrapText="1"/>
    </xf>
    <xf numFmtId="164" fontId="27" fillId="7" borderId="4" xfId="1" applyFont="1" applyFill="1" applyBorder="1" applyAlignment="1"/>
    <xf numFmtId="170" fontId="28" fillId="7" borderId="1" xfId="0" applyNumberFormat="1" applyFont="1" applyFill="1" applyBorder="1" applyAlignment="1">
      <alignment horizontal="center" vertical="center" wrapText="1"/>
    </xf>
    <xf numFmtId="39" fontId="27" fillId="7" borderId="5" xfId="0" applyNumberFormat="1" applyFont="1" applyFill="1" applyBorder="1" applyAlignment="1">
      <alignment horizontal="center" vertical="top" wrapText="1"/>
    </xf>
    <xf numFmtId="0" fontId="28" fillId="7" borderId="0" xfId="0" applyFont="1" applyFill="1" applyAlignment="1"/>
    <xf numFmtId="0" fontId="27" fillId="7" borderId="0" xfId="0" applyFont="1" applyFill="1" applyBorder="1" applyAlignment="1">
      <alignment horizontal="center" wrapText="1"/>
    </xf>
    <xf numFmtId="0" fontId="6" fillId="7" borderId="0" xfId="0" applyFont="1" applyFill="1" applyAlignment="1"/>
    <xf numFmtId="4" fontId="27" fillId="7" borderId="3" xfId="0" applyNumberFormat="1" applyFont="1" applyFill="1" applyBorder="1" applyAlignment="1">
      <alignment horizontal="center" wrapText="1"/>
    </xf>
    <xf numFmtId="4" fontId="27" fillId="7" borderId="5" xfId="0" applyNumberFormat="1" applyFont="1" applyFill="1" applyBorder="1" applyAlignment="1">
      <alignment horizontal="center" wrapText="1"/>
    </xf>
    <xf numFmtId="0" fontId="27" fillId="7" borderId="1" xfId="0" applyFont="1" applyFill="1" applyBorder="1" applyAlignment="1">
      <alignment horizontal="center"/>
    </xf>
    <xf numFmtId="0" fontId="27" fillId="7" borderId="3" xfId="0" applyFont="1" applyFill="1" applyBorder="1" applyAlignment="1">
      <alignment horizontal="center"/>
    </xf>
    <xf numFmtId="3" fontId="27" fillId="7" borderId="1" xfId="0" applyNumberFormat="1" applyFont="1" applyFill="1" applyBorder="1" applyAlignment="1">
      <alignment horizontal="center" wrapText="1"/>
    </xf>
    <xf numFmtId="3" fontId="27" fillId="7" borderId="5" xfId="0" applyNumberFormat="1" applyFont="1" applyFill="1" applyBorder="1" applyAlignment="1">
      <alignment horizontal="center" wrapText="1"/>
    </xf>
    <xf numFmtId="0" fontId="31" fillId="0" borderId="1" xfId="0" applyFont="1" applyBorder="1" applyAlignment="1">
      <alignment horizontal="center" vertical="top" wrapText="1"/>
    </xf>
    <xf numFmtId="0" fontId="27" fillId="7" borderId="1" xfId="0" applyFont="1" applyFill="1" applyBorder="1" applyAlignment="1">
      <alignment horizontal="center" wrapText="1"/>
    </xf>
    <xf numFmtId="0" fontId="27" fillId="7" borderId="1" xfId="0" applyFont="1" applyFill="1" applyBorder="1" applyAlignment="1">
      <alignment horizontal="center" vertical="top" wrapText="1"/>
    </xf>
    <xf numFmtId="0" fontId="30" fillId="7" borderId="1" xfId="0" applyFont="1" applyFill="1" applyBorder="1" applyAlignment="1">
      <alignment horizontal="right" vertical="top" wrapText="1"/>
    </xf>
    <xf numFmtId="164" fontId="27" fillId="7" borderId="1" xfId="1" applyFont="1" applyFill="1" applyBorder="1" applyAlignment="1">
      <alignment horizontal="center"/>
    </xf>
    <xf numFmtId="0" fontId="27" fillId="0" borderId="1" xfId="0" applyFont="1" applyBorder="1" applyAlignment="1">
      <alignment horizontal="center" vertical="top" wrapText="1"/>
    </xf>
    <xf numFmtId="0" fontId="30" fillId="7" borderId="1" xfId="0" applyFont="1" applyFill="1" applyBorder="1" applyAlignment="1">
      <alignment horizontal="center" wrapText="1"/>
    </xf>
    <xf numFmtId="0" fontId="16" fillId="0" borderId="0" xfId="4" applyFont="1" applyFill="1" applyAlignment="1">
      <alignment horizontal="left"/>
    </xf>
    <xf numFmtId="166" fontId="27" fillId="0" borderId="1" xfId="0" applyNumberFormat="1" applyFont="1" applyBorder="1" applyAlignment="1">
      <alignment horizontal="center" vertical="top" wrapText="1"/>
    </xf>
    <xf numFmtId="170" fontId="30" fillId="7" borderId="1" xfId="1" applyNumberFormat="1" applyFont="1" applyFill="1" applyBorder="1" applyAlignment="1">
      <alignment horizontal="center" vertical="center" wrapText="1"/>
    </xf>
    <xf numFmtId="0" fontId="5" fillId="5" borderId="0" xfId="0" applyFont="1" applyFill="1"/>
    <xf numFmtId="164" fontId="5" fillId="5" borderId="0" xfId="0" applyNumberFormat="1" applyFont="1" applyFill="1" applyAlignment="1">
      <alignment horizontal="left"/>
    </xf>
    <xf numFmtId="164" fontId="5" fillId="5" borderId="0" xfId="0" applyNumberFormat="1" applyFont="1" applyFill="1" applyAlignment="1">
      <alignment vertical="center"/>
    </xf>
    <xf numFmtId="172" fontId="4" fillId="7" borderId="0" xfId="0" applyNumberFormat="1" applyFont="1" applyFill="1" applyAlignment="1">
      <alignment horizontal="left" wrapText="1"/>
    </xf>
    <xf numFmtId="0" fontId="27" fillId="7" borderId="8" xfId="0" applyFont="1" applyFill="1" applyBorder="1" applyAlignment="1">
      <alignment horizontal="center" wrapText="1"/>
    </xf>
    <xf numFmtId="0" fontId="27" fillId="7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3" fontId="27" fillId="7" borderId="1" xfId="0" applyNumberFormat="1" applyFont="1" applyFill="1" applyBorder="1" applyAlignment="1">
      <alignment horizontal="center" wrapText="1"/>
    </xf>
    <xf numFmtId="164" fontId="67" fillId="5" borderId="1" xfId="1" applyFont="1" applyFill="1" applyBorder="1" applyAlignment="1"/>
    <xf numFmtId="0" fontId="16" fillId="0" borderId="0" xfId="4" applyFont="1" applyFill="1" applyAlignment="1">
      <alignment horizontal="center"/>
    </xf>
    <xf numFmtId="0" fontId="60" fillId="0" borderId="12" xfId="0" applyFont="1" applyFill="1" applyBorder="1" applyAlignment="1">
      <alignment horizontal="center" wrapText="1"/>
    </xf>
    <xf numFmtId="0" fontId="60" fillId="0" borderId="3" xfId="0" applyFont="1" applyFill="1" applyBorder="1" applyAlignment="1">
      <alignment horizontal="center" wrapText="1"/>
    </xf>
    <xf numFmtId="0" fontId="60" fillId="0" borderId="5" xfId="0" applyFont="1" applyFill="1" applyBorder="1" applyAlignment="1">
      <alignment horizontal="center" wrapText="1"/>
    </xf>
    <xf numFmtId="0" fontId="60" fillId="0" borderId="7" xfId="0" applyFont="1" applyFill="1" applyBorder="1" applyAlignment="1">
      <alignment horizontal="center" wrapText="1"/>
    </xf>
    <xf numFmtId="0" fontId="60" fillId="0" borderId="8" xfId="0" applyFont="1" applyFill="1" applyBorder="1" applyAlignment="1">
      <alignment horizontal="center" wrapText="1"/>
    </xf>
    <xf numFmtId="0" fontId="62" fillId="0" borderId="0" xfId="4" applyFont="1" applyFill="1" applyAlignment="1">
      <alignment horizontal="right"/>
    </xf>
    <xf numFmtId="0" fontId="60" fillId="0" borderId="1" xfId="0" applyFont="1" applyFill="1" applyBorder="1" applyAlignment="1">
      <alignment horizontal="center" wrapText="1"/>
    </xf>
    <xf numFmtId="164" fontId="60" fillId="0" borderId="1" xfId="0" applyNumberFormat="1" applyFont="1" applyFill="1" applyBorder="1" applyAlignment="1">
      <alignment wrapText="1"/>
    </xf>
    <xf numFmtId="0" fontId="60" fillId="0" borderId="1" xfId="0" applyFont="1" applyFill="1" applyBorder="1" applyAlignment="1">
      <alignment horizontal="center" vertical="top" wrapText="1"/>
    </xf>
    <xf numFmtId="14" fontId="60" fillId="0" borderId="7" xfId="0" applyNumberFormat="1" applyFont="1" applyFill="1" applyBorder="1" applyAlignment="1">
      <alignment horizontal="center" wrapText="1"/>
    </xf>
    <xf numFmtId="0" fontId="62" fillId="0" borderId="0" xfId="4" applyFont="1" applyFill="1" applyAlignment="1">
      <alignment horizontal="center"/>
    </xf>
    <xf numFmtId="0" fontId="4" fillId="7" borderId="1" xfId="0" applyFont="1" applyFill="1" applyBorder="1" applyAlignment="1">
      <alignment horizontal="center" wrapText="1"/>
    </xf>
    <xf numFmtId="0" fontId="27" fillId="7" borderId="3" xfId="0" applyFont="1" applyFill="1" applyBorder="1" applyAlignment="1">
      <alignment horizontal="center" wrapText="1"/>
    </xf>
    <xf numFmtId="0" fontId="27" fillId="7" borderId="5" xfId="0" applyFont="1" applyFill="1" applyBorder="1" applyAlignment="1">
      <alignment horizontal="center" wrapText="1"/>
    </xf>
    <xf numFmtId="164" fontId="27" fillId="5" borderId="1" xfId="1" applyFont="1" applyFill="1" applyBorder="1" applyAlignment="1"/>
    <xf numFmtId="4" fontId="27" fillId="7" borderId="1" xfId="0" applyNumberFormat="1" applyFont="1" applyFill="1" applyBorder="1" applyAlignment="1">
      <alignment horizontal="center" wrapText="1"/>
    </xf>
    <xf numFmtId="0" fontId="27" fillId="7" borderId="3" xfId="0" applyFont="1" applyFill="1" applyBorder="1" applyAlignment="1">
      <alignment horizontal="center"/>
    </xf>
    <xf numFmtId="0" fontId="31" fillId="7" borderId="1" xfId="0" applyFont="1" applyFill="1" applyBorder="1" applyAlignment="1">
      <alignment horizontal="center" vertical="top" wrapText="1"/>
    </xf>
    <xf numFmtId="0" fontId="31" fillId="7" borderId="3" xfId="0" applyFont="1" applyFill="1" applyBorder="1" applyAlignment="1">
      <alignment horizontal="center" vertical="top" wrapText="1"/>
    </xf>
    <xf numFmtId="4" fontId="27" fillId="7" borderId="3" xfId="0" applyNumberFormat="1" applyFont="1" applyFill="1" applyBorder="1" applyAlignment="1">
      <alignment horizontal="center" wrapText="1"/>
    </xf>
    <xf numFmtId="4" fontId="27" fillId="7" borderId="5" xfId="0" applyNumberFormat="1" applyFont="1" applyFill="1" applyBorder="1" applyAlignment="1">
      <alignment horizontal="center" wrapText="1"/>
    </xf>
    <xf numFmtId="4" fontId="30" fillId="7" borderId="1" xfId="0" applyNumberFormat="1" applyFont="1" applyFill="1" applyBorder="1" applyAlignment="1">
      <alignment horizontal="center" wrapText="1"/>
    </xf>
    <xf numFmtId="0" fontId="27" fillId="7" borderId="3" xfId="0" applyFont="1" applyFill="1" applyBorder="1" applyAlignment="1">
      <alignment horizontal="left" wrapText="1"/>
    </xf>
    <xf numFmtId="0" fontId="27" fillId="7" borderId="4" xfId="0" applyFont="1" applyFill="1" applyBorder="1" applyAlignment="1">
      <alignment horizontal="left" wrapText="1"/>
    </xf>
    <xf numFmtId="0" fontId="27" fillId="7" borderId="5" xfId="0" applyFont="1" applyFill="1" applyBorder="1" applyAlignment="1">
      <alignment horizontal="left" wrapText="1"/>
    </xf>
    <xf numFmtId="0" fontId="27" fillId="7" borderId="7" xfId="0" applyFont="1" applyFill="1" applyBorder="1" applyAlignment="1">
      <alignment horizontal="center" wrapText="1"/>
    </xf>
    <xf numFmtId="0" fontId="27" fillId="7" borderId="8" xfId="0" applyFont="1" applyFill="1" applyBorder="1" applyAlignment="1">
      <alignment horizontal="center" wrapText="1"/>
    </xf>
    <xf numFmtId="0" fontId="27" fillId="7" borderId="1" xfId="0" applyFont="1" applyFill="1" applyBorder="1" applyAlignment="1">
      <alignment horizontal="center" wrapText="1"/>
    </xf>
    <xf numFmtId="3" fontId="27" fillId="7" borderId="1" xfId="0" applyNumberFormat="1" applyFont="1" applyFill="1" applyBorder="1" applyAlignment="1">
      <alignment horizontal="center" wrapText="1"/>
    </xf>
    <xf numFmtId="0" fontId="30" fillId="7" borderId="1" xfId="0" applyFont="1" applyFill="1" applyBorder="1" applyAlignment="1">
      <alignment horizontal="center" wrapText="1"/>
    </xf>
    <xf numFmtId="0" fontId="27" fillId="7" borderId="6" xfId="0" applyFont="1" applyFill="1" applyBorder="1" applyAlignment="1">
      <alignment horizontal="center"/>
    </xf>
    <xf numFmtId="0" fontId="27" fillId="7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left" vertical="center" wrapText="1"/>
    </xf>
    <xf numFmtId="0" fontId="30" fillId="7" borderId="3" xfId="0" applyFont="1" applyFill="1" applyBorder="1" applyAlignment="1">
      <alignment horizontal="center" wrapText="1"/>
    </xf>
    <xf numFmtId="0" fontId="30" fillId="7" borderId="5" xfId="0" applyFont="1" applyFill="1" applyBorder="1" applyAlignment="1">
      <alignment horizontal="center" wrapText="1"/>
    </xf>
    <xf numFmtId="0" fontId="27" fillId="7" borderId="3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 wrapText="1"/>
    </xf>
    <xf numFmtId="0" fontId="7" fillId="7" borderId="0" xfId="4" applyFont="1" applyFill="1" applyAlignment="1">
      <alignment horizontal="center"/>
    </xf>
    <xf numFmtId="0" fontId="27" fillId="7" borderId="0" xfId="0" applyFont="1" applyFill="1" applyAlignment="1">
      <alignment horizontal="center"/>
    </xf>
    <xf numFmtId="172" fontId="27" fillId="7" borderId="3" xfId="0" applyNumberFormat="1" applyFont="1" applyFill="1" applyBorder="1" applyAlignment="1">
      <alignment horizontal="center" wrapText="1"/>
    </xf>
    <xf numFmtId="172" fontId="27" fillId="7" borderId="5" xfId="0" applyNumberFormat="1" applyFont="1" applyFill="1" applyBorder="1" applyAlignment="1">
      <alignment horizontal="center" wrapText="1"/>
    </xf>
    <xf numFmtId="0" fontId="27" fillId="7" borderId="1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3" fontId="27" fillId="7" borderId="5" xfId="0" applyNumberFormat="1" applyFont="1" applyFill="1" applyBorder="1" applyAlignment="1">
      <alignment horizontal="center" wrapText="1"/>
    </xf>
    <xf numFmtId="0" fontId="30" fillId="7" borderId="4" xfId="0" applyFont="1" applyFill="1" applyBorder="1" applyAlignment="1">
      <alignment horizontal="center" vertical="top" wrapText="1"/>
    </xf>
    <xf numFmtId="0" fontId="27" fillId="7" borderId="1" xfId="0" applyFont="1" applyFill="1" applyBorder="1" applyAlignment="1">
      <alignment horizontal="center" vertical="top" wrapText="1"/>
    </xf>
    <xf numFmtId="0" fontId="29" fillId="7" borderId="1" xfId="0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left" vertical="top" wrapText="1"/>
    </xf>
    <xf numFmtId="0" fontId="30" fillId="7" borderId="1" xfId="0" applyFont="1" applyFill="1" applyBorder="1" applyAlignment="1">
      <alignment vertical="top" wrapText="1"/>
    </xf>
    <xf numFmtId="0" fontId="30" fillId="7" borderId="1" xfId="0" applyFont="1" applyFill="1" applyBorder="1" applyAlignment="1">
      <alignment horizontal="right" vertical="top" wrapText="1"/>
    </xf>
    <xf numFmtId="0" fontId="30" fillId="7" borderId="3" xfId="0" applyFont="1" applyFill="1" applyBorder="1" applyAlignment="1">
      <alignment horizontal="right" vertical="top" wrapText="1"/>
    </xf>
    <xf numFmtId="39" fontId="30" fillId="7" borderId="5" xfId="0" applyNumberFormat="1" applyFont="1" applyFill="1" applyBorder="1" applyAlignment="1">
      <alignment horizontal="right" vertical="top" wrapText="1"/>
    </xf>
    <xf numFmtId="0" fontId="27" fillId="7" borderId="4" xfId="0" applyFont="1" applyFill="1" applyBorder="1" applyAlignment="1">
      <alignment horizontal="center" vertical="top" wrapText="1"/>
    </xf>
    <xf numFmtId="0" fontId="28" fillId="7" borderId="3" xfId="0" applyFont="1" applyFill="1" applyBorder="1" applyAlignment="1">
      <alignment horizontal="center" wrapText="1"/>
    </xf>
    <xf numFmtId="4" fontId="27" fillId="0" borderId="1" xfId="0" applyNumberFormat="1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27" fillId="0" borderId="5" xfId="0" applyFont="1" applyBorder="1" applyAlignment="1">
      <alignment horizontal="center" wrapText="1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wrapText="1"/>
    </xf>
    <xf numFmtId="0" fontId="30" fillId="2" borderId="3" xfId="0" applyFont="1" applyFill="1" applyBorder="1" applyAlignment="1">
      <alignment horizontal="center" wrapText="1"/>
    </xf>
    <xf numFmtId="0" fontId="3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top" wrapText="1"/>
    </xf>
    <xf numFmtId="0" fontId="27" fillId="6" borderId="3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27" fillId="2" borderId="1" xfId="0" applyFont="1" applyFill="1" applyBorder="1" applyAlignment="1">
      <alignment horizontal="center" wrapText="1"/>
    </xf>
    <xf numFmtId="0" fontId="31" fillId="0" borderId="3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wrapText="1"/>
    </xf>
    <xf numFmtId="0" fontId="30" fillId="0" borderId="3" xfId="0" applyFont="1" applyBorder="1" applyAlignment="1">
      <alignment horizontal="center" wrapText="1"/>
    </xf>
    <xf numFmtId="0" fontId="30" fillId="0" borderId="5" xfId="0" applyFont="1" applyBorder="1" applyAlignment="1">
      <alignment horizontal="center" wrapText="1"/>
    </xf>
    <xf numFmtId="0" fontId="31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3" fontId="27" fillId="0" borderId="1" xfId="0" applyNumberFormat="1" applyFont="1" applyBorder="1" applyAlignment="1">
      <alignment horizontal="center" wrapText="1"/>
    </xf>
    <xf numFmtId="0" fontId="27" fillId="0" borderId="4" xfId="0" applyFont="1" applyBorder="1" applyAlignment="1">
      <alignment horizontal="right" wrapText="1"/>
    </xf>
    <xf numFmtId="0" fontId="28" fillId="7" borderId="1" xfId="0" applyFont="1" applyFill="1" applyBorder="1" applyAlignment="1">
      <alignment horizontal="left" wrapText="1"/>
    </xf>
    <xf numFmtId="164" fontId="27" fillId="0" borderId="4" xfId="1" applyFont="1" applyFill="1" applyBorder="1" applyAlignment="1"/>
    <xf numFmtId="0" fontId="30" fillId="0" borderId="1" xfId="0" applyFont="1" applyBorder="1" applyAlignment="1">
      <alignment horizontal="center"/>
    </xf>
    <xf numFmtId="164" fontId="27" fillId="7" borderId="4" xfId="1" applyFont="1" applyFill="1" applyBorder="1" applyAlignment="1"/>
    <xf numFmtId="164" fontId="27" fillId="7" borderId="5" xfId="1" applyFont="1" applyFill="1" applyBorder="1" applyAlignment="1"/>
    <xf numFmtId="164" fontId="27" fillId="0" borderId="0" xfId="0" applyNumberFormat="1" applyFont="1" applyAlignment="1">
      <alignment horizontal="center"/>
    </xf>
    <xf numFmtId="0" fontId="43" fillId="0" borderId="0" xfId="4" applyFont="1" applyFill="1" applyBorder="1" applyAlignment="1">
      <alignment horizontal="center" vertical="top"/>
    </xf>
    <xf numFmtId="0" fontId="16" fillId="0" borderId="0" xfId="4" applyFont="1" applyFill="1" applyAlignment="1">
      <alignment horizontal="left"/>
    </xf>
    <xf numFmtId="0" fontId="28" fillId="0" borderId="3" xfId="0" applyFont="1" applyBorder="1" applyAlignment="1">
      <alignment horizontal="center" wrapText="1"/>
    </xf>
    <xf numFmtId="164" fontId="27" fillId="7" borderId="1" xfId="1" applyFont="1" applyFill="1" applyBorder="1" applyAlignment="1"/>
    <xf numFmtId="0" fontId="30" fillId="0" borderId="4" xfId="0" applyFont="1" applyBorder="1" applyAlignment="1">
      <alignment vertical="top" wrapText="1"/>
    </xf>
    <xf numFmtId="0" fontId="30" fillId="0" borderId="5" xfId="0" applyFont="1" applyBorder="1" applyAlignment="1">
      <alignment vertical="top" wrapText="1"/>
    </xf>
    <xf numFmtId="3" fontId="27" fillId="0" borderId="5" xfId="0" applyNumberFormat="1" applyFont="1" applyBorder="1" applyAlignment="1">
      <alignment horizontal="center" wrapText="1"/>
    </xf>
    <xf numFmtId="4" fontId="27" fillId="2" borderId="1" xfId="0" applyNumberFormat="1" applyFont="1" applyFill="1" applyBorder="1" applyAlignment="1">
      <alignment horizontal="center" wrapText="1"/>
    </xf>
    <xf numFmtId="0" fontId="23" fillId="0" borderId="0" xfId="4" applyFont="1" applyFill="1" applyBorder="1" applyAlignment="1">
      <alignment horizontal="center" vertical="top"/>
    </xf>
    <xf numFmtId="0" fontId="23" fillId="0" borderId="0" xfId="4" applyFont="1" applyFill="1" applyBorder="1" applyAlignment="1">
      <alignment horizontal="left" vertical="top"/>
    </xf>
    <xf numFmtId="164" fontId="27" fillId="7" borderId="1" xfId="1" applyFont="1" applyFill="1" applyBorder="1" applyAlignment="1">
      <alignment horizontal="center"/>
    </xf>
    <xf numFmtId="164" fontId="30" fillId="7" borderId="1" xfId="1" applyFont="1" applyFill="1" applyBorder="1" applyAlignment="1">
      <alignment horizontal="center"/>
    </xf>
    <xf numFmtId="0" fontId="27" fillId="7" borderId="1" xfId="0" applyFont="1" applyFill="1" applyBorder="1" applyAlignment="1">
      <alignment horizontal="center"/>
    </xf>
    <xf numFmtId="4" fontId="27" fillId="0" borderId="4" xfId="0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center" vertical="top"/>
    </xf>
    <xf numFmtId="164" fontId="6" fillId="0" borderId="0" xfId="1" applyNumberFormat="1" applyFont="1" applyAlignment="1">
      <alignment horizontal="center" vertical="top"/>
    </xf>
    <xf numFmtId="170" fontId="27" fillId="7" borderId="1" xfId="1" applyNumberFormat="1" applyFont="1" applyFill="1" applyBorder="1" applyAlignment="1">
      <alignment horizontal="center" vertical="center" wrapText="1"/>
    </xf>
    <xf numFmtId="170" fontId="27" fillId="7" borderId="1" xfId="1" applyNumberFormat="1" applyFont="1" applyFill="1" applyBorder="1" applyAlignment="1">
      <alignment wrapText="1"/>
    </xf>
    <xf numFmtId="0" fontId="0" fillId="7" borderId="9" xfId="0" applyFill="1" applyBorder="1"/>
    <xf numFmtId="0" fontId="48" fillId="7" borderId="10" xfId="4" applyFont="1" applyFill="1" applyBorder="1" applyAlignment="1">
      <alignment horizontal="left"/>
    </xf>
    <xf numFmtId="0" fontId="48" fillId="7" borderId="10" xfId="4" applyFont="1" applyFill="1" applyBorder="1" applyAlignment="1">
      <alignment horizontal="center" wrapText="1"/>
    </xf>
    <xf numFmtId="164" fontId="48" fillId="7" borderId="10" xfId="4" applyNumberFormat="1" applyFont="1" applyFill="1" applyBorder="1" applyAlignment="1">
      <alignment wrapText="1"/>
    </xf>
    <xf numFmtId="164" fontId="48" fillId="7" borderId="11" xfId="4" applyNumberFormat="1" applyFont="1" applyFill="1" applyBorder="1" applyAlignment="1">
      <alignment wrapText="1"/>
    </xf>
    <xf numFmtId="0" fontId="48" fillId="7" borderId="0" xfId="4" applyFont="1" applyFill="1" applyAlignment="1">
      <alignment wrapText="1"/>
    </xf>
    <xf numFmtId="0" fontId="0" fillId="7" borderId="0" xfId="0" applyFill="1"/>
    <xf numFmtId="0" fontId="65" fillId="7" borderId="2" xfId="0" applyFont="1" applyFill="1" applyBorder="1" applyAlignment="1"/>
    <xf numFmtId="0" fontId="65" fillId="7" borderId="0" xfId="0" applyFont="1" applyFill="1" applyBorder="1" applyAlignment="1"/>
    <xf numFmtId="0" fontId="65" fillId="7" borderId="15" xfId="0" applyFont="1" applyFill="1" applyBorder="1" applyAlignment="1"/>
    <xf numFmtId="0" fontId="55" fillId="7" borderId="0" xfId="0" applyFont="1" applyFill="1"/>
    <xf numFmtId="164" fontId="31" fillId="7" borderId="1" xfId="0" applyNumberFormat="1" applyFont="1" applyFill="1" applyBorder="1" applyAlignment="1">
      <alignment horizontal="center" vertical="top" wrapText="1"/>
    </xf>
    <xf numFmtId="0" fontId="49" fillId="7" borderId="1" xfId="0" applyFont="1" applyFill="1" applyBorder="1" applyAlignment="1">
      <alignment vertical="top" wrapText="1"/>
    </xf>
    <xf numFmtId="49" fontId="49" fillId="7" borderId="1" xfId="0" applyNumberFormat="1" applyFont="1" applyFill="1" applyBorder="1" applyAlignment="1">
      <alignment horizontal="center" wrapText="1"/>
    </xf>
    <xf numFmtId="0" fontId="49" fillId="7" borderId="1" xfId="0" applyFont="1" applyFill="1" applyBorder="1" applyAlignment="1">
      <alignment horizontal="center" wrapText="1"/>
    </xf>
    <xf numFmtId="164" fontId="49" fillId="7" borderId="1" xfId="0" applyNumberFormat="1" applyFont="1" applyFill="1" applyBorder="1" applyAlignment="1">
      <alignment wrapText="1"/>
    </xf>
    <xf numFmtId="0" fontId="46" fillId="7" borderId="0" xfId="0" applyFont="1" applyFill="1"/>
    <xf numFmtId="0" fontId="56" fillId="7" borderId="0" xfId="0" applyFont="1" applyFill="1"/>
    <xf numFmtId="0" fontId="31" fillId="7" borderId="1" xfId="0" applyFont="1" applyFill="1" applyBorder="1" applyAlignment="1">
      <alignment horizontal="left" vertical="top" wrapText="1" indent="1"/>
    </xf>
    <xf numFmtId="49" fontId="31" fillId="7" borderId="1" xfId="0" applyNumberFormat="1" applyFont="1" applyFill="1" applyBorder="1" applyAlignment="1">
      <alignment horizontal="center" wrapText="1"/>
    </xf>
    <xf numFmtId="0" fontId="31" fillId="7" borderId="1" xfId="0" applyFont="1" applyFill="1" applyBorder="1" applyAlignment="1">
      <alignment horizontal="center" wrapText="1"/>
    </xf>
    <xf numFmtId="164" fontId="31" fillId="7" borderId="1" xfId="0" applyNumberFormat="1" applyFont="1" applyFill="1" applyBorder="1" applyAlignment="1">
      <alignment wrapText="1"/>
    </xf>
    <xf numFmtId="164" fontId="0" fillId="7" borderId="0" xfId="0" applyNumberFormat="1" applyFill="1"/>
    <xf numFmtId="164" fontId="33" fillId="7" borderId="1" xfId="0" applyNumberFormat="1" applyFont="1" applyFill="1" applyBorder="1" applyAlignment="1">
      <alignment vertical="top" wrapText="1"/>
    </xf>
    <xf numFmtId="0" fontId="50" fillId="7" borderId="1" xfId="0" applyFont="1" applyFill="1" applyBorder="1" applyAlignment="1">
      <alignment horizontal="center" wrapText="1"/>
    </xf>
    <xf numFmtId="164" fontId="57" fillId="7" borderId="1" xfId="0" applyNumberFormat="1" applyFont="1" applyFill="1" applyBorder="1" applyAlignment="1">
      <alignment wrapText="1"/>
    </xf>
    <xf numFmtId="0" fontId="31" fillId="7" borderId="7" xfId="0" applyFont="1" applyFill="1" applyBorder="1" applyAlignment="1">
      <alignment horizontal="left" vertical="top" wrapText="1" indent="1"/>
    </xf>
    <xf numFmtId="0" fontId="31" fillId="7" borderId="8" xfId="0" applyFont="1" applyFill="1" applyBorder="1" applyAlignment="1">
      <alignment horizontal="left" vertical="top" wrapText="1" indent="1"/>
    </xf>
    <xf numFmtId="0" fontId="33" fillId="7" borderId="1" xfId="0" applyFont="1" applyFill="1" applyBorder="1" applyAlignment="1">
      <alignment horizontal="center" wrapText="1"/>
    </xf>
    <xf numFmtId="0" fontId="0" fillId="7" borderId="0" xfId="0" applyFont="1" applyFill="1"/>
    <xf numFmtId="49" fontId="50" fillId="7" borderId="5" xfId="0" applyNumberFormat="1" applyFont="1" applyFill="1" applyBorder="1" applyAlignment="1">
      <alignment horizontal="center" wrapText="1"/>
    </xf>
    <xf numFmtId="164" fontId="50" fillId="7" borderId="7" xfId="0" applyNumberFormat="1" applyFont="1" applyFill="1" applyBorder="1" applyAlignment="1">
      <alignment wrapText="1"/>
    </xf>
    <xf numFmtId="164" fontId="50" fillId="7" borderId="1" xfId="0" applyNumberFormat="1" applyFont="1" applyFill="1" applyBorder="1" applyAlignment="1">
      <alignment wrapText="1"/>
    </xf>
    <xf numFmtId="49" fontId="31" fillId="7" borderId="1" xfId="0" applyNumberFormat="1" applyFont="1" applyFill="1" applyBorder="1" applyAlignment="1">
      <alignment wrapText="1"/>
    </xf>
    <xf numFmtId="0" fontId="49" fillId="7" borderId="1" xfId="0" applyFont="1" applyFill="1" applyBorder="1" applyAlignment="1">
      <alignment horizontal="left" vertical="top" wrapText="1" indent="1"/>
    </xf>
    <xf numFmtId="0" fontId="49" fillId="7" borderId="7" xfId="0" applyFont="1" applyFill="1" applyBorder="1" applyAlignment="1">
      <alignment horizontal="left" vertical="top" wrapText="1" indent="1"/>
    </xf>
    <xf numFmtId="0" fontId="31" fillId="7" borderId="14" xfId="0" applyFont="1" applyFill="1" applyBorder="1" applyAlignment="1">
      <alignment horizontal="left" vertical="top" wrapText="1" indent="1"/>
    </xf>
    <xf numFmtId="164" fontId="31" fillId="7" borderId="1" xfId="0" applyNumberFormat="1" applyFont="1" applyFill="1" applyBorder="1" applyAlignment="1">
      <alignment horizontal="center" wrapText="1"/>
    </xf>
    <xf numFmtId="0" fontId="31" fillId="7" borderId="11" xfId="0" applyFont="1" applyFill="1" applyBorder="1" applyAlignment="1">
      <alignment wrapText="1"/>
    </xf>
    <xf numFmtId="49" fontId="31" fillId="7" borderId="7" xfId="0" applyNumberFormat="1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left" wrapText="1" indent="1"/>
    </xf>
    <xf numFmtId="49" fontId="31" fillId="7" borderId="5" xfId="0" applyNumberFormat="1" applyFont="1" applyFill="1" applyBorder="1" applyAlignment="1">
      <alignment horizontal="center" wrapText="1"/>
    </xf>
    <xf numFmtId="49" fontId="31" fillId="7" borderId="1" xfId="0" applyNumberFormat="1" applyFont="1" applyFill="1" applyBorder="1" applyAlignment="1">
      <alignment horizontal="left" wrapText="1" indent="1"/>
    </xf>
    <xf numFmtId="0" fontId="0" fillId="7" borderId="1" xfId="0" applyFill="1" applyBorder="1" applyAlignment="1">
      <alignment horizontal="center"/>
    </xf>
    <xf numFmtId="0" fontId="31" fillId="7" borderId="1" xfId="0" applyFont="1" applyFill="1" applyBorder="1" applyAlignment="1">
      <alignment wrapText="1"/>
    </xf>
    <xf numFmtId="164" fontId="49" fillId="7" borderId="1" xfId="0" applyNumberFormat="1" applyFont="1" applyFill="1" applyBorder="1" applyAlignment="1">
      <alignment horizontal="center" wrapText="1"/>
    </xf>
    <xf numFmtId="0" fontId="31" fillId="7" borderId="8" xfId="0" applyFont="1" applyFill="1" applyBorder="1" applyAlignment="1">
      <alignment vertical="top" wrapText="1"/>
    </xf>
    <xf numFmtId="0" fontId="0" fillId="7" borderId="0" xfId="0" applyFill="1" applyAlignment="1">
      <alignment horizontal="center"/>
    </xf>
    <xf numFmtId="164" fontId="31" fillId="7" borderId="1" xfId="0" applyNumberFormat="1" applyFont="1" applyFill="1" applyBorder="1" applyAlignment="1">
      <alignment wrapText="1"/>
    </xf>
    <xf numFmtId="4" fontId="27" fillId="7" borderId="3" xfId="0" applyNumberFormat="1" applyFont="1" applyFill="1" applyBorder="1" applyAlignment="1">
      <alignment horizontal="center" wrapText="1"/>
    </xf>
    <xf numFmtId="4" fontId="27" fillId="7" borderId="5" xfId="0" applyNumberFormat="1" applyFont="1" applyFill="1" applyBorder="1" applyAlignment="1">
      <alignment horizontal="center" wrapText="1"/>
    </xf>
    <xf numFmtId="0" fontId="5" fillId="10" borderId="0" xfId="0" applyFont="1" applyFill="1" applyBorder="1" applyAlignment="1">
      <alignment horizontal="center"/>
    </xf>
    <xf numFmtId="0" fontId="27" fillId="7" borderId="1" xfId="0" applyFont="1" applyFill="1" applyBorder="1" applyAlignment="1">
      <alignment horizontal="center" wrapText="1"/>
    </xf>
    <xf numFmtId="164" fontId="27" fillId="7" borderId="1" xfId="1" applyFont="1" applyFill="1" applyBorder="1" applyAlignment="1"/>
    <xf numFmtId="0" fontId="27" fillId="7" borderId="1" xfId="0" applyFont="1" applyFill="1" applyBorder="1" applyAlignment="1">
      <alignment horizontal="center" wrapText="1"/>
    </xf>
    <xf numFmtId="164" fontId="27" fillId="7" borderId="1" xfId="1" applyFont="1" applyFill="1" applyBorder="1" applyAlignment="1"/>
    <xf numFmtId="0" fontId="31" fillId="7" borderId="1" xfId="0" applyFont="1" applyFill="1" applyBorder="1" applyAlignment="1">
      <alignment horizontal="center" vertical="top" wrapText="1"/>
    </xf>
    <xf numFmtId="0" fontId="27" fillId="7" borderId="7" xfId="0" applyFont="1" applyFill="1" applyBorder="1" applyAlignment="1">
      <alignment horizontal="center" wrapText="1"/>
    </xf>
    <xf numFmtId="0" fontId="27" fillId="7" borderId="8" xfId="0" applyFont="1" applyFill="1" applyBorder="1" applyAlignment="1">
      <alignment horizontal="center" wrapText="1"/>
    </xf>
    <xf numFmtId="0" fontId="27" fillId="7" borderId="3" xfId="0" applyFont="1" applyFill="1" applyBorder="1" applyAlignment="1">
      <alignment horizontal="center" wrapText="1"/>
    </xf>
    <xf numFmtId="0" fontId="27" fillId="7" borderId="1" xfId="0" applyFont="1" applyFill="1" applyBorder="1" applyAlignment="1">
      <alignment horizontal="center" wrapText="1"/>
    </xf>
    <xf numFmtId="0" fontId="30" fillId="7" borderId="1" xfId="0" applyFont="1" applyFill="1" applyBorder="1" applyAlignment="1">
      <alignment horizontal="center" wrapText="1"/>
    </xf>
    <xf numFmtId="0" fontId="30" fillId="7" borderId="1" xfId="0" applyFont="1" applyFill="1" applyBorder="1" applyAlignment="1">
      <alignment horizontal="right" vertical="top" wrapText="1"/>
    </xf>
    <xf numFmtId="0" fontId="31" fillId="7" borderId="1" xfId="0" applyFont="1" applyFill="1" applyBorder="1" applyAlignment="1">
      <alignment horizontal="center" vertical="center" wrapText="1"/>
    </xf>
    <xf numFmtId="0" fontId="30" fillId="7" borderId="4" xfId="0" applyFont="1" applyFill="1" applyBorder="1" applyAlignment="1">
      <alignment horizontal="center" vertical="top" wrapText="1"/>
    </xf>
    <xf numFmtId="0" fontId="27" fillId="7" borderId="4" xfId="0" applyFont="1" applyFill="1" applyBorder="1" applyAlignment="1">
      <alignment horizontal="center" vertical="top" wrapText="1"/>
    </xf>
    <xf numFmtId="0" fontId="27" fillId="7" borderId="1" xfId="0" applyFont="1" applyFill="1" applyBorder="1" applyAlignment="1">
      <alignment horizontal="center" vertical="top" wrapText="1"/>
    </xf>
    <xf numFmtId="0" fontId="27" fillId="7" borderId="1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left" vertical="top" wrapText="1"/>
    </xf>
    <xf numFmtId="0" fontId="30" fillId="7" borderId="1" xfId="0" applyFont="1" applyFill="1" applyBorder="1" applyAlignment="1">
      <alignment vertical="top" wrapText="1"/>
    </xf>
    <xf numFmtId="39" fontId="30" fillId="7" borderId="5" xfId="0" applyNumberFormat="1" applyFont="1" applyFill="1" applyBorder="1" applyAlignment="1">
      <alignment horizontal="center" vertical="top" wrapText="1"/>
    </xf>
    <xf numFmtId="172" fontId="27" fillId="7" borderId="5" xfId="0" applyNumberFormat="1" applyFont="1" applyFill="1" applyBorder="1" applyAlignment="1">
      <alignment horizontal="center" wrapText="1"/>
    </xf>
    <xf numFmtId="172" fontId="27" fillId="7" borderId="0" xfId="0" applyNumberFormat="1" applyFont="1" applyFill="1" applyAlignment="1">
      <alignment horizontal="center"/>
    </xf>
    <xf numFmtId="172" fontId="27" fillId="7" borderId="6" xfId="0" applyNumberFormat="1" applyFont="1" applyFill="1" applyBorder="1" applyAlignment="1">
      <alignment horizontal="center"/>
    </xf>
    <xf numFmtId="172" fontId="27" fillId="7" borderId="4" xfId="0" applyNumberFormat="1" applyFont="1" applyFill="1" applyBorder="1" applyAlignment="1">
      <alignment horizontal="center"/>
    </xf>
    <xf numFmtId="172" fontId="28" fillId="7" borderId="1" xfId="0" applyNumberFormat="1" applyFont="1" applyFill="1" applyBorder="1" applyAlignment="1">
      <alignment horizontal="center" vertical="top" wrapText="1"/>
    </xf>
    <xf numFmtId="172" fontId="30" fillId="7" borderId="1" xfId="0" applyNumberFormat="1" applyFont="1" applyFill="1" applyBorder="1" applyAlignment="1">
      <alignment horizontal="center" vertical="center" wrapText="1"/>
    </xf>
    <xf numFmtId="172" fontId="44" fillId="7" borderId="1" xfId="0" applyNumberFormat="1" applyFont="1" applyFill="1" applyBorder="1" applyAlignment="1">
      <alignment horizontal="center" vertical="top" wrapText="1"/>
    </xf>
    <xf numFmtId="172" fontId="28" fillId="7" borderId="1" xfId="0" applyNumberFormat="1" applyFont="1" applyFill="1" applyBorder="1" applyAlignment="1">
      <alignment horizontal="center" vertical="center" wrapText="1"/>
    </xf>
    <xf numFmtId="172" fontId="30" fillId="7" borderId="5" xfId="0" applyNumberFormat="1" applyFont="1" applyFill="1" applyBorder="1" applyAlignment="1">
      <alignment horizontal="center" vertical="top" wrapText="1"/>
    </xf>
    <xf numFmtId="172" fontId="27" fillId="7" borderId="5" xfId="0" applyNumberFormat="1" applyFont="1" applyFill="1" applyBorder="1" applyAlignment="1">
      <alignment horizontal="center" vertical="top" wrapText="1"/>
    </xf>
    <xf numFmtId="172" fontId="28" fillId="7" borderId="0" xfId="0" applyNumberFormat="1" applyFont="1" applyFill="1" applyAlignment="1"/>
    <xf numFmtId="172" fontId="27" fillId="7" borderId="0" xfId="0" applyNumberFormat="1" applyFont="1" applyFill="1" applyBorder="1" applyAlignment="1">
      <alignment horizontal="center" wrapText="1"/>
    </xf>
    <xf numFmtId="172" fontId="31" fillId="7" borderId="1" xfId="0" applyNumberFormat="1" applyFont="1" applyFill="1" applyBorder="1" applyAlignment="1">
      <alignment horizontal="center" vertical="top" wrapText="1"/>
    </xf>
    <xf numFmtId="172" fontId="27" fillId="7" borderId="1" xfId="1" applyNumberFormat="1" applyFont="1" applyFill="1" applyBorder="1" applyAlignment="1">
      <alignment horizontal="center"/>
    </xf>
    <xf numFmtId="172" fontId="38" fillId="7" borderId="1" xfId="1" applyNumberFormat="1" applyFont="1" applyFill="1" applyBorder="1" applyAlignment="1">
      <alignment horizontal="center"/>
    </xf>
    <xf numFmtId="172" fontId="29" fillId="7" borderId="1" xfId="1" applyNumberFormat="1" applyFont="1" applyFill="1" applyBorder="1" applyAlignment="1">
      <alignment horizontal="center"/>
    </xf>
    <xf numFmtId="172" fontId="30" fillId="7" borderId="1" xfId="1" applyNumberFormat="1" applyFont="1" applyFill="1" applyBorder="1" applyAlignment="1">
      <alignment horizontal="center"/>
    </xf>
    <xf numFmtId="172" fontId="27" fillId="7" borderId="1" xfId="1" applyNumberFormat="1" applyFont="1" applyFill="1" applyBorder="1" applyAlignment="1">
      <alignment horizontal="center" vertical="center"/>
    </xf>
    <xf numFmtId="172" fontId="30" fillId="7" borderId="1" xfId="1" applyNumberFormat="1" applyFont="1" applyFill="1" applyBorder="1" applyAlignment="1">
      <alignment horizontal="center" vertical="center"/>
    </xf>
    <xf numFmtId="172" fontId="27" fillId="7" borderId="4" xfId="1" applyNumberFormat="1" applyFont="1" applyFill="1" applyBorder="1" applyAlignment="1">
      <alignment horizontal="center"/>
    </xf>
    <xf numFmtId="172" fontId="27" fillId="7" borderId="0" xfId="0" applyNumberFormat="1" applyFont="1" applyFill="1" applyBorder="1" applyAlignment="1">
      <alignment horizontal="center"/>
    </xf>
    <xf numFmtId="172" fontId="31" fillId="7" borderId="0" xfId="4" applyNumberFormat="1" applyFont="1" applyFill="1" applyAlignment="1">
      <alignment horizontal="center"/>
    </xf>
    <xf numFmtId="172" fontId="7" fillId="7" borderId="0" xfId="4" applyNumberFormat="1" applyFont="1" applyFill="1" applyAlignment="1">
      <alignment horizontal="center"/>
    </xf>
    <xf numFmtId="172" fontId="3" fillId="7" borderId="0" xfId="4" applyNumberFormat="1" applyFont="1" applyFill="1" applyAlignment="1">
      <alignment horizontal="center"/>
    </xf>
    <xf numFmtId="172" fontId="3" fillId="7" borderId="0" xfId="0" applyNumberFormat="1" applyFont="1" applyFill="1" applyAlignment="1">
      <alignment horizontal="center"/>
    </xf>
    <xf numFmtId="0" fontId="27" fillId="7" borderId="1" xfId="0" applyFont="1" applyFill="1" applyBorder="1" applyAlignment="1">
      <alignment horizontal="center" vertical="top" wrapText="1"/>
    </xf>
    <xf numFmtId="164" fontId="60" fillId="0" borderId="1" xfId="0" applyNumberFormat="1" applyFont="1" applyFill="1" applyBorder="1" applyAlignment="1">
      <alignment wrapText="1"/>
    </xf>
    <xf numFmtId="0" fontId="22" fillId="0" borderId="0" xfId="4" applyFont="1" applyFill="1" applyAlignment="1">
      <alignment horizontal="left" wrapText="1"/>
    </xf>
    <xf numFmtId="0" fontId="24" fillId="0" borderId="0" xfId="4" applyFont="1" applyFill="1" applyAlignment="1">
      <alignment horizontal="left"/>
    </xf>
    <xf numFmtId="0" fontId="19" fillId="0" borderId="0" xfId="4" applyFont="1" applyFill="1" applyBorder="1" applyAlignment="1">
      <alignment horizontal="left" wrapText="1"/>
    </xf>
    <xf numFmtId="0" fontId="21" fillId="0" borderId="0" xfId="4" applyFont="1" applyFill="1" applyAlignment="1">
      <alignment horizontal="center"/>
    </xf>
    <xf numFmtId="0" fontId="19" fillId="0" borderId="6" xfId="4" applyFont="1" applyFill="1" applyBorder="1" applyAlignment="1">
      <alignment horizontal="left" wrapText="1"/>
    </xf>
    <xf numFmtId="0" fontId="16" fillId="0" borderId="0" xfId="4" applyFont="1" applyFill="1" applyAlignment="1">
      <alignment horizontal="center"/>
    </xf>
    <xf numFmtId="0" fontId="23" fillId="0" borderId="0" xfId="4" applyFont="1" applyFill="1" applyAlignment="1">
      <alignment horizontal="center"/>
    </xf>
    <xf numFmtId="0" fontId="23" fillId="0" borderId="0" xfId="4" applyFont="1" applyFill="1" applyAlignment="1">
      <alignment horizontal="center" vertical="top" wrapText="1"/>
    </xf>
    <xf numFmtId="0" fontId="21" fillId="0" borderId="0" xfId="0" applyFont="1" applyFill="1" applyAlignment="1">
      <alignment horizontal="center"/>
    </xf>
    <xf numFmtId="0" fontId="23" fillId="0" borderId="10" xfId="4" applyFont="1" applyFill="1" applyBorder="1" applyAlignment="1">
      <alignment horizontal="left" vertical="top" wrapText="1"/>
    </xf>
    <xf numFmtId="164" fontId="31" fillId="7" borderId="1" xfId="0" applyNumberFormat="1" applyFont="1" applyFill="1" applyBorder="1" applyAlignment="1">
      <alignment wrapText="1"/>
    </xf>
    <xf numFmtId="49" fontId="31" fillId="7" borderId="5" xfId="0" applyNumberFormat="1" applyFont="1" applyFill="1" applyBorder="1" applyAlignment="1">
      <alignment horizontal="center" wrapText="1"/>
    </xf>
    <xf numFmtId="0" fontId="31" fillId="7" borderId="1" xfId="0" applyFont="1" applyFill="1" applyBorder="1" applyAlignment="1">
      <alignment horizontal="center" wrapText="1"/>
    </xf>
    <xf numFmtId="164" fontId="31" fillId="7" borderId="1" xfId="0" applyNumberFormat="1" applyFont="1" applyFill="1" applyBorder="1" applyAlignment="1">
      <alignment horizontal="center" wrapText="1"/>
    </xf>
    <xf numFmtId="49" fontId="31" fillId="7" borderId="1" xfId="0" applyNumberFormat="1" applyFont="1" applyFill="1" applyBorder="1" applyAlignment="1">
      <alignment horizontal="center" wrapText="1"/>
    </xf>
    <xf numFmtId="0" fontId="31" fillId="7" borderId="3" xfId="0" applyFont="1" applyFill="1" applyBorder="1" applyAlignment="1">
      <alignment horizontal="center" wrapText="1"/>
    </xf>
    <xf numFmtId="0" fontId="31" fillId="7" borderId="4" xfId="0" applyFont="1" applyFill="1" applyBorder="1" applyAlignment="1">
      <alignment horizontal="center" wrapText="1"/>
    </xf>
    <xf numFmtId="0" fontId="31" fillId="7" borderId="5" xfId="0" applyFont="1" applyFill="1" applyBorder="1" applyAlignment="1">
      <alignment horizontal="center" wrapText="1"/>
    </xf>
    <xf numFmtId="0" fontId="31" fillId="7" borderId="10" xfId="0" applyFont="1" applyFill="1" applyBorder="1" applyAlignment="1">
      <alignment horizontal="center" wrapText="1"/>
    </xf>
    <xf numFmtId="164" fontId="31" fillId="7" borderId="7" xfId="0" applyNumberFormat="1" applyFont="1" applyFill="1" applyBorder="1" applyAlignment="1">
      <alignment wrapText="1"/>
    </xf>
    <xf numFmtId="164" fontId="31" fillId="7" borderId="8" xfId="0" applyNumberFormat="1" applyFont="1" applyFill="1" applyBorder="1" applyAlignment="1">
      <alignment wrapText="1"/>
    </xf>
    <xf numFmtId="0" fontId="0" fillId="7" borderId="12" xfId="0" applyFill="1" applyBorder="1" applyAlignment="1">
      <alignment horizontal="center" wrapText="1"/>
    </xf>
    <xf numFmtId="0" fontId="0" fillId="7" borderId="6" xfId="0" applyFill="1" applyBorder="1" applyAlignment="1">
      <alignment horizontal="center" wrapText="1"/>
    </xf>
    <xf numFmtId="0" fontId="0" fillId="7" borderId="13" xfId="0" applyFill="1" applyBorder="1" applyAlignment="1">
      <alignment horizontal="center" wrapText="1"/>
    </xf>
    <xf numFmtId="0" fontId="31" fillId="7" borderId="1" xfId="0" applyFont="1" applyFill="1" applyBorder="1" applyAlignment="1">
      <alignment horizontal="left" vertical="top" wrapText="1" indent="1"/>
    </xf>
    <xf numFmtId="0" fontId="31" fillId="7" borderId="1" xfId="0" applyFont="1" applyFill="1" applyBorder="1" applyAlignment="1">
      <alignment horizontal="center" vertical="top" wrapText="1"/>
    </xf>
    <xf numFmtId="164" fontId="31" fillId="7" borderId="1" xfId="0" applyNumberFormat="1" applyFont="1" applyFill="1" applyBorder="1" applyAlignment="1">
      <alignment horizontal="center" vertical="top" wrapText="1"/>
    </xf>
    <xf numFmtId="49" fontId="31" fillId="7" borderId="7" xfId="0" applyNumberFormat="1" applyFont="1" applyFill="1" applyBorder="1" applyAlignment="1">
      <alignment horizontal="center" wrapText="1"/>
    </xf>
    <xf numFmtId="49" fontId="31" fillId="7" borderId="8" xfId="0" applyNumberFormat="1" applyFont="1" applyFill="1" applyBorder="1" applyAlignment="1">
      <alignment horizontal="center" wrapText="1"/>
    </xf>
    <xf numFmtId="0" fontId="65" fillId="7" borderId="0" xfId="0" applyFont="1" applyFill="1" applyBorder="1" applyAlignment="1">
      <alignment horizontal="center"/>
    </xf>
    <xf numFmtId="0" fontId="31" fillId="7" borderId="7" xfId="0" applyFont="1" applyFill="1" applyBorder="1" applyAlignment="1">
      <alignment horizontal="center" wrapText="1"/>
    </xf>
    <xf numFmtId="0" fontId="31" fillId="7" borderId="8" xfId="0" applyFont="1" applyFill="1" applyBorder="1" applyAlignment="1">
      <alignment horizontal="center" wrapText="1"/>
    </xf>
    <xf numFmtId="0" fontId="60" fillId="0" borderId="7" xfId="0" applyFont="1" applyFill="1" applyBorder="1" applyAlignment="1">
      <alignment horizontal="center" wrapText="1"/>
    </xf>
    <xf numFmtId="0" fontId="60" fillId="0" borderId="8" xfId="0" applyFont="1" applyFill="1" applyBorder="1" applyAlignment="1">
      <alignment horizontal="center" wrapText="1"/>
    </xf>
    <xf numFmtId="0" fontId="61" fillId="0" borderId="7" xfId="0" applyFont="1" applyFill="1" applyBorder="1" applyAlignment="1">
      <alignment horizontal="center" wrapText="1"/>
    </xf>
    <xf numFmtId="0" fontId="61" fillId="0" borderId="8" xfId="0" applyFont="1" applyFill="1" applyBorder="1" applyAlignment="1">
      <alignment horizontal="center" wrapText="1"/>
    </xf>
    <xf numFmtId="164" fontId="60" fillId="0" borderId="7" xfId="0" applyNumberFormat="1" applyFont="1" applyFill="1" applyBorder="1" applyAlignment="1">
      <alignment horizontal="center" wrapText="1"/>
    </xf>
    <xf numFmtId="164" fontId="60" fillId="0" borderId="8" xfId="0" applyNumberFormat="1" applyFont="1" applyFill="1" applyBorder="1" applyAlignment="1">
      <alignment horizontal="center" wrapText="1"/>
    </xf>
    <xf numFmtId="0" fontId="62" fillId="0" borderId="10" xfId="4" applyFont="1" applyFill="1" applyBorder="1" applyAlignment="1">
      <alignment horizontal="center" vertical="top"/>
    </xf>
    <xf numFmtId="0" fontId="62" fillId="0" borderId="0" xfId="4" applyFont="1" applyFill="1" applyAlignment="1">
      <alignment horizontal="right"/>
    </xf>
    <xf numFmtId="0" fontId="62" fillId="0" borderId="0" xfId="4" applyFont="1" applyFill="1" applyAlignment="1">
      <alignment horizontal="center"/>
    </xf>
    <xf numFmtId="164" fontId="60" fillId="0" borderId="1" xfId="0" applyNumberFormat="1" applyFont="1" applyFill="1" applyBorder="1" applyAlignment="1">
      <alignment wrapText="1"/>
    </xf>
    <xf numFmtId="0" fontId="60" fillId="0" borderId="3" xfId="0" applyFont="1" applyFill="1" applyBorder="1" applyAlignment="1">
      <alignment horizontal="center" wrapText="1"/>
    </xf>
    <xf numFmtId="0" fontId="60" fillId="0" borderId="5" xfId="0" applyFont="1" applyFill="1" applyBorder="1" applyAlignment="1">
      <alignment horizontal="center" wrapText="1"/>
    </xf>
    <xf numFmtId="0" fontId="60" fillId="0" borderId="1" xfId="0" applyFont="1" applyFill="1" applyBorder="1" applyAlignment="1">
      <alignment horizontal="center" wrapText="1"/>
    </xf>
    <xf numFmtId="14" fontId="60" fillId="0" borderId="7" xfId="0" applyNumberFormat="1" applyFont="1" applyFill="1" applyBorder="1" applyAlignment="1">
      <alignment horizontal="center" wrapText="1"/>
    </xf>
    <xf numFmtId="14" fontId="60" fillId="0" borderId="8" xfId="0" applyNumberFormat="1" applyFont="1" applyFill="1" applyBorder="1" applyAlignment="1">
      <alignment horizontal="center" wrapText="1"/>
    </xf>
    <xf numFmtId="0" fontId="60" fillId="0" borderId="1" xfId="0" applyFont="1" applyFill="1" applyBorder="1" applyAlignment="1">
      <alignment horizontal="center" vertical="top" wrapText="1"/>
    </xf>
    <xf numFmtId="0" fontId="60" fillId="0" borderId="7" xfId="0" applyFont="1" applyFill="1" applyBorder="1" applyAlignment="1">
      <alignment horizontal="center" vertical="top" wrapText="1"/>
    </xf>
    <xf numFmtId="0" fontId="60" fillId="0" borderId="8" xfId="0" applyFont="1" applyFill="1" applyBorder="1" applyAlignment="1">
      <alignment horizontal="center" vertical="top" wrapText="1"/>
    </xf>
    <xf numFmtId="0" fontId="62" fillId="0" borderId="0" xfId="4" applyFont="1" applyFill="1" applyBorder="1" applyAlignment="1">
      <alignment horizontal="center" vertical="top"/>
    </xf>
    <xf numFmtId="0" fontId="60" fillId="0" borderId="12" xfId="0" applyFont="1" applyFill="1" applyBorder="1" applyAlignment="1">
      <alignment horizontal="center" wrapText="1"/>
    </xf>
    <xf numFmtId="0" fontId="60" fillId="0" borderId="14" xfId="0" applyFont="1" applyFill="1" applyBorder="1" applyAlignment="1">
      <alignment horizontal="center" wrapText="1"/>
    </xf>
    <xf numFmtId="0" fontId="60" fillId="0" borderId="10" xfId="0" applyFont="1" applyFill="1" applyBorder="1" applyAlignment="1">
      <alignment horizontal="center" vertical="top" wrapText="1"/>
    </xf>
    <xf numFmtId="164" fontId="27" fillId="7" borderId="3" xfId="1" applyNumberFormat="1" applyFont="1" applyFill="1" applyBorder="1" applyAlignment="1">
      <alignment horizontal="center" wrapText="1"/>
    </xf>
    <xf numFmtId="164" fontId="27" fillId="7" borderId="5" xfId="1" applyNumberFormat="1" applyFont="1" applyFill="1" applyBorder="1" applyAlignment="1">
      <alignment horizontal="center" wrapText="1"/>
    </xf>
    <xf numFmtId="0" fontId="27" fillId="7" borderId="3" xfId="0" applyFont="1" applyFill="1" applyBorder="1" applyAlignment="1">
      <alignment horizontal="left" wrapText="1"/>
    </xf>
    <xf numFmtId="0" fontId="27" fillId="7" borderId="4" xfId="0" applyFont="1" applyFill="1" applyBorder="1" applyAlignment="1">
      <alignment horizontal="left" wrapText="1"/>
    </xf>
    <xf numFmtId="0" fontId="27" fillId="7" borderId="5" xfId="0" applyFont="1" applyFill="1" applyBorder="1" applyAlignment="1">
      <alignment horizontal="left" wrapText="1"/>
    </xf>
    <xf numFmtId="0" fontId="30" fillId="7" borderId="3" xfId="0" applyFont="1" applyFill="1" applyBorder="1" applyAlignment="1">
      <alignment horizontal="center" wrapText="1"/>
    </xf>
    <xf numFmtId="0" fontId="30" fillId="7" borderId="4" xfId="0" applyFont="1" applyFill="1" applyBorder="1" applyAlignment="1">
      <alignment horizontal="center" wrapText="1"/>
    </xf>
    <xf numFmtId="0" fontId="30" fillId="7" borderId="5" xfId="0" applyFont="1" applyFill="1" applyBorder="1" applyAlignment="1">
      <alignment horizontal="center" wrapText="1"/>
    </xf>
    <xf numFmtId="170" fontId="27" fillId="7" borderId="7" xfId="1" applyNumberFormat="1" applyFont="1" applyFill="1" applyBorder="1" applyAlignment="1">
      <alignment horizontal="center"/>
    </xf>
    <xf numFmtId="170" fontId="27" fillId="7" borderId="8" xfId="1" applyNumberFormat="1" applyFont="1" applyFill="1" applyBorder="1" applyAlignment="1">
      <alignment horizontal="center"/>
    </xf>
    <xf numFmtId="0" fontId="27" fillId="7" borderId="7" xfId="0" applyFont="1" applyFill="1" applyBorder="1" applyAlignment="1">
      <alignment horizontal="center" wrapText="1"/>
    </xf>
    <xf numFmtId="0" fontId="27" fillId="7" borderId="14" xfId="0" applyFont="1" applyFill="1" applyBorder="1" applyAlignment="1">
      <alignment horizontal="center" wrapText="1"/>
    </xf>
    <xf numFmtId="0" fontId="27" fillId="7" borderId="8" xfId="0" applyFont="1" applyFill="1" applyBorder="1" applyAlignment="1">
      <alignment horizontal="center" wrapText="1"/>
    </xf>
    <xf numFmtId="0" fontId="27" fillId="7" borderId="3" xfId="0" applyFont="1" applyFill="1" applyBorder="1" applyAlignment="1">
      <alignment horizontal="center" wrapText="1"/>
    </xf>
    <xf numFmtId="0" fontId="27" fillId="7" borderId="4" xfId="0" applyFont="1" applyFill="1" applyBorder="1" applyAlignment="1">
      <alignment horizontal="center" wrapText="1"/>
    </xf>
    <xf numFmtId="0" fontId="27" fillId="7" borderId="5" xfId="0" applyFont="1" applyFill="1" applyBorder="1" applyAlignment="1">
      <alignment horizontal="center" wrapText="1"/>
    </xf>
    <xf numFmtId="4" fontId="27" fillId="7" borderId="3" xfId="0" applyNumberFormat="1" applyFont="1" applyFill="1" applyBorder="1" applyAlignment="1">
      <alignment horizontal="center" wrapText="1"/>
    </xf>
    <xf numFmtId="4" fontId="27" fillId="7" borderId="5" xfId="0" applyNumberFormat="1" applyFont="1" applyFill="1" applyBorder="1" applyAlignment="1">
      <alignment horizontal="center" wrapText="1"/>
    </xf>
    <xf numFmtId="164" fontId="27" fillId="7" borderId="1" xfId="1" applyNumberFormat="1" applyFont="1" applyFill="1" applyBorder="1" applyAlignment="1">
      <alignment horizontal="center" wrapText="1"/>
    </xf>
    <xf numFmtId="0" fontId="27" fillId="7" borderId="1" xfId="0" applyFont="1" applyFill="1" applyBorder="1" applyAlignment="1">
      <alignment horizontal="center" wrapText="1"/>
    </xf>
    <xf numFmtId="0" fontId="30" fillId="7" borderId="3" xfId="0" applyFont="1" applyFill="1" applyBorder="1" applyAlignment="1">
      <alignment horizontal="left" wrapText="1"/>
    </xf>
    <xf numFmtId="0" fontId="30" fillId="7" borderId="4" xfId="0" applyFont="1" applyFill="1" applyBorder="1" applyAlignment="1">
      <alignment horizontal="left" wrapText="1"/>
    </xf>
    <xf numFmtId="0" fontId="30" fillId="7" borderId="5" xfId="0" applyFont="1" applyFill="1" applyBorder="1" applyAlignment="1">
      <alignment horizontal="left" wrapText="1"/>
    </xf>
    <xf numFmtId="4" fontId="30" fillId="7" borderId="3" xfId="0" applyNumberFormat="1" applyFont="1" applyFill="1" applyBorder="1" applyAlignment="1">
      <alignment horizontal="center" wrapText="1"/>
    </xf>
    <xf numFmtId="4" fontId="30" fillId="7" borderId="5" xfId="0" applyNumberFormat="1" applyFont="1" applyFill="1" applyBorder="1" applyAlignment="1">
      <alignment horizontal="center" wrapText="1"/>
    </xf>
    <xf numFmtId="164" fontId="30" fillId="7" borderId="3" xfId="0" applyNumberFormat="1" applyFont="1" applyFill="1" applyBorder="1" applyAlignment="1">
      <alignment horizontal="center" wrapText="1"/>
    </xf>
    <xf numFmtId="164" fontId="30" fillId="7" borderId="5" xfId="0" applyNumberFormat="1" applyFont="1" applyFill="1" applyBorder="1" applyAlignment="1">
      <alignment horizontal="center" wrapText="1"/>
    </xf>
    <xf numFmtId="164" fontId="30" fillId="7" borderId="1" xfId="0" applyNumberFormat="1" applyFont="1" applyFill="1" applyBorder="1" applyAlignment="1">
      <alignment horizontal="center" wrapText="1"/>
    </xf>
    <xf numFmtId="0" fontId="27" fillId="7" borderId="1" xfId="0" applyFont="1" applyFill="1" applyBorder="1" applyAlignment="1">
      <alignment horizontal="left" wrapText="1"/>
    </xf>
    <xf numFmtId="0" fontId="27" fillId="7" borderId="9" xfId="0" applyFont="1" applyFill="1" applyBorder="1" applyAlignment="1">
      <alignment horizontal="left" wrapText="1"/>
    </xf>
    <xf numFmtId="0" fontId="27" fillId="7" borderId="10" xfId="0" applyFont="1" applyFill="1" applyBorder="1" applyAlignment="1">
      <alignment horizontal="left" wrapText="1"/>
    </xf>
    <xf numFmtId="0" fontId="27" fillId="7" borderId="11" xfId="0" applyFont="1" applyFill="1" applyBorder="1" applyAlignment="1">
      <alignment horizontal="left" wrapText="1"/>
    </xf>
    <xf numFmtId="0" fontId="0" fillId="7" borderId="12" xfId="0" applyFont="1" applyFill="1" applyBorder="1" applyAlignment="1">
      <alignment horizontal="left" wrapText="1"/>
    </xf>
    <xf numFmtId="0" fontId="0" fillId="7" borderId="6" xfId="0" applyFont="1" applyFill="1" applyBorder="1" applyAlignment="1">
      <alignment horizontal="left" wrapText="1"/>
    </xf>
    <xf numFmtId="0" fontId="0" fillId="7" borderId="13" xfId="0" applyFont="1" applyFill="1" applyBorder="1" applyAlignment="1">
      <alignment horizontal="left" wrapText="1"/>
    </xf>
    <xf numFmtId="0" fontId="30" fillId="7" borderId="1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7" borderId="14" xfId="0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30" fillId="7" borderId="1" xfId="0" applyFont="1" applyFill="1" applyBorder="1" applyAlignment="1">
      <alignment horizontal="right" wrapText="1"/>
    </xf>
    <xf numFmtId="164" fontId="29" fillId="7" borderId="1" xfId="0" applyNumberFormat="1" applyFont="1" applyFill="1" applyBorder="1" applyAlignment="1">
      <alignment horizontal="center" wrapText="1"/>
    </xf>
    <xf numFmtId="0" fontId="30" fillId="7" borderId="3" xfId="0" applyFont="1" applyFill="1" applyBorder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right" wrapText="1"/>
    </xf>
    <xf numFmtId="0" fontId="29" fillId="7" borderId="3" xfId="0" applyFont="1" applyFill="1" applyBorder="1" applyAlignment="1">
      <alignment horizontal="center" wrapText="1"/>
    </xf>
    <xf numFmtId="0" fontId="29" fillId="7" borderId="5" xfId="0" applyFont="1" applyFill="1" applyBorder="1" applyAlignment="1">
      <alignment horizontal="center" wrapText="1"/>
    </xf>
    <xf numFmtId="0" fontId="28" fillId="7" borderId="1" xfId="0" applyFont="1" applyFill="1" applyBorder="1" applyAlignment="1">
      <alignment horizontal="left" wrapText="1"/>
    </xf>
    <xf numFmtId="0" fontId="31" fillId="7" borderId="3" xfId="0" applyFont="1" applyFill="1" applyBorder="1" applyAlignment="1">
      <alignment horizontal="center" vertical="top" wrapText="1"/>
    </xf>
    <xf numFmtId="0" fontId="31" fillId="7" borderId="4" xfId="0" applyFont="1" applyFill="1" applyBorder="1" applyAlignment="1">
      <alignment horizontal="center" vertical="top" wrapText="1"/>
    </xf>
    <xf numFmtId="0" fontId="31" fillId="7" borderId="5" xfId="0" applyFont="1" applyFill="1" applyBorder="1" applyAlignment="1">
      <alignment horizontal="center" vertical="top" wrapText="1"/>
    </xf>
    <xf numFmtId="0" fontId="27" fillId="7" borderId="3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 wrapText="1"/>
    </xf>
    <xf numFmtId="172" fontId="27" fillId="7" borderId="1" xfId="0" applyNumberFormat="1" applyFont="1" applyFill="1" applyBorder="1" applyAlignment="1">
      <alignment horizontal="center" wrapText="1"/>
    </xf>
    <xf numFmtId="164" fontId="27" fillId="7" borderId="3" xfId="1" applyFont="1" applyFill="1" applyBorder="1" applyAlignment="1">
      <alignment horizontal="center" vertical="center"/>
    </xf>
    <xf numFmtId="164" fontId="27" fillId="7" borderId="5" xfId="1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left" wrapText="1"/>
    </xf>
    <xf numFmtId="0" fontId="0" fillId="7" borderId="5" xfId="0" applyFont="1" applyFill="1" applyBorder="1" applyAlignment="1">
      <alignment horizontal="left" wrapText="1"/>
    </xf>
    <xf numFmtId="164" fontId="29" fillId="7" borderId="3" xfId="0" applyNumberFormat="1" applyFont="1" applyFill="1" applyBorder="1" applyAlignment="1">
      <alignment horizontal="center" wrapText="1"/>
    </xf>
    <xf numFmtId="164" fontId="29" fillId="7" borderId="5" xfId="0" applyNumberFormat="1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171" fontId="27" fillId="7" borderId="3" xfId="1" applyNumberFormat="1" applyFont="1" applyFill="1" applyBorder="1" applyAlignment="1">
      <alignment horizontal="center" wrapText="1"/>
    </xf>
    <xf numFmtId="171" fontId="27" fillId="7" borderId="5" xfId="1" applyNumberFormat="1" applyFont="1" applyFill="1" applyBorder="1" applyAlignment="1">
      <alignment horizontal="center" wrapText="1"/>
    </xf>
    <xf numFmtId="171" fontId="27" fillId="7" borderId="1" xfId="1" applyNumberFormat="1" applyFont="1" applyFill="1" applyBorder="1" applyAlignment="1">
      <alignment horizontal="center" wrapText="1"/>
    </xf>
    <xf numFmtId="0" fontId="29" fillId="7" borderId="6" xfId="0" applyFont="1" applyFill="1" applyBorder="1" applyAlignment="1">
      <alignment horizontal="center"/>
    </xf>
    <xf numFmtId="0" fontId="27" fillId="7" borderId="7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wrapText="1"/>
    </xf>
    <xf numFmtId="3" fontId="27" fillId="7" borderId="1" xfId="0" applyNumberFormat="1" applyFont="1" applyFill="1" applyBorder="1" applyAlignment="1">
      <alignment horizontal="center" wrapText="1"/>
    </xf>
    <xf numFmtId="164" fontId="27" fillId="7" borderId="1" xfId="1" applyFont="1" applyFill="1" applyBorder="1" applyAlignment="1">
      <alignment horizontal="center" wrapText="1"/>
    </xf>
    <xf numFmtId="176" fontId="27" fillId="7" borderId="1" xfId="1" applyNumberFormat="1" applyFont="1" applyFill="1" applyBorder="1" applyAlignment="1">
      <alignment horizontal="center" wrapText="1"/>
    </xf>
    <xf numFmtId="0" fontId="27" fillId="7" borderId="9" xfId="0" applyFont="1" applyFill="1" applyBorder="1" applyAlignment="1">
      <alignment horizontal="left" vertical="center" wrapText="1"/>
    </xf>
    <xf numFmtId="0" fontId="27" fillId="7" borderId="10" xfId="0" applyFont="1" applyFill="1" applyBorder="1" applyAlignment="1">
      <alignment horizontal="left" vertical="center" wrapText="1"/>
    </xf>
    <xf numFmtId="0" fontId="27" fillId="7" borderId="11" xfId="0" applyFont="1" applyFill="1" applyBorder="1" applyAlignment="1">
      <alignment horizontal="left" vertical="center" wrapText="1"/>
    </xf>
    <xf numFmtId="0" fontId="0" fillId="7" borderId="12" xfId="0" applyFont="1" applyFill="1" applyBorder="1" applyAlignment="1">
      <alignment horizontal="left" vertical="center" wrapText="1"/>
    </xf>
    <xf numFmtId="0" fontId="0" fillId="7" borderId="6" xfId="0" applyFont="1" applyFill="1" applyBorder="1" applyAlignment="1">
      <alignment horizontal="left" vertical="center" wrapText="1"/>
    </xf>
    <xf numFmtId="0" fontId="0" fillId="7" borderId="13" xfId="0" applyFont="1" applyFill="1" applyBorder="1" applyAlignment="1">
      <alignment horizontal="left" vertical="center" wrapText="1"/>
    </xf>
    <xf numFmtId="0" fontId="27" fillId="7" borderId="8" xfId="0" applyFont="1" applyFill="1" applyBorder="1" applyAlignment="1">
      <alignment horizontal="center" vertical="center" wrapText="1"/>
    </xf>
    <xf numFmtId="0" fontId="31" fillId="7" borderId="9" xfId="0" applyFont="1" applyFill="1" applyBorder="1" applyAlignment="1">
      <alignment horizontal="center" vertical="top" wrapText="1"/>
    </xf>
    <xf numFmtId="0" fontId="31" fillId="7" borderId="10" xfId="0" applyFont="1" applyFill="1" applyBorder="1" applyAlignment="1">
      <alignment horizontal="center" vertical="top" wrapText="1"/>
    </xf>
    <xf numFmtId="0" fontId="31" fillId="7" borderId="11" xfId="0" applyFont="1" applyFill="1" applyBorder="1" applyAlignment="1">
      <alignment horizontal="center" vertical="top" wrapText="1"/>
    </xf>
    <xf numFmtId="0" fontId="31" fillId="7" borderId="12" xfId="0" applyFont="1" applyFill="1" applyBorder="1" applyAlignment="1">
      <alignment horizontal="center" vertical="top" wrapText="1"/>
    </xf>
    <xf numFmtId="0" fontId="31" fillId="7" borderId="6" xfId="0" applyFont="1" applyFill="1" applyBorder="1" applyAlignment="1">
      <alignment horizontal="center" vertical="top" wrapText="1"/>
    </xf>
    <xf numFmtId="0" fontId="31" fillId="7" borderId="13" xfId="0" applyFont="1" applyFill="1" applyBorder="1" applyAlignment="1">
      <alignment horizontal="center" vertical="top" wrapText="1"/>
    </xf>
    <xf numFmtId="164" fontId="29" fillId="7" borderId="1" xfId="0" applyNumberFormat="1" applyFont="1" applyFill="1" applyBorder="1" applyAlignment="1"/>
    <xf numFmtId="0" fontId="29" fillId="7" borderId="1" xfId="0" applyFont="1" applyFill="1" applyBorder="1" applyAlignment="1"/>
    <xf numFmtId="0" fontId="29" fillId="7" borderId="0" xfId="0" applyFont="1" applyFill="1" applyAlignment="1">
      <alignment horizontal="center"/>
    </xf>
    <xf numFmtId="0" fontId="31" fillId="7" borderId="7" xfId="0" applyFont="1" applyFill="1" applyBorder="1" applyAlignment="1">
      <alignment horizontal="center" vertical="top" wrapText="1"/>
    </xf>
    <xf numFmtId="0" fontId="31" fillId="7" borderId="8" xfId="0" applyFont="1" applyFill="1" applyBorder="1" applyAlignment="1">
      <alignment horizontal="center" vertical="top" wrapText="1"/>
    </xf>
    <xf numFmtId="172" fontId="29" fillId="7" borderId="1" xfId="0" applyNumberFormat="1" applyFont="1" applyFill="1" applyBorder="1" applyAlignment="1">
      <alignment horizontal="right" wrapText="1"/>
    </xf>
    <xf numFmtId="172" fontId="27" fillId="7" borderId="3" xfId="0" applyNumberFormat="1" applyFont="1" applyFill="1" applyBorder="1" applyAlignment="1">
      <alignment horizontal="right" wrapText="1"/>
    </xf>
    <xf numFmtId="172" fontId="27" fillId="7" borderId="5" xfId="0" applyNumberFormat="1" applyFont="1" applyFill="1" applyBorder="1" applyAlignment="1">
      <alignment horizontal="right" wrapText="1"/>
    </xf>
    <xf numFmtId="0" fontId="0" fillId="7" borderId="8" xfId="0" applyFont="1" applyFill="1" applyBorder="1" applyAlignment="1">
      <alignment horizontal="center" wrapText="1"/>
    </xf>
    <xf numFmtId="0" fontId="27" fillId="7" borderId="1" xfId="0" applyFont="1" applyFill="1" applyBorder="1" applyAlignment="1">
      <alignment wrapText="1"/>
    </xf>
    <xf numFmtId="0" fontId="27" fillId="7" borderId="1" xfId="0" applyFont="1" applyFill="1" applyBorder="1" applyAlignment="1"/>
    <xf numFmtId="0" fontId="27" fillId="7" borderId="3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27" fillId="7" borderId="5" xfId="0" applyFont="1" applyFill="1" applyBorder="1" applyAlignment="1">
      <alignment wrapText="1"/>
    </xf>
    <xf numFmtId="0" fontId="30" fillId="7" borderId="3" xfId="0" applyFont="1" applyFill="1" applyBorder="1" applyAlignment="1">
      <alignment horizontal="right" wrapText="1"/>
    </xf>
    <xf numFmtId="0" fontId="30" fillId="7" borderId="4" xfId="0" applyFont="1" applyFill="1" applyBorder="1" applyAlignment="1">
      <alignment horizontal="right" wrapText="1"/>
    </xf>
    <xf numFmtId="0" fontId="30" fillId="7" borderId="5" xfId="0" applyFont="1" applyFill="1" applyBorder="1" applyAlignment="1">
      <alignment horizontal="right" wrapText="1"/>
    </xf>
    <xf numFmtId="0" fontId="27" fillId="7" borderId="3" xfId="0" applyFont="1" applyFill="1" applyBorder="1" applyAlignment="1"/>
    <xf numFmtId="0" fontId="27" fillId="7" borderId="5" xfId="0" applyFont="1" applyFill="1" applyBorder="1" applyAlignment="1"/>
    <xf numFmtId="0" fontId="27" fillId="7" borderId="1" xfId="0" applyFont="1" applyFill="1" applyBorder="1" applyAlignment="1">
      <alignment horizontal="center"/>
    </xf>
    <xf numFmtId="172" fontId="27" fillId="7" borderId="3" xfId="0" applyNumberFormat="1" applyFont="1" applyFill="1" applyBorder="1" applyAlignment="1">
      <alignment horizontal="center" wrapText="1"/>
    </xf>
    <xf numFmtId="172" fontId="27" fillId="7" borderId="5" xfId="0" applyNumberFormat="1" applyFont="1" applyFill="1" applyBorder="1" applyAlignment="1">
      <alignment horizontal="center" wrapText="1"/>
    </xf>
    <xf numFmtId="0" fontId="30" fillId="7" borderId="4" xfId="0" applyFont="1" applyFill="1" applyBorder="1" applyAlignment="1">
      <alignment horizontal="left"/>
    </xf>
    <xf numFmtId="0" fontId="32" fillId="7" borderId="10" xfId="0" applyNumberFormat="1" applyFont="1" applyFill="1" applyBorder="1" applyAlignment="1">
      <alignment horizontal="center" vertical="top" wrapText="1"/>
    </xf>
    <xf numFmtId="0" fontId="29" fillId="7" borderId="0" xfId="0" applyFont="1" applyFill="1" applyAlignment="1">
      <alignment horizontal="center" wrapText="1"/>
    </xf>
    <xf numFmtId="164" fontId="27" fillId="7" borderId="3" xfId="0" applyNumberFormat="1" applyFont="1" applyFill="1" applyBorder="1" applyAlignment="1"/>
    <xf numFmtId="164" fontId="27" fillId="7" borderId="5" xfId="0" applyNumberFormat="1" applyFont="1" applyFill="1" applyBorder="1" applyAlignment="1"/>
    <xf numFmtId="172" fontId="30" fillId="7" borderId="3" xfId="0" applyNumberFormat="1" applyFont="1" applyFill="1" applyBorder="1" applyAlignment="1">
      <alignment horizontal="center" wrapText="1"/>
    </xf>
    <xf numFmtId="172" fontId="30" fillId="7" borderId="5" xfId="0" applyNumberFormat="1" applyFont="1" applyFill="1" applyBorder="1" applyAlignment="1">
      <alignment horizontal="center" wrapText="1"/>
    </xf>
    <xf numFmtId="164" fontId="30" fillId="7" borderId="1" xfId="1" applyNumberFormat="1" applyFont="1" applyFill="1" applyBorder="1" applyAlignment="1"/>
    <xf numFmtId="0" fontId="30" fillId="7" borderId="1" xfId="0" applyFont="1" applyFill="1" applyBorder="1" applyAlignment="1">
      <alignment horizontal="right" vertical="top" wrapText="1"/>
    </xf>
    <xf numFmtId="0" fontId="27" fillId="7" borderId="3" xfId="0" applyFont="1" applyFill="1" applyBorder="1" applyAlignment="1">
      <alignment horizontal="right" vertical="top" wrapText="1"/>
    </xf>
    <xf numFmtId="0" fontId="27" fillId="7" borderId="5" xfId="0" applyFont="1" applyFill="1" applyBorder="1" applyAlignment="1">
      <alignment horizontal="right" vertical="top" wrapText="1"/>
    </xf>
    <xf numFmtId="0" fontId="31" fillId="7" borderId="1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wrapText="1"/>
    </xf>
    <xf numFmtId="0" fontId="0" fillId="7" borderId="5" xfId="0" applyFont="1" applyFill="1" applyBorder="1" applyAlignment="1">
      <alignment wrapText="1"/>
    </xf>
    <xf numFmtId="0" fontId="27" fillId="7" borderId="3" xfId="0" applyFont="1" applyFill="1" applyBorder="1" applyAlignment="1">
      <alignment horizontal="left" vertical="top" wrapText="1"/>
    </xf>
    <xf numFmtId="0" fontId="27" fillId="7" borderId="4" xfId="0" applyFont="1" applyFill="1" applyBorder="1" applyAlignment="1">
      <alignment horizontal="left" vertical="top" wrapText="1"/>
    </xf>
    <xf numFmtId="0" fontId="27" fillId="7" borderId="5" xfId="0" applyFont="1" applyFill="1" applyBorder="1" applyAlignment="1">
      <alignment horizontal="left" vertical="top" wrapText="1"/>
    </xf>
    <xf numFmtId="2" fontId="27" fillId="7" borderId="1" xfId="0" applyNumberFormat="1" applyFont="1" applyFill="1" applyBorder="1" applyAlignment="1">
      <alignment horizontal="center" wrapText="1"/>
    </xf>
    <xf numFmtId="164" fontId="27" fillId="7" borderId="7" xfId="0" applyNumberFormat="1" applyFont="1" applyFill="1" applyBorder="1" applyAlignment="1">
      <alignment horizontal="center" wrapText="1"/>
    </xf>
    <xf numFmtId="39" fontId="30" fillId="7" borderId="3" xfId="0" applyNumberFormat="1" applyFont="1" applyFill="1" applyBorder="1" applyAlignment="1">
      <alignment horizontal="right" vertical="top" wrapText="1"/>
    </xf>
    <xf numFmtId="39" fontId="30" fillId="7" borderId="5" xfId="0" applyNumberFormat="1" applyFont="1" applyFill="1" applyBorder="1" applyAlignment="1">
      <alignment horizontal="right" vertical="top" wrapText="1"/>
    </xf>
    <xf numFmtId="0" fontId="30" fillId="7" borderId="3" xfId="0" applyFont="1" applyFill="1" applyBorder="1" applyAlignment="1">
      <alignment horizontal="center" vertical="top" wrapText="1"/>
    </xf>
    <xf numFmtId="0" fontId="30" fillId="7" borderId="4" xfId="0" applyFont="1" applyFill="1" applyBorder="1" applyAlignment="1">
      <alignment horizontal="center" vertical="top" wrapText="1"/>
    </xf>
    <xf numFmtId="0" fontId="30" fillId="7" borderId="5" xfId="0" applyFont="1" applyFill="1" applyBorder="1" applyAlignment="1">
      <alignment horizontal="center" vertical="top" wrapText="1"/>
    </xf>
    <xf numFmtId="0" fontId="27" fillId="7" borderId="3" xfId="0" applyFont="1" applyFill="1" applyBorder="1" applyAlignment="1">
      <alignment horizontal="center" vertical="top" wrapText="1"/>
    </xf>
    <xf numFmtId="0" fontId="27" fillId="7" borderId="5" xfId="0" applyFont="1" applyFill="1" applyBorder="1" applyAlignment="1">
      <alignment horizontal="center" vertical="top" wrapText="1"/>
    </xf>
    <xf numFmtId="170" fontId="27" fillId="7" borderId="3" xfId="1" applyNumberFormat="1" applyFont="1" applyFill="1" applyBorder="1" applyAlignment="1">
      <alignment horizontal="center" vertical="center"/>
    </xf>
    <xf numFmtId="170" fontId="27" fillId="7" borderId="5" xfId="1" applyNumberFormat="1" applyFont="1" applyFill="1" applyBorder="1" applyAlignment="1">
      <alignment horizontal="center" vertical="center"/>
    </xf>
    <xf numFmtId="3" fontId="27" fillId="7" borderId="3" xfId="0" applyNumberFormat="1" applyFont="1" applyFill="1" applyBorder="1" applyAlignment="1">
      <alignment horizontal="center" wrapText="1"/>
    </xf>
    <xf numFmtId="3" fontId="27" fillId="7" borderId="5" xfId="0" applyNumberFormat="1" applyFont="1" applyFill="1" applyBorder="1" applyAlignment="1">
      <alignment horizontal="center" wrapText="1"/>
    </xf>
    <xf numFmtId="0" fontId="27" fillId="7" borderId="4" xfId="0" applyFont="1" applyFill="1" applyBorder="1" applyAlignment="1">
      <alignment horizontal="center" vertical="top" wrapText="1"/>
    </xf>
    <xf numFmtId="172" fontId="0" fillId="7" borderId="1" xfId="0" applyNumberFormat="1" applyFont="1" applyFill="1" applyBorder="1" applyAlignment="1">
      <alignment horizontal="center" wrapText="1"/>
    </xf>
    <xf numFmtId="164" fontId="28" fillId="7" borderId="3" xfId="1" applyNumberFormat="1" applyFont="1" applyFill="1" applyBorder="1" applyAlignment="1">
      <alignment horizontal="center" wrapText="1"/>
    </xf>
    <xf numFmtId="164" fontId="28" fillId="7" borderId="5" xfId="1" applyNumberFormat="1" applyFont="1" applyFill="1" applyBorder="1" applyAlignment="1">
      <alignment horizontal="center" wrapText="1"/>
    </xf>
    <xf numFmtId="0" fontId="29" fillId="7" borderId="0" xfId="0" applyFont="1" applyFill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top" wrapText="1"/>
    </xf>
    <xf numFmtId="0" fontId="27" fillId="7" borderId="1" xfId="0" applyFont="1" applyFill="1" applyBorder="1" applyAlignment="1">
      <alignment horizontal="center" vertical="center" wrapText="1"/>
    </xf>
    <xf numFmtId="172" fontId="27" fillId="7" borderId="1" xfId="0" applyNumberFormat="1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left" vertical="top" wrapText="1"/>
    </xf>
    <xf numFmtId="0" fontId="27" fillId="7" borderId="1" xfId="0" applyFont="1" applyFill="1" applyBorder="1" applyAlignment="1">
      <alignment vertical="top" wrapText="1"/>
    </xf>
    <xf numFmtId="0" fontId="27" fillId="7" borderId="3" xfId="0" applyFont="1" applyFill="1" applyBorder="1" applyAlignment="1">
      <alignment horizontal="left" vertical="top"/>
    </xf>
    <xf numFmtId="0" fontId="27" fillId="7" borderId="4" xfId="0" applyFont="1" applyFill="1" applyBorder="1" applyAlignment="1">
      <alignment horizontal="left" vertical="top"/>
    </xf>
    <xf numFmtId="0" fontId="27" fillId="7" borderId="5" xfId="0" applyFont="1" applyFill="1" applyBorder="1" applyAlignment="1">
      <alignment horizontal="left" vertical="top"/>
    </xf>
    <xf numFmtId="0" fontId="29" fillId="7" borderId="1" xfId="0" applyFont="1" applyFill="1" applyBorder="1" applyAlignment="1">
      <alignment horizontal="left" vertical="top" wrapText="1"/>
    </xf>
    <xf numFmtId="0" fontId="30" fillId="7" borderId="1" xfId="0" applyFont="1" applyFill="1" applyBorder="1" applyAlignment="1">
      <alignment vertical="top" wrapText="1"/>
    </xf>
    <xf numFmtId="0" fontId="30" fillId="7" borderId="3" xfId="0" applyFont="1" applyFill="1" applyBorder="1" applyAlignment="1">
      <alignment horizontal="left" vertical="top" wrapText="1"/>
    </xf>
    <xf numFmtId="0" fontId="30" fillId="7" borderId="4" xfId="0" applyFont="1" applyFill="1" applyBorder="1" applyAlignment="1">
      <alignment horizontal="left" vertical="top" wrapText="1"/>
    </xf>
    <xf numFmtId="0" fontId="30" fillId="7" borderId="5" xfId="0" applyFont="1" applyFill="1" applyBorder="1" applyAlignment="1">
      <alignment horizontal="left" vertical="top" wrapText="1"/>
    </xf>
    <xf numFmtId="0" fontId="30" fillId="7" borderId="4" xfId="0" applyFont="1" applyFill="1" applyBorder="1" applyAlignment="1">
      <alignment vertical="top" wrapText="1"/>
    </xf>
    <xf numFmtId="0" fontId="30" fillId="7" borderId="5" xfId="0" applyFont="1" applyFill="1" applyBorder="1" applyAlignment="1">
      <alignment vertical="top" wrapText="1"/>
    </xf>
    <xf numFmtId="0" fontId="27" fillId="7" borderId="1" xfId="0" applyFont="1" applyFill="1" applyBorder="1" applyAlignment="1">
      <alignment horizontal="left" vertical="top"/>
    </xf>
    <xf numFmtId="0" fontId="27" fillId="7" borderId="1" xfId="0" applyFont="1" applyFill="1" applyBorder="1" applyAlignment="1">
      <alignment vertical="top"/>
    </xf>
    <xf numFmtId="0" fontId="29" fillId="7" borderId="3" xfId="0" applyFont="1" applyFill="1" applyBorder="1" applyAlignment="1">
      <alignment horizontal="center" vertical="top"/>
    </xf>
    <xf numFmtId="0" fontId="29" fillId="7" borderId="4" xfId="0" applyFont="1" applyFill="1" applyBorder="1" applyAlignment="1">
      <alignment horizontal="center" vertical="top"/>
    </xf>
    <xf numFmtId="0" fontId="29" fillId="7" borderId="5" xfId="0" applyFont="1" applyFill="1" applyBorder="1" applyAlignment="1">
      <alignment horizontal="center" vertical="top"/>
    </xf>
    <xf numFmtId="0" fontId="27" fillId="7" borderId="3" xfId="0" applyFont="1" applyFill="1" applyBorder="1" applyAlignment="1">
      <alignment horizontal="left" vertical="center" wrapText="1"/>
    </xf>
    <xf numFmtId="0" fontId="27" fillId="7" borderId="4" xfId="0" applyFont="1" applyFill="1" applyBorder="1" applyAlignment="1">
      <alignment horizontal="left" vertical="center" wrapText="1"/>
    </xf>
    <xf numFmtId="0" fontId="27" fillId="7" borderId="5" xfId="0" applyFont="1" applyFill="1" applyBorder="1" applyAlignment="1">
      <alignment horizontal="left" vertical="center" wrapText="1"/>
    </xf>
    <xf numFmtId="0" fontId="29" fillId="7" borderId="6" xfId="0" applyFont="1" applyFill="1" applyBorder="1" applyAlignment="1">
      <alignment horizontal="center" wrapText="1"/>
    </xf>
    <xf numFmtId="0" fontId="27" fillId="7" borderId="12" xfId="0" applyFont="1" applyFill="1" applyBorder="1" applyAlignment="1">
      <alignment horizontal="left" wrapText="1"/>
    </xf>
    <xf numFmtId="0" fontId="27" fillId="7" borderId="6" xfId="0" applyFont="1" applyFill="1" applyBorder="1" applyAlignment="1">
      <alignment horizontal="left" wrapText="1"/>
    </xf>
    <xf numFmtId="0" fontId="27" fillId="7" borderId="13" xfId="0" applyFont="1" applyFill="1" applyBorder="1" applyAlignment="1">
      <alignment horizontal="left" wrapText="1"/>
    </xf>
    <xf numFmtId="172" fontId="66" fillId="7" borderId="4" xfId="0" applyNumberFormat="1" applyFont="1" applyFill="1" applyBorder="1" applyAlignment="1">
      <alignment horizontal="right" vertical="center" wrapText="1"/>
    </xf>
    <xf numFmtId="172" fontId="66" fillId="7" borderId="5" xfId="0" applyNumberFormat="1" applyFont="1" applyFill="1" applyBorder="1" applyAlignment="1">
      <alignment horizontal="right" vertical="center" wrapText="1"/>
    </xf>
    <xf numFmtId="4" fontId="27" fillId="7" borderId="1" xfId="0" applyNumberFormat="1" applyFont="1" applyFill="1" applyBorder="1" applyAlignment="1">
      <alignment horizontal="center" wrapText="1"/>
    </xf>
    <xf numFmtId="164" fontId="28" fillId="7" borderId="1" xfId="1" applyNumberFormat="1" applyFont="1" applyFill="1" applyBorder="1" applyAlignment="1">
      <alignment horizontal="center" wrapText="1"/>
    </xf>
    <xf numFmtId="4" fontId="27" fillId="7" borderId="8" xfId="0" applyNumberFormat="1" applyFont="1" applyFill="1" applyBorder="1" applyAlignment="1">
      <alignment horizontal="center" wrapText="1"/>
    </xf>
    <xf numFmtId="164" fontId="28" fillId="7" borderId="8" xfId="1" applyNumberFormat="1" applyFont="1" applyFill="1" applyBorder="1" applyAlignment="1">
      <alignment horizontal="right" vertical="center" wrapText="1"/>
    </xf>
    <xf numFmtId="164" fontId="27" fillId="7" borderId="1" xfId="0" applyNumberFormat="1" applyFont="1" applyFill="1" applyBorder="1" applyAlignment="1"/>
    <xf numFmtId="169" fontId="27" fillId="7" borderId="1" xfId="1" applyNumberFormat="1" applyFont="1" applyFill="1" applyBorder="1" applyAlignment="1"/>
    <xf numFmtId="0" fontId="30" fillId="7" borderId="3" xfId="0" applyFont="1" applyFill="1" applyBorder="1" applyAlignment="1">
      <alignment horizontal="left" vertical="top"/>
    </xf>
    <xf numFmtId="0" fontId="30" fillId="7" borderId="4" xfId="0" applyFont="1" applyFill="1" applyBorder="1" applyAlignment="1">
      <alignment horizontal="left" vertical="top"/>
    </xf>
    <xf numFmtId="0" fontId="30" fillId="7" borderId="5" xfId="0" applyFont="1" applyFill="1" applyBorder="1" applyAlignment="1">
      <alignment horizontal="left" vertical="top"/>
    </xf>
    <xf numFmtId="164" fontId="30" fillId="7" borderId="1" xfId="1" applyNumberFormat="1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right" vertical="top" wrapText="1"/>
    </xf>
    <xf numFmtId="0" fontId="27" fillId="7" borderId="1" xfId="0" applyFont="1" applyFill="1" applyBorder="1" applyAlignment="1">
      <alignment horizontal="justify" wrapText="1"/>
    </xf>
    <xf numFmtId="164" fontId="4" fillId="7" borderId="1" xfId="0" applyNumberFormat="1" applyFont="1" applyFill="1" applyBorder="1" applyAlignment="1">
      <alignment horizontal="left" vertical="top" wrapText="1"/>
    </xf>
    <xf numFmtId="164" fontId="27" fillId="7" borderId="4" xfId="1" applyFont="1" applyFill="1" applyBorder="1" applyAlignment="1"/>
    <xf numFmtId="164" fontId="27" fillId="7" borderId="5" xfId="1" applyFont="1" applyFill="1" applyBorder="1" applyAlignment="1"/>
    <xf numFmtId="173" fontId="27" fillId="7" borderId="1" xfId="0" applyNumberFormat="1" applyFont="1" applyFill="1" applyBorder="1" applyAlignment="1">
      <alignment horizontal="center" wrapText="1"/>
    </xf>
    <xf numFmtId="167" fontId="27" fillId="7" borderId="1" xfId="0" applyNumberFormat="1" applyFont="1" applyFill="1" applyBorder="1" applyAlignment="1">
      <alignment horizontal="center" wrapText="1"/>
    </xf>
    <xf numFmtId="164" fontId="30" fillId="7" borderId="3" xfId="1" applyFont="1" applyFill="1" applyBorder="1" applyAlignment="1">
      <alignment horizontal="center"/>
    </xf>
    <xf numFmtId="164" fontId="30" fillId="7" borderId="5" xfId="1" applyFont="1" applyFill="1" applyBorder="1" applyAlignment="1">
      <alignment horizontal="center"/>
    </xf>
    <xf numFmtId="164" fontId="30" fillId="7" borderId="4" xfId="1" applyFont="1" applyFill="1" applyBorder="1" applyAlignment="1"/>
    <xf numFmtId="164" fontId="30" fillId="7" borderId="5" xfId="1" applyFont="1" applyFill="1" applyBorder="1" applyAlignment="1"/>
    <xf numFmtId="0" fontId="28" fillId="7" borderId="3" xfId="0" applyFont="1" applyFill="1" applyBorder="1" applyAlignment="1">
      <alignment horizontal="left" wrapText="1"/>
    </xf>
    <xf numFmtId="0" fontId="28" fillId="7" borderId="4" xfId="0" applyFont="1" applyFill="1" applyBorder="1" applyAlignment="1">
      <alignment horizontal="left" wrapText="1"/>
    </xf>
    <xf numFmtId="0" fontId="28" fillId="7" borderId="5" xfId="0" applyFont="1" applyFill="1" applyBorder="1" applyAlignment="1">
      <alignment horizontal="left" wrapText="1"/>
    </xf>
    <xf numFmtId="0" fontId="30" fillId="7" borderId="3" xfId="0" applyFont="1" applyFill="1" applyBorder="1" applyAlignment="1">
      <alignment horizontal="center" vertical="center"/>
    </xf>
    <xf numFmtId="0" fontId="30" fillId="7" borderId="5" xfId="0" applyFont="1" applyFill="1" applyBorder="1" applyAlignment="1">
      <alignment horizontal="center" vertical="center"/>
    </xf>
    <xf numFmtId="0" fontId="29" fillId="7" borderId="10" xfId="0" applyFont="1" applyFill="1" applyBorder="1" applyAlignment="1">
      <alignment horizontal="center" wrapText="1"/>
    </xf>
    <xf numFmtId="170" fontId="30" fillId="7" borderId="3" xfId="1" applyNumberFormat="1" applyFont="1" applyFill="1" applyBorder="1" applyAlignment="1">
      <alignment horizontal="right" vertical="center"/>
    </xf>
    <xf numFmtId="170" fontId="30" fillId="7" borderId="5" xfId="1" applyNumberFormat="1" applyFont="1" applyFill="1" applyBorder="1" applyAlignment="1">
      <alignment horizontal="right" vertical="center"/>
    </xf>
    <xf numFmtId="0" fontId="29" fillId="7" borderId="1" xfId="0" applyFont="1" applyFill="1" applyBorder="1" applyAlignment="1">
      <alignment horizontal="center" wrapText="1"/>
    </xf>
    <xf numFmtId="0" fontId="27" fillId="7" borderId="3" xfId="0" applyFont="1" applyFill="1" applyBorder="1" applyAlignment="1">
      <alignment horizontal="right" wrapText="1"/>
    </xf>
    <xf numFmtId="0" fontId="27" fillId="7" borderId="4" xfId="0" applyFont="1" applyFill="1" applyBorder="1" applyAlignment="1">
      <alignment horizontal="right" wrapText="1"/>
    </xf>
    <xf numFmtId="0" fontId="27" fillId="7" borderId="5" xfId="0" applyFont="1" applyFill="1" applyBorder="1" applyAlignment="1">
      <alignment horizontal="right" wrapText="1"/>
    </xf>
    <xf numFmtId="164" fontId="30" fillId="7" borderId="1" xfId="1" applyFont="1" applyFill="1" applyBorder="1" applyAlignment="1">
      <alignment horizontal="center"/>
    </xf>
    <xf numFmtId="164" fontId="27" fillId="7" borderId="3" xfId="1" applyFont="1" applyFill="1" applyBorder="1" applyAlignment="1"/>
    <xf numFmtId="0" fontId="31" fillId="7" borderId="3" xfId="0" applyFont="1" applyFill="1" applyBorder="1" applyAlignment="1">
      <alignment horizontal="center" vertical="center" wrapText="1"/>
    </xf>
    <xf numFmtId="0" fontId="31" fillId="7" borderId="4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0" fontId="27" fillId="7" borderId="3" xfId="0" applyFont="1" applyFill="1" applyBorder="1" applyAlignment="1">
      <alignment horizontal="justify" wrapText="1"/>
    </xf>
    <xf numFmtId="0" fontId="27" fillId="7" borderId="4" xfId="0" applyFont="1" applyFill="1" applyBorder="1" applyAlignment="1">
      <alignment horizontal="justify" wrapText="1"/>
    </xf>
    <xf numFmtId="0" fontId="27" fillId="7" borderId="5" xfId="0" applyFont="1" applyFill="1" applyBorder="1" applyAlignment="1">
      <alignment horizontal="justify" wrapText="1"/>
    </xf>
    <xf numFmtId="169" fontId="27" fillId="7" borderId="3" xfId="1" applyNumberFormat="1" applyFont="1" applyFill="1" applyBorder="1" applyAlignment="1"/>
    <xf numFmtId="169" fontId="27" fillId="7" borderId="5" xfId="1" applyNumberFormat="1" applyFont="1" applyFill="1" applyBorder="1" applyAlignment="1"/>
    <xf numFmtId="0" fontId="7" fillId="7" borderId="0" xfId="4" applyFont="1" applyFill="1" applyAlignment="1">
      <alignment horizontal="center"/>
    </xf>
    <xf numFmtId="0" fontId="6" fillId="7" borderId="0" xfId="4" applyFont="1" applyFill="1" applyBorder="1" applyAlignment="1">
      <alignment horizontal="center" vertical="top"/>
    </xf>
    <xf numFmtId="0" fontId="6" fillId="7" borderId="0" xfId="4" applyFont="1" applyFill="1" applyBorder="1" applyAlignment="1">
      <alignment horizontal="left" vertical="top"/>
    </xf>
    <xf numFmtId="0" fontId="3" fillId="7" borderId="0" xfId="4" applyFont="1" applyFill="1" applyAlignment="1">
      <alignment horizontal="left"/>
    </xf>
    <xf numFmtId="0" fontId="23" fillId="0" borderId="10" xfId="4" applyFont="1" applyFill="1" applyBorder="1" applyAlignment="1">
      <alignment horizontal="center" vertical="top"/>
    </xf>
    <xf numFmtId="0" fontId="23" fillId="0" borderId="10" xfId="4" applyFont="1" applyFill="1" applyBorder="1" applyAlignment="1">
      <alignment horizontal="left" vertical="top"/>
    </xf>
    <xf numFmtId="0" fontId="7" fillId="7" borderId="0" xfId="4" applyFont="1" applyFill="1" applyAlignment="1">
      <alignment horizontal="left"/>
    </xf>
    <xf numFmtId="0" fontId="6" fillId="7" borderId="10" xfId="4" applyFont="1" applyFill="1" applyBorder="1" applyAlignment="1">
      <alignment horizontal="center" vertical="top"/>
    </xf>
    <xf numFmtId="164" fontId="42" fillId="7" borderId="0" xfId="0" applyNumberFormat="1" applyFont="1" applyFill="1" applyAlignment="1">
      <alignment horizontal="center"/>
    </xf>
    <xf numFmtId="0" fontId="27" fillId="7" borderId="0" xfId="0" applyFont="1" applyFill="1" applyAlignment="1">
      <alignment horizontal="center"/>
    </xf>
    <xf numFmtId="0" fontId="27" fillId="7" borderId="0" xfId="4" applyFont="1" applyFill="1" applyBorder="1" applyAlignment="1">
      <alignment horizontal="right" wrapText="1"/>
    </xf>
    <xf numFmtId="164" fontId="30" fillId="7" borderId="3" xfId="1" applyNumberFormat="1" applyFont="1" applyFill="1" applyBorder="1" applyAlignment="1">
      <alignment horizontal="center"/>
    </xf>
    <xf numFmtId="164" fontId="30" fillId="7" borderId="5" xfId="1" applyNumberFormat="1" applyFont="1" applyFill="1" applyBorder="1" applyAlignment="1">
      <alignment horizontal="center"/>
    </xf>
    <xf numFmtId="0" fontId="27" fillId="7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left" vertical="center" wrapText="1"/>
    </xf>
    <xf numFmtId="164" fontId="30" fillId="7" borderId="3" xfId="1" applyNumberFormat="1" applyFont="1" applyFill="1" applyBorder="1" applyAlignment="1"/>
    <xf numFmtId="164" fontId="30" fillId="7" borderId="5" xfId="1" applyNumberFormat="1" applyFont="1" applyFill="1" applyBorder="1" applyAlignment="1"/>
    <xf numFmtId="0" fontId="6" fillId="7" borderId="10" xfId="4" applyFont="1" applyFill="1" applyBorder="1" applyAlignment="1">
      <alignment horizontal="left" vertical="top"/>
    </xf>
    <xf numFmtId="164" fontId="27" fillId="7" borderId="6" xfId="0" applyNumberFormat="1" applyFont="1" applyFill="1" applyBorder="1" applyAlignment="1">
      <alignment horizontal="center"/>
    </xf>
    <xf numFmtId="0" fontId="27" fillId="7" borderId="6" xfId="0" applyFont="1" applyFill="1" applyBorder="1" applyAlignment="1">
      <alignment horizontal="center"/>
    </xf>
    <xf numFmtId="172" fontId="29" fillId="7" borderId="1" xfId="0" applyNumberFormat="1" applyFont="1" applyFill="1" applyBorder="1" applyAlignment="1">
      <alignment horizontal="center" wrapText="1"/>
    </xf>
    <xf numFmtId="0" fontId="27" fillId="7" borderId="1" xfId="0" applyFont="1" applyFill="1" applyBorder="1" applyAlignment="1">
      <alignment horizontal="right" wrapText="1"/>
    </xf>
    <xf numFmtId="2" fontId="5" fillId="7" borderId="1" xfId="0" applyNumberFormat="1" applyFont="1" applyFill="1" applyBorder="1" applyAlignment="1">
      <alignment horizontal="center" vertical="center" wrapText="1"/>
    </xf>
    <xf numFmtId="164" fontId="30" fillId="7" borderId="1" xfId="1" applyFont="1" applyFill="1" applyBorder="1" applyAlignment="1">
      <alignment horizontal="center" wrapText="1"/>
    </xf>
    <xf numFmtId="0" fontId="30" fillId="7" borderId="3" xfId="0" applyFont="1" applyFill="1" applyBorder="1" applyAlignment="1">
      <alignment horizontal="center"/>
    </xf>
    <xf numFmtId="0" fontId="30" fillId="7" borderId="5" xfId="0" applyFont="1" applyFill="1" applyBorder="1" applyAlignment="1">
      <alignment horizontal="center"/>
    </xf>
    <xf numFmtId="164" fontId="27" fillId="7" borderId="1" xfId="1" applyFont="1" applyFill="1" applyBorder="1" applyAlignment="1"/>
    <xf numFmtId="164" fontId="30" fillId="7" borderId="1" xfId="1" applyFont="1" applyFill="1" applyBorder="1" applyAlignment="1"/>
    <xf numFmtId="164" fontId="30" fillId="7" borderId="3" xfId="1" applyFont="1" applyFill="1" applyBorder="1" applyAlignment="1"/>
    <xf numFmtId="2" fontId="3" fillId="7" borderId="1" xfId="0" applyNumberFormat="1" applyFont="1" applyFill="1" applyBorder="1" applyAlignment="1">
      <alignment horizontal="center" wrapText="1"/>
    </xf>
    <xf numFmtId="4" fontId="5" fillId="7" borderId="1" xfId="0" applyNumberFormat="1" applyFont="1" applyFill="1" applyBorder="1" applyAlignment="1">
      <alignment horizontal="center" wrapText="1"/>
    </xf>
    <xf numFmtId="164" fontId="27" fillId="7" borderId="3" xfId="1" applyFont="1" applyFill="1" applyBorder="1" applyAlignment="1">
      <alignment horizontal="center" wrapText="1"/>
    </xf>
    <xf numFmtId="164" fontId="27" fillId="7" borderId="5" xfId="1" applyFont="1" applyFill="1" applyBorder="1" applyAlignment="1">
      <alignment horizontal="center" wrapText="1"/>
    </xf>
    <xf numFmtId="0" fontId="30" fillId="7" borderId="10" xfId="0" applyFont="1" applyFill="1" applyBorder="1" applyAlignment="1">
      <alignment horizontal="center" wrapText="1"/>
    </xf>
    <xf numFmtId="172" fontId="30" fillId="7" borderId="1" xfId="0" applyNumberFormat="1" applyFont="1" applyFill="1" applyBorder="1" applyAlignment="1">
      <alignment horizontal="center" wrapText="1"/>
    </xf>
    <xf numFmtId="172" fontId="27" fillId="7" borderId="7" xfId="1" applyNumberFormat="1" applyFont="1" applyFill="1" applyBorder="1" applyAlignment="1">
      <alignment horizontal="center" vertical="center" wrapText="1"/>
    </xf>
    <xf numFmtId="172" fontId="0" fillId="7" borderId="8" xfId="0" applyNumberFormat="1" applyFont="1" applyFill="1" applyBorder="1" applyAlignment="1">
      <alignment horizontal="center" vertical="center" wrapText="1"/>
    </xf>
    <xf numFmtId="0" fontId="27" fillId="7" borderId="9" xfId="0" applyFont="1" applyFill="1" applyBorder="1" applyAlignment="1">
      <alignment horizontal="center" wrapText="1"/>
    </xf>
    <xf numFmtId="0" fontId="27" fillId="7" borderId="11" xfId="0" applyFont="1" applyFill="1" applyBorder="1" applyAlignment="1">
      <alignment horizontal="center" wrapText="1"/>
    </xf>
    <xf numFmtId="172" fontId="27" fillId="7" borderId="7" xfId="1" applyNumberFormat="1" applyFont="1" applyFill="1" applyBorder="1" applyAlignment="1">
      <alignment horizontal="center"/>
    </xf>
    <xf numFmtId="172" fontId="27" fillId="7" borderId="8" xfId="1" applyNumberFormat="1" applyFont="1" applyFill="1" applyBorder="1" applyAlignment="1">
      <alignment horizontal="center"/>
    </xf>
    <xf numFmtId="0" fontId="27" fillId="7" borderId="3" xfId="0" applyFont="1" applyFill="1" applyBorder="1" applyAlignment="1">
      <alignment horizontal="center"/>
    </xf>
    <xf numFmtId="0" fontId="27" fillId="7" borderId="5" xfId="0" applyFont="1" applyFill="1" applyBorder="1" applyAlignment="1">
      <alignment horizontal="center"/>
    </xf>
    <xf numFmtId="164" fontId="30" fillId="7" borderId="1" xfId="0" applyNumberFormat="1" applyFont="1" applyFill="1" applyBorder="1" applyAlignment="1"/>
    <xf numFmtId="0" fontId="30" fillId="7" borderId="1" xfId="0" applyFont="1" applyFill="1" applyBorder="1" applyAlignment="1"/>
    <xf numFmtId="164" fontId="30" fillId="7" borderId="0" xfId="0" applyNumberFormat="1" applyFont="1" applyFill="1" applyAlignment="1">
      <alignment horizontal="right"/>
    </xf>
    <xf numFmtId="164" fontId="41" fillId="7" borderId="0" xfId="0" applyNumberFormat="1" applyFont="1" applyFill="1" applyAlignment="1">
      <alignment horizontal="center"/>
    </xf>
    <xf numFmtId="164" fontId="27" fillId="7" borderId="4" xfId="1" applyNumberFormat="1" applyFont="1" applyFill="1" applyBorder="1" applyAlignment="1"/>
    <xf numFmtId="4" fontId="30" fillId="7" borderId="1" xfId="0" applyNumberFormat="1" applyFont="1" applyFill="1" applyBorder="1" applyAlignment="1">
      <alignment horizontal="center" wrapText="1"/>
    </xf>
    <xf numFmtId="0" fontId="2" fillId="7" borderId="1" xfId="4" applyFont="1" applyFill="1" applyBorder="1" applyAlignment="1">
      <alignment horizontal="center" wrapText="1"/>
    </xf>
    <xf numFmtId="0" fontId="4" fillId="7" borderId="1" xfId="4" applyFont="1" applyFill="1" applyBorder="1" applyAlignment="1">
      <alignment horizontal="left" wrapText="1"/>
    </xf>
    <xf numFmtId="164" fontId="27" fillId="7" borderId="1" xfId="1" applyFont="1" applyFill="1" applyBorder="1" applyAlignment="1">
      <alignment horizontal="center"/>
    </xf>
    <xf numFmtId="164" fontId="27" fillId="7" borderId="3" xfId="1" applyFont="1" applyFill="1" applyBorder="1" applyAlignment="1">
      <alignment horizontal="center"/>
    </xf>
    <xf numFmtId="170" fontId="27" fillId="7" borderId="1" xfId="1" applyNumberFormat="1" applyFont="1" applyFill="1" applyBorder="1" applyAlignment="1">
      <alignment horizontal="right" vertical="center"/>
    </xf>
    <xf numFmtId="170" fontId="27" fillId="7" borderId="3" xfId="1" applyNumberFormat="1" applyFont="1" applyFill="1" applyBorder="1" applyAlignment="1">
      <alignment horizontal="right" vertical="center"/>
    </xf>
    <xf numFmtId="0" fontId="29" fillId="7" borderId="4" xfId="0" applyFont="1" applyFill="1" applyBorder="1" applyAlignment="1">
      <alignment horizontal="center"/>
    </xf>
    <xf numFmtId="164" fontId="27" fillId="7" borderId="4" xfId="1" applyFont="1" applyFill="1" applyBorder="1" applyAlignment="1">
      <alignment vertical="center"/>
    </xf>
    <xf numFmtId="164" fontId="27" fillId="7" borderId="5" xfId="1" applyFont="1" applyFill="1" applyBorder="1" applyAlignment="1">
      <alignment vertical="center"/>
    </xf>
    <xf numFmtId="170" fontId="30" fillId="7" borderId="1" xfId="1" applyNumberFormat="1" applyFont="1" applyFill="1" applyBorder="1" applyAlignment="1">
      <alignment horizontal="right" vertical="center"/>
    </xf>
    <xf numFmtId="0" fontId="29" fillId="7" borderId="4" xfId="0" applyFont="1" applyFill="1" applyBorder="1" applyAlignment="1">
      <alignment horizontal="center" wrapText="1"/>
    </xf>
    <xf numFmtId="164" fontId="29" fillId="7" borderId="4" xfId="1" applyFont="1" applyFill="1" applyBorder="1" applyAlignment="1"/>
    <xf numFmtId="164" fontId="29" fillId="7" borderId="5" xfId="1" applyFont="1" applyFill="1" applyBorder="1" applyAlignment="1"/>
    <xf numFmtId="0" fontId="4" fillId="7" borderId="7" xfId="0" applyFont="1" applyFill="1" applyBorder="1" applyAlignment="1">
      <alignment horizontal="left" wrapText="1"/>
    </xf>
    <xf numFmtId="0" fontId="4" fillId="7" borderId="8" xfId="0" applyFont="1" applyFill="1" applyBorder="1" applyAlignment="1">
      <alignment horizontal="left" wrapText="1"/>
    </xf>
    <xf numFmtId="0" fontId="28" fillId="7" borderId="7" xfId="0" applyFont="1" applyFill="1" applyBorder="1" applyAlignment="1">
      <alignment horizontal="left" wrapText="1"/>
    </xf>
    <xf numFmtId="0" fontId="28" fillId="7" borderId="8" xfId="0" applyFont="1" applyFill="1" applyBorder="1" applyAlignment="1">
      <alignment horizontal="left" wrapText="1"/>
    </xf>
    <xf numFmtId="0" fontId="30" fillId="7" borderId="1" xfId="0" applyFont="1" applyFill="1" applyBorder="1" applyAlignment="1">
      <alignment horizontal="left" vertical="top"/>
    </xf>
    <xf numFmtId="0" fontId="30" fillId="7" borderId="1" xfId="0" applyFont="1" applyFill="1" applyBorder="1" applyAlignment="1">
      <alignment vertical="top"/>
    </xf>
    <xf numFmtId="0" fontId="4" fillId="7" borderId="1" xfId="4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164" fontId="16" fillId="0" borderId="0" xfId="4" applyNumberFormat="1" applyFont="1" applyFill="1" applyBorder="1" applyAlignment="1">
      <alignment horizontal="center" vertical="top"/>
    </xf>
    <xf numFmtId="0" fontId="29" fillId="8" borderId="3" xfId="0" applyFont="1" applyFill="1" applyBorder="1" applyAlignment="1">
      <alignment horizontal="center" wrapText="1"/>
    </xf>
    <xf numFmtId="0" fontId="29" fillId="8" borderId="4" xfId="0" applyFont="1" applyFill="1" applyBorder="1" applyAlignment="1">
      <alignment horizontal="center" wrapText="1"/>
    </xf>
    <xf numFmtId="0" fontId="29" fillId="8" borderId="5" xfId="0" applyFont="1" applyFill="1" applyBorder="1" applyAlignment="1">
      <alignment horizontal="center" wrapText="1"/>
    </xf>
    <xf numFmtId="0" fontId="28" fillId="0" borderId="3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0" fontId="28" fillId="0" borderId="5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right" wrapText="1"/>
    </xf>
    <xf numFmtId="164" fontId="27" fillId="7" borderId="5" xfId="1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164" fontId="30" fillId="0" borderId="1" xfId="0" applyNumberFormat="1" applyFont="1" applyBorder="1" applyAlignment="1">
      <alignment horizontal="center" wrapText="1"/>
    </xf>
    <xf numFmtId="164" fontId="27" fillId="0" borderId="4" xfId="1" applyFont="1" applyBorder="1" applyAlignment="1"/>
    <xf numFmtId="164" fontId="27" fillId="0" borderId="5" xfId="1" applyFont="1" applyBorder="1" applyAlignment="1"/>
    <xf numFmtId="0" fontId="27" fillId="0" borderId="3" xfId="0" applyFont="1" applyBorder="1" applyAlignment="1">
      <alignment horizontal="right" wrapText="1"/>
    </xf>
    <xf numFmtId="0" fontId="27" fillId="0" borderId="4" xfId="0" applyFont="1" applyBorder="1" applyAlignment="1">
      <alignment horizontal="right" wrapText="1"/>
    </xf>
    <xf numFmtId="0" fontId="27" fillId="0" borderId="5" xfId="0" applyFont="1" applyBorder="1" applyAlignment="1">
      <alignment horizontal="right" wrapText="1"/>
    </xf>
    <xf numFmtId="4" fontId="27" fillId="0" borderId="1" xfId="0" applyNumberFormat="1" applyFont="1" applyBorder="1" applyAlignment="1">
      <alignment horizontal="center" wrapText="1"/>
    </xf>
    <xf numFmtId="164" fontId="27" fillId="0" borderId="4" xfId="1" applyFont="1" applyFill="1" applyBorder="1" applyAlignment="1"/>
    <xf numFmtId="164" fontId="27" fillId="0" borderId="5" xfId="1" applyFont="1" applyFill="1" applyBorder="1" applyAlignment="1"/>
    <xf numFmtId="0" fontId="31" fillId="0" borderId="1" xfId="0" applyFont="1" applyBorder="1" applyAlignment="1">
      <alignment horizontal="center" vertical="top" wrapText="1"/>
    </xf>
    <xf numFmtId="0" fontId="43" fillId="0" borderId="0" xfId="4" applyFont="1" applyFill="1" applyBorder="1" applyAlignment="1">
      <alignment horizontal="right" vertical="top"/>
    </xf>
    <xf numFmtId="0" fontId="29" fillId="8" borderId="3" xfId="0" applyFont="1" applyFill="1" applyBorder="1" applyAlignment="1">
      <alignment horizontal="center" vertical="top" wrapText="1"/>
    </xf>
    <xf numFmtId="0" fontId="29" fillId="8" borderId="4" xfId="0" applyFont="1" applyFill="1" applyBorder="1" applyAlignment="1">
      <alignment horizontal="center" vertical="top" wrapText="1"/>
    </xf>
    <xf numFmtId="0" fontId="29" fillId="8" borderId="5" xfId="0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center" wrapText="1"/>
    </xf>
    <xf numFmtId="0" fontId="27" fillId="0" borderId="5" xfId="0" applyFont="1" applyBorder="1" applyAlignment="1">
      <alignment horizontal="center" wrapText="1"/>
    </xf>
    <xf numFmtId="172" fontId="29" fillId="8" borderId="3" xfId="0" applyNumberFormat="1" applyFont="1" applyFill="1" applyBorder="1" applyAlignment="1">
      <alignment horizontal="center" vertical="top" wrapText="1"/>
    </xf>
    <xf numFmtId="172" fontId="29" fillId="8" borderId="4" xfId="0" applyNumberFormat="1" applyFont="1" applyFill="1" applyBorder="1" applyAlignment="1">
      <alignment horizontal="center" vertical="top" wrapText="1"/>
    </xf>
    <xf numFmtId="172" fontId="29" fillId="8" borderId="5" xfId="0" applyNumberFormat="1" applyFont="1" applyFill="1" applyBorder="1" applyAlignment="1">
      <alignment horizontal="center" vertical="top" wrapText="1"/>
    </xf>
    <xf numFmtId="170" fontId="27" fillId="7" borderId="3" xfId="1" applyNumberFormat="1" applyFont="1" applyFill="1" applyBorder="1" applyAlignment="1">
      <alignment horizontal="center"/>
    </xf>
    <xf numFmtId="170" fontId="27" fillId="7" borderId="5" xfId="1" applyNumberFormat="1" applyFont="1" applyFill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27" fillId="2" borderId="3" xfId="0" applyFont="1" applyFill="1" applyBorder="1" applyAlignment="1">
      <alignment horizontal="left" wrapText="1"/>
    </xf>
    <xf numFmtId="0" fontId="27" fillId="2" borderId="4" xfId="0" applyFont="1" applyFill="1" applyBorder="1" applyAlignment="1">
      <alignment horizontal="left" wrapText="1"/>
    </xf>
    <xf numFmtId="0" fontId="27" fillId="2" borderId="5" xfId="0" applyFont="1" applyFill="1" applyBorder="1" applyAlignment="1">
      <alignment horizontal="left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170" fontId="27" fillId="2" borderId="3" xfId="1" applyNumberFormat="1" applyFont="1" applyFill="1" applyBorder="1" applyAlignment="1">
      <alignment horizontal="right" vertical="center"/>
    </xf>
    <xf numFmtId="170" fontId="27" fillId="2" borderId="5" xfId="1" applyNumberFormat="1" applyFont="1" applyFill="1" applyBorder="1" applyAlignment="1">
      <alignment horizontal="right" vertical="center"/>
    </xf>
    <xf numFmtId="0" fontId="28" fillId="0" borderId="3" xfId="0" applyFont="1" applyBorder="1" applyAlignment="1">
      <alignment horizontal="center" wrapText="1"/>
    </xf>
    <xf numFmtId="0" fontId="28" fillId="0" borderId="5" xfId="0" applyFont="1" applyBorder="1" applyAlignment="1">
      <alignment horizontal="center" wrapText="1"/>
    </xf>
    <xf numFmtId="172" fontId="28" fillId="7" borderId="3" xfId="0" applyNumberFormat="1" applyFont="1" applyFill="1" applyBorder="1" applyAlignment="1">
      <alignment horizontal="center" wrapText="1"/>
    </xf>
    <xf numFmtId="172" fontId="28" fillId="7" borderId="5" xfId="0" applyNumberFormat="1" applyFont="1" applyFill="1" applyBorder="1" applyAlignment="1">
      <alignment horizontal="center" wrapText="1"/>
    </xf>
    <xf numFmtId="0" fontId="30" fillId="8" borderId="3" xfId="0" applyFont="1" applyFill="1" applyBorder="1" applyAlignment="1">
      <alignment horizontal="center" wrapText="1"/>
    </xf>
    <xf numFmtId="0" fontId="30" fillId="8" borderId="4" xfId="0" applyFont="1" applyFill="1" applyBorder="1" applyAlignment="1">
      <alignment horizontal="center" wrapText="1"/>
    </xf>
    <xf numFmtId="0" fontId="30" fillId="8" borderId="5" xfId="0" applyFont="1" applyFill="1" applyBorder="1" applyAlignment="1">
      <alignment horizontal="center" wrapText="1"/>
    </xf>
    <xf numFmtId="0" fontId="31" fillId="0" borderId="3" xfId="0" applyFont="1" applyBorder="1" applyAlignment="1">
      <alignment horizontal="center" vertical="top" wrapText="1"/>
    </xf>
    <xf numFmtId="0" fontId="31" fillId="0" borderId="5" xfId="0" applyFont="1" applyBorder="1" applyAlignment="1">
      <alignment horizontal="center" vertical="top" wrapText="1"/>
    </xf>
    <xf numFmtId="0" fontId="28" fillId="7" borderId="3" xfId="0" applyFont="1" applyFill="1" applyBorder="1" applyAlignment="1">
      <alignment horizontal="center" wrapText="1"/>
    </xf>
    <xf numFmtId="0" fontId="28" fillId="7" borderId="5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left" wrapText="1"/>
    </xf>
    <xf numFmtId="170" fontId="28" fillId="7" borderId="3" xfId="1" applyNumberFormat="1" applyFont="1" applyFill="1" applyBorder="1" applyAlignment="1">
      <alignment horizontal="center"/>
    </xf>
    <xf numFmtId="170" fontId="28" fillId="7" borderId="5" xfId="1" applyNumberFormat="1" applyFont="1" applyFill="1" applyBorder="1" applyAlignment="1">
      <alignment horizontal="center"/>
    </xf>
    <xf numFmtId="174" fontId="28" fillId="0" borderId="3" xfId="0" applyNumberFormat="1" applyFont="1" applyBorder="1" applyAlignment="1">
      <alignment horizontal="center" wrapText="1"/>
    </xf>
    <xf numFmtId="174" fontId="28" fillId="0" borderId="5" xfId="0" applyNumberFormat="1" applyFont="1" applyBorder="1" applyAlignment="1">
      <alignment horizontal="center" wrapText="1"/>
    </xf>
    <xf numFmtId="0" fontId="37" fillId="8" borderId="3" xfId="0" applyFont="1" applyFill="1" applyBorder="1" applyAlignment="1">
      <alignment horizontal="center" vertical="center" wrapText="1"/>
    </xf>
    <xf numFmtId="0" fontId="37" fillId="8" borderId="4" xfId="0" applyFont="1" applyFill="1" applyBorder="1" applyAlignment="1">
      <alignment horizontal="center" vertical="center" wrapText="1"/>
    </xf>
    <xf numFmtId="0" fontId="37" fillId="8" borderId="5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wrapText="1"/>
    </xf>
    <xf numFmtId="0" fontId="16" fillId="0" borderId="0" xfId="4" applyFont="1" applyFill="1" applyAlignment="1">
      <alignment horizontal="left"/>
    </xf>
    <xf numFmtId="2" fontId="28" fillId="0" borderId="3" xfId="0" applyNumberFormat="1" applyFont="1" applyBorder="1" applyAlignment="1">
      <alignment horizontal="center" vertical="top" wrapText="1"/>
    </xf>
    <xf numFmtId="2" fontId="28" fillId="0" borderId="5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64" fontId="27" fillId="0" borderId="1" xfId="1" applyFont="1" applyBorder="1" applyAlignment="1">
      <alignment wrapText="1"/>
    </xf>
    <xf numFmtId="0" fontId="0" fillId="0" borderId="4" xfId="0" applyBorder="1" applyAlignment="1">
      <alignment horizontal="center" wrapText="1"/>
    </xf>
    <xf numFmtId="0" fontId="28" fillId="0" borderId="3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2" fontId="28" fillId="0" borderId="3" xfId="0" applyNumberFormat="1" applyFont="1" applyBorder="1" applyAlignment="1">
      <alignment horizontal="center" wrapText="1"/>
    </xf>
    <xf numFmtId="2" fontId="28" fillId="0" borderId="5" xfId="0" applyNumberFormat="1" applyFont="1" applyBorder="1" applyAlignment="1">
      <alignment horizontal="center" wrapText="1"/>
    </xf>
    <xf numFmtId="164" fontId="27" fillId="0" borderId="0" xfId="0" applyNumberFormat="1" applyFont="1" applyAlignment="1">
      <alignment horizontal="center"/>
    </xf>
    <xf numFmtId="0" fontId="29" fillId="0" borderId="1" xfId="0" applyFont="1" applyBorder="1" applyAlignment="1">
      <alignment horizontal="right" wrapText="1"/>
    </xf>
    <xf numFmtId="0" fontId="29" fillId="0" borderId="3" xfId="0" applyFont="1" applyBorder="1" applyAlignment="1">
      <alignment horizontal="center" wrapText="1"/>
    </xf>
    <xf numFmtId="0" fontId="29" fillId="0" borderId="5" xfId="0" applyFont="1" applyBorder="1" applyAlignment="1">
      <alignment horizontal="center" wrapText="1"/>
    </xf>
    <xf numFmtId="164" fontId="30" fillId="0" borderId="1" xfId="0" applyNumberFormat="1" applyFont="1" applyBorder="1" applyAlignment="1"/>
    <xf numFmtId="0" fontId="30" fillId="0" borderId="1" xfId="0" applyFont="1" applyBorder="1" applyAlignment="1"/>
    <xf numFmtId="0" fontId="19" fillId="0" borderId="0" xfId="4" applyFont="1" applyFill="1" applyAlignment="1">
      <alignment horizontal="left"/>
    </xf>
    <xf numFmtId="0" fontId="43" fillId="0" borderId="0" xfId="4" applyFont="1" applyFill="1" applyBorder="1" applyAlignment="1">
      <alignment horizontal="center" vertical="top"/>
    </xf>
    <xf numFmtId="0" fontId="16" fillId="0" borderId="0" xfId="4" applyFont="1" applyFill="1" applyBorder="1" applyAlignment="1">
      <alignment horizontal="center" vertical="top"/>
    </xf>
    <xf numFmtId="164" fontId="30" fillId="0" borderId="0" xfId="0" applyNumberFormat="1" applyFont="1" applyAlignment="1">
      <alignment horizontal="right"/>
    </xf>
    <xf numFmtId="0" fontId="29" fillId="0" borderId="4" xfId="0" applyFont="1" applyBorder="1" applyAlignment="1">
      <alignment horizontal="center" wrapText="1"/>
    </xf>
    <xf numFmtId="0" fontId="31" fillId="0" borderId="7" xfId="0" applyFont="1" applyBorder="1" applyAlignment="1">
      <alignment horizontal="center" vertical="top" wrapText="1"/>
    </xf>
    <xf numFmtId="0" fontId="31" fillId="0" borderId="8" xfId="0" applyFont="1" applyBorder="1" applyAlignment="1">
      <alignment horizontal="center" vertical="top" wrapText="1"/>
    </xf>
    <xf numFmtId="0" fontId="31" fillId="0" borderId="9" xfId="0" applyFont="1" applyBorder="1" applyAlignment="1">
      <alignment horizontal="center" vertical="top" wrapText="1"/>
    </xf>
    <xf numFmtId="0" fontId="31" fillId="0" borderId="10" xfId="0" applyFont="1" applyBorder="1" applyAlignment="1">
      <alignment horizontal="center" vertical="top" wrapText="1"/>
    </xf>
    <xf numFmtId="0" fontId="31" fillId="0" borderId="11" xfId="0" applyFont="1" applyBorder="1" applyAlignment="1">
      <alignment horizontal="center" vertical="top" wrapText="1"/>
    </xf>
    <xf numFmtId="0" fontId="31" fillId="0" borderId="12" xfId="0" applyFont="1" applyBorder="1" applyAlignment="1">
      <alignment horizontal="center" vertical="top" wrapText="1"/>
    </xf>
    <xf numFmtId="0" fontId="31" fillId="0" borderId="6" xfId="0" applyFont="1" applyBorder="1" applyAlignment="1">
      <alignment horizontal="center" vertical="top" wrapText="1"/>
    </xf>
    <xf numFmtId="0" fontId="31" fillId="0" borderId="13" xfId="0" applyFont="1" applyBorder="1" applyAlignment="1">
      <alignment horizontal="center" vertical="top" wrapText="1"/>
    </xf>
    <xf numFmtId="164" fontId="30" fillId="0" borderId="4" xfId="1" applyFont="1" applyBorder="1" applyAlignment="1"/>
    <xf numFmtId="164" fontId="30" fillId="0" borderId="5" xfId="1" applyFont="1" applyBorder="1" applyAlignment="1"/>
    <xf numFmtId="0" fontId="29" fillId="9" borderId="4" xfId="0" applyFont="1" applyFill="1" applyBorder="1" applyAlignment="1">
      <alignment horizontal="center"/>
    </xf>
    <xf numFmtId="164" fontId="27" fillId="0" borderId="1" xfId="0" applyNumberFormat="1" applyFont="1" applyBorder="1" applyAlignment="1">
      <alignment horizontal="center" wrapText="1"/>
    </xf>
    <xf numFmtId="0" fontId="29" fillId="9" borderId="6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 wrapText="1"/>
    </xf>
    <xf numFmtId="0" fontId="27" fillId="2" borderId="5" xfId="0" applyFont="1" applyFill="1" applyBorder="1" applyAlignment="1">
      <alignment horizontal="center" wrapText="1"/>
    </xf>
    <xf numFmtId="164" fontId="27" fillId="2" borderId="4" xfId="1" applyFont="1" applyFill="1" applyBorder="1" applyAlignment="1"/>
    <xf numFmtId="164" fontId="27" fillId="2" borderId="5" xfId="1" applyFont="1" applyFill="1" applyBorder="1" applyAlignment="1"/>
    <xf numFmtId="0" fontId="27" fillId="0" borderId="1" xfId="0" applyFont="1" applyBorder="1" applyAlignment="1">
      <alignment horizontal="right" wrapText="1"/>
    </xf>
    <xf numFmtId="4" fontId="27" fillId="0" borderId="3" xfId="0" applyNumberFormat="1" applyFont="1" applyBorder="1" applyAlignment="1">
      <alignment horizontal="center" wrapText="1"/>
    </xf>
    <xf numFmtId="4" fontId="27" fillId="0" borderId="5" xfId="0" applyNumberFormat="1" applyFont="1" applyBorder="1" applyAlignment="1">
      <alignment horizontal="center" wrapText="1"/>
    </xf>
    <xf numFmtId="164" fontId="27" fillId="0" borderId="3" xfId="1" applyFont="1" applyBorder="1" applyAlignment="1">
      <alignment horizontal="center"/>
    </xf>
    <xf numFmtId="164" fontId="27" fillId="0" borderId="5" xfId="1" applyFont="1" applyBorder="1" applyAlignment="1">
      <alignment horizontal="center"/>
    </xf>
    <xf numFmtId="0" fontId="29" fillId="6" borderId="6" xfId="0" applyFont="1" applyFill="1" applyBorder="1" applyAlignment="1">
      <alignment horizontal="center"/>
    </xf>
    <xf numFmtId="0" fontId="27" fillId="0" borderId="3" xfId="0" applyFont="1" applyBorder="1" applyAlignment="1">
      <alignment horizontal="left" wrapText="1"/>
    </xf>
    <xf numFmtId="0" fontId="27" fillId="0" borderId="4" xfId="0" applyFont="1" applyBorder="1" applyAlignment="1">
      <alignment horizontal="left" wrapText="1"/>
    </xf>
    <xf numFmtId="0" fontId="27" fillId="0" borderId="5" xfId="0" applyFont="1" applyBorder="1" applyAlignment="1">
      <alignment horizontal="left" wrapText="1"/>
    </xf>
    <xf numFmtId="0" fontId="29" fillId="0" borderId="10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172" fontId="30" fillId="0" borderId="1" xfId="0" applyNumberFormat="1" applyFont="1" applyBorder="1" applyAlignment="1">
      <alignment horizontal="center" wrapText="1"/>
    </xf>
    <xf numFmtId="164" fontId="27" fillId="0" borderId="3" xfId="1" applyFont="1" applyFill="1" applyBorder="1" applyAlignment="1"/>
    <xf numFmtId="0" fontId="40" fillId="7" borderId="3" xfId="0" applyFont="1" applyFill="1" applyBorder="1" applyAlignment="1">
      <alignment horizontal="left" wrapText="1"/>
    </xf>
    <xf numFmtId="0" fontId="40" fillId="7" borderId="4" xfId="0" applyFont="1" applyFill="1" applyBorder="1" applyAlignment="1">
      <alignment horizontal="left" wrapText="1"/>
    </xf>
    <xf numFmtId="0" fontId="40" fillId="7" borderId="5" xfId="0" applyFont="1" applyFill="1" applyBorder="1" applyAlignment="1">
      <alignment horizontal="left" wrapText="1"/>
    </xf>
    <xf numFmtId="164" fontId="28" fillId="0" borderId="3" xfId="1" applyFont="1" applyFill="1" applyBorder="1" applyAlignment="1"/>
    <xf numFmtId="164" fontId="28" fillId="0" borderId="5" xfId="1" applyFont="1" applyFill="1" applyBorder="1" applyAlignment="1"/>
    <xf numFmtId="0" fontId="31" fillId="0" borderId="4" xfId="0" applyFont="1" applyBorder="1" applyAlignment="1">
      <alignment horizontal="center" vertical="top" wrapText="1"/>
    </xf>
    <xf numFmtId="164" fontId="27" fillId="2" borderId="3" xfId="1" applyFont="1" applyFill="1" applyBorder="1" applyAlignment="1"/>
    <xf numFmtId="0" fontId="27" fillId="0" borderId="4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9" fillId="0" borderId="6" xfId="0" applyFont="1" applyBorder="1" applyAlignment="1">
      <alignment horizontal="center"/>
    </xf>
    <xf numFmtId="0" fontId="28" fillId="0" borderId="3" xfId="0" applyFont="1" applyBorder="1" applyAlignment="1">
      <alignment horizontal="left" wrapText="1"/>
    </xf>
    <xf numFmtId="0" fontId="28" fillId="0" borderId="4" xfId="0" applyFont="1" applyBorder="1" applyAlignment="1">
      <alignment horizontal="left" wrapText="1"/>
    </xf>
    <xf numFmtId="0" fontId="28" fillId="0" borderId="5" xfId="0" applyFont="1" applyBorder="1" applyAlignment="1">
      <alignment horizontal="left" wrapText="1"/>
    </xf>
    <xf numFmtId="0" fontId="29" fillId="0" borderId="0" xfId="0" applyFont="1" applyAlignment="1">
      <alignment horizontal="center"/>
    </xf>
    <xf numFmtId="0" fontId="27" fillId="5" borderId="1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164" fontId="27" fillId="0" borderId="1" xfId="1" applyNumberFormat="1" applyFont="1" applyBorder="1" applyAlignment="1">
      <alignment horizontal="center" wrapText="1"/>
    </xf>
    <xf numFmtId="4" fontId="27" fillId="2" borderId="3" xfId="0" applyNumberFormat="1" applyFont="1" applyFill="1" applyBorder="1" applyAlignment="1">
      <alignment horizontal="center" wrapText="1"/>
    </xf>
    <xf numFmtId="4" fontId="27" fillId="2" borderId="5" xfId="0" applyNumberFormat="1" applyFont="1" applyFill="1" applyBorder="1" applyAlignment="1">
      <alignment horizontal="center" wrapText="1"/>
    </xf>
    <xf numFmtId="164" fontId="27" fillId="2" borderId="1" xfId="0" applyNumberFormat="1" applyFont="1" applyFill="1" applyBorder="1" applyAlignment="1">
      <alignment horizontal="center" wrapText="1"/>
    </xf>
    <xf numFmtId="0" fontId="27" fillId="0" borderId="3" xfId="0" applyFont="1" applyBorder="1" applyAlignment="1">
      <alignment horizontal="left" vertical="top" wrapText="1"/>
    </xf>
    <xf numFmtId="0" fontId="27" fillId="0" borderId="4" xfId="0" applyFont="1" applyBorder="1" applyAlignment="1">
      <alignment horizontal="left" vertical="top" wrapText="1"/>
    </xf>
    <xf numFmtId="0" fontId="27" fillId="0" borderId="5" xfId="0" applyFont="1" applyBorder="1" applyAlignment="1">
      <alignment horizontal="left" vertical="top" wrapText="1"/>
    </xf>
    <xf numFmtId="172" fontId="27" fillId="0" borderId="1" xfId="0" applyNumberFormat="1" applyFont="1" applyBorder="1" applyAlignment="1">
      <alignment horizontal="center" wrapText="1"/>
    </xf>
    <xf numFmtId="3" fontId="27" fillId="0" borderId="1" xfId="0" applyNumberFormat="1" applyFont="1" applyBorder="1" applyAlignment="1">
      <alignment horizontal="center" wrapText="1"/>
    </xf>
    <xf numFmtId="164" fontId="27" fillId="0" borderId="1" xfId="1" applyFont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4" fontId="27" fillId="2" borderId="1" xfId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164" fontId="27" fillId="0" borderId="1" xfId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2" fontId="27" fillId="0" borderId="3" xfId="0" applyNumberFormat="1" applyFont="1" applyBorder="1" applyAlignment="1">
      <alignment horizontal="center" wrapText="1"/>
    </xf>
    <xf numFmtId="2" fontId="27" fillId="0" borderId="5" xfId="0" applyNumberFormat="1" applyFont="1" applyBorder="1" applyAlignment="1">
      <alignment horizontal="center" wrapText="1"/>
    </xf>
    <xf numFmtId="0" fontId="32" fillId="0" borderId="10" xfId="0" applyNumberFormat="1" applyFont="1" applyBorder="1" applyAlignment="1">
      <alignment horizontal="center" vertical="top" wrapText="1"/>
    </xf>
    <xf numFmtId="172" fontId="27" fillId="0" borderId="3" xfId="0" applyNumberFormat="1" applyFont="1" applyBorder="1" applyAlignment="1">
      <alignment horizontal="center" wrapText="1"/>
    </xf>
    <xf numFmtId="172" fontId="27" fillId="0" borderId="5" xfId="0" applyNumberFormat="1" applyFont="1" applyBorder="1" applyAlignment="1">
      <alignment horizontal="center" wrapText="1"/>
    </xf>
    <xf numFmtId="0" fontId="29" fillId="0" borderId="0" xfId="0" applyFont="1" applyAlignment="1">
      <alignment horizontal="center" wrapText="1"/>
    </xf>
    <xf numFmtId="0" fontId="30" fillId="0" borderId="3" xfId="0" applyFont="1" applyBorder="1" applyAlignment="1">
      <alignment horizontal="center" wrapText="1"/>
    </xf>
    <xf numFmtId="0" fontId="30" fillId="0" borderId="5" xfId="0" applyFont="1" applyBorder="1" applyAlignment="1">
      <alignment horizontal="center" wrapText="1"/>
    </xf>
    <xf numFmtId="172" fontId="30" fillId="0" borderId="3" xfId="0" applyNumberFormat="1" applyFont="1" applyBorder="1" applyAlignment="1">
      <alignment horizontal="center" wrapText="1"/>
    </xf>
    <xf numFmtId="172" fontId="30" fillId="0" borderId="5" xfId="0" applyNumberFormat="1" applyFont="1" applyBorder="1" applyAlignment="1">
      <alignment horizontal="center" wrapText="1"/>
    </xf>
    <xf numFmtId="172" fontId="0" fillId="0" borderId="5" xfId="0" applyNumberFormat="1" applyBorder="1" applyAlignment="1">
      <alignment horizontal="center" wrapText="1"/>
    </xf>
    <xf numFmtId="0" fontId="30" fillId="0" borderId="3" xfId="0" applyFont="1" applyBorder="1" applyAlignment="1">
      <alignment horizontal="right" wrapText="1"/>
    </xf>
    <xf numFmtId="0" fontId="30" fillId="0" borderId="4" xfId="0" applyFont="1" applyBorder="1" applyAlignment="1">
      <alignment horizontal="right" wrapText="1"/>
    </xf>
    <xf numFmtId="0" fontId="30" fillId="0" borderId="5" xfId="0" applyFont="1" applyBorder="1" applyAlignment="1">
      <alignment horizontal="right" wrapText="1"/>
    </xf>
    <xf numFmtId="0" fontId="27" fillId="2" borderId="3" xfId="0" applyFont="1" applyFill="1" applyBorder="1" applyAlignment="1">
      <alignment wrapText="1"/>
    </xf>
    <xf numFmtId="0" fontId="27" fillId="2" borderId="4" xfId="0" applyFont="1" applyFill="1" applyBorder="1" applyAlignment="1">
      <alignment wrapText="1"/>
    </xf>
    <xf numFmtId="0" fontId="27" fillId="2" borderId="5" xfId="0" applyFont="1" applyFill="1" applyBorder="1" applyAlignment="1">
      <alignment wrapText="1"/>
    </xf>
    <xf numFmtId="164" fontId="27" fillId="2" borderId="3" xfId="0" applyNumberFormat="1" applyFont="1" applyFill="1" applyBorder="1" applyAlignment="1"/>
    <xf numFmtId="164" fontId="27" fillId="2" borderId="5" xfId="0" applyNumberFormat="1" applyFont="1" applyFill="1" applyBorder="1" applyAlignment="1"/>
    <xf numFmtId="0" fontId="27" fillId="0" borderId="3" xfId="0" applyFont="1" applyBorder="1" applyAlignment="1"/>
    <xf numFmtId="0" fontId="27" fillId="0" borderId="5" xfId="0" applyFont="1" applyBorder="1" applyAlignment="1"/>
    <xf numFmtId="164" fontId="27" fillId="0" borderId="3" xfId="0" applyNumberFormat="1" applyFont="1" applyBorder="1" applyAlignment="1"/>
    <xf numFmtId="164" fontId="27" fillId="0" borderId="5" xfId="0" applyNumberFormat="1" applyFont="1" applyBorder="1" applyAlignment="1"/>
    <xf numFmtId="169" fontId="27" fillId="0" borderId="3" xfId="1" applyNumberFormat="1" applyFont="1" applyBorder="1" applyAlignment="1"/>
    <xf numFmtId="169" fontId="27" fillId="0" borderId="5" xfId="1" applyNumberFormat="1" applyFont="1" applyBorder="1" applyAlignment="1"/>
    <xf numFmtId="0" fontId="27" fillId="0" borderId="3" xfId="0" applyFont="1" applyBorder="1" applyAlignment="1">
      <alignment horizontal="justify" wrapText="1"/>
    </xf>
    <xf numFmtId="0" fontId="27" fillId="0" borderId="4" xfId="0" applyFont="1" applyBorder="1" applyAlignment="1">
      <alignment horizontal="justify" wrapText="1"/>
    </xf>
    <xf numFmtId="0" fontId="27" fillId="0" borderId="5" xfId="0" applyFont="1" applyBorder="1" applyAlignment="1">
      <alignment horizontal="justify" wrapText="1"/>
    </xf>
    <xf numFmtId="0" fontId="27" fillId="0" borderId="3" xfId="0" applyFont="1" applyBorder="1" applyAlignment="1">
      <alignment wrapText="1"/>
    </xf>
    <xf numFmtId="0" fontId="27" fillId="0" borderId="4" xfId="0" applyFont="1" applyBorder="1" applyAlignment="1">
      <alignment wrapText="1"/>
    </xf>
    <xf numFmtId="0" fontId="27" fillId="0" borderId="5" xfId="0" applyFont="1" applyBorder="1" applyAlignment="1">
      <alignment wrapText="1"/>
    </xf>
    <xf numFmtId="0" fontId="31" fillId="0" borderId="3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169" fontId="27" fillId="0" borderId="1" xfId="1" applyNumberFormat="1" applyFont="1" applyBorder="1" applyAlignment="1"/>
    <xf numFmtId="164" fontId="27" fillId="0" borderId="1" xfId="0" applyNumberFormat="1" applyFont="1" applyBorder="1" applyAlignment="1"/>
    <xf numFmtId="0" fontId="27" fillId="0" borderId="1" xfId="0" applyFont="1" applyBorder="1" applyAlignment="1"/>
    <xf numFmtId="0" fontId="27" fillId="0" borderId="1" xfId="0" applyFont="1" applyBorder="1" applyAlignment="1">
      <alignment wrapText="1"/>
    </xf>
    <xf numFmtId="0" fontId="29" fillId="0" borderId="6" xfId="0" applyFont="1" applyBorder="1" applyAlignment="1">
      <alignment horizontal="center" wrapText="1"/>
    </xf>
    <xf numFmtId="0" fontId="31" fillId="0" borderId="1" xfId="0" applyFont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right" wrapText="1"/>
    </xf>
    <xf numFmtId="0" fontId="30" fillId="8" borderId="1" xfId="0" applyFont="1" applyFill="1" applyBorder="1" applyAlignment="1">
      <alignment horizontal="center" wrapText="1"/>
    </xf>
    <xf numFmtId="2" fontId="30" fillId="8" borderId="1" xfId="0" applyNumberFormat="1" applyFont="1" applyFill="1" applyBorder="1" applyAlignment="1">
      <alignment horizont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164" fontId="27" fillId="0" borderId="3" xfId="1" applyFont="1" applyBorder="1" applyAlignment="1">
      <alignment horizontal="center" wrapText="1"/>
    </xf>
    <xf numFmtId="164" fontId="27" fillId="0" borderId="5" xfId="1" applyFont="1" applyBorder="1" applyAlignment="1">
      <alignment horizontal="center" wrapText="1"/>
    </xf>
    <xf numFmtId="167" fontId="27" fillId="0" borderId="1" xfId="0" applyNumberFormat="1" applyFont="1" applyBorder="1" applyAlignment="1">
      <alignment horizontal="center" wrapText="1"/>
    </xf>
    <xf numFmtId="0" fontId="2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3" fontId="27" fillId="0" borderId="1" xfId="0" applyNumberFormat="1" applyFont="1" applyBorder="1" applyAlignment="1">
      <alignment horizontal="center" wrapText="1"/>
    </xf>
    <xf numFmtId="164" fontId="30" fillId="0" borderId="3" xfId="1" applyNumberFormat="1" applyFont="1" applyBorder="1" applyAlignment="1"/>
    <xf numFmtId="164" fontId="30" fillId="0" borderId="5" xfId="1" applyNumberFormat="1" applyFont="1" applyBorder="1" applyAlignment="1"/>
    <xf numFmtId="0" fontId="30" fillId="4" borderId="1" xfId="0" applyFont="1" applyFill="1" applyBorder="1" applyAlignment="1">
      <alignment horizontal="center" wrapText="1"/>
    </xf>
    <xf numFmtId="164" fontId="30" fillId="4" borderId="1" xfId="1" applyNumberFormat="1" applyFont="1" applyFill="1" applyBorder="1" applyAlignment="1"/>
    <xf numFmtId="169" fontId="27" fillId="2" borderId="3" xfId="1" applyNumberFormat="1" applyFont="1" applyFill="1" applyBorder="1" applyAlignment="1"/>
    <xf numFmtId="169" fontId="27" fillId="2" borderId="5" xfId="1" applyNumberFormat="1" applyFont="1" applyFill="1" applyBorder="1" applyAlignment="1"/>
    <xf numFmtId="0" fontId="30" fillId="4" borderId="1" xfId="0" applyFont="1" applyFill="1" applyBorder="1" applyAlignment="1">
      <alignment horizontal="right" wrapText="1"/>
    </xf>
    <xf numFmtId="0" fontId="27" fillId="2" borderId="1" xfId="0" applyFont="1" applyFill="1" applyBorder="1" applyAlignment="1">
      <alignment wrapText="1"/>
    </xf>
    <xf numFmtId="0" fontId="31" fillId="0" borderId="4" xfId="0" applyFont="1" applyBorder="1" applyAlignment="1">
      <alignment horizontal="center" vertical="center" wrapText="1"/>
    </xf>
    <xf numFmtId="164" fontId="30" fillId="0" borderId="1" xfId="1" applyNumberFormat="1" applyFont="1" applyBorder="1" applyAlignment="1"/>
    <xf numFmtId="169" fontId="27" fillId="2" borderId="1" xfId="1" applyNumberFormat="1" applyFont="1" applyFill="1" applyBorder="1" applyAlignment="1"/>
    <xf numFmtId="164" fontId="27" fillId="2" borderId="1" xfId="0" applyNumberFormat="1" applyFont="1" applyFill="1" applyBorder="1" applyAlignment="1"/>
    <xf numFmtId="0" fontId="27" fillId="2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justify" wrapText="1"/>
    </xf>
    <xf numFmtId="0" fontId="33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right" vertical="top" wrapText="1"/>
    </xf>
    <xf numFmtId="0" fontId="26" fillId="0" borderId="3" xfId="0" applyFont="1" applyBorder="1" applyAlignment="1">
      <alignment horizontal="center" wrapText="1"/>
    </xf>
    <xf numFmtId="0" fontId="26" fillId="0" borderId="5" xfId="0" applyFont="1" applyBorder="1" applyAlignment="1">
      <alignment horizontal="center" wrapText="1"/>
    </xf>
    <xf numFmtId="0" fontId="26" fillId="0" borderId="1" xfId="0" applyFont="1" applyBorder="1" applyAlignment="1">
      <alignment horizontal="right" wrapText="1"/>
    </xf>
    <xf numFmtId="0" fontId="26" fillId="0" borderId="1" xfId="0" applyFont="1" applyBorder="1" applyAlignment="1">
      <alignment horizontal="center" wrapText="1"/>
    </xf>
    <xf numFmtId="164" fontId="27" fillId="0" borderId="3" xfId="1" applyFont="1" applyFill="1" applyBorder="1" applyAlignment="1">
      <alignment horizontal="right"/>
    </xf>
    <xf numFmtId="164" fontId="27" fillId="0" borderId="5" xfId="1" applyFont="1" applyFill="1" applyBorder="1" applyAlignment="1">
      <alignment horizontal="right"/>
    </xf>
    <xf numFmtId="164" fontId="35" fillId="0" borderId="1" xfId="0" applyNumberFormat="1" applyFont="1" applyBorder="1" applyAlignment="1">
      <alignment horizontal="center" wrapText="1"/>
    </xf>
    <xf numFmtId="0" fontId="33" fillId="0" borderId="3" xfId="0" applyFont="1" applyBorder="1" applyAlignment="1">
      <alignment horizontal="center" vertical="top" wrapText="1"/>
    </xf>
    <xf numFmtId="0" fontId="33" fillId="0" borderId="5" xfId="0" applyFont="1" applyBorder="1" applyAlignment="1">
      <alignment horizontal="center" vertical="top" wrapText="1"/>
    </xf>
    <xf numFmtId="0" fontId="27" fillId="0" borderId="3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164" fontId="35" fillId="0" borderId="1" xfId="1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26" fillId="0" borderId="12" xfId="0" applyFont="1" applyFill="1" applyBorder="1" applyAlignment="1">
      <alignment horizontal="left" wrapText="1"/>
    </xf>
    <xf numFmtId="0" fontId="26" fillId="0" borderId="6" xfId="0" applyFont="1" applyFill="1" applyBorder="1" applyAlignment="1">
      <alignment horizontal="left" wrapText="1"/>
    </xf>
    <xf numFmtId="0" fontId="26" fillId="0" borderId="13" xfId="0" applyFont="1" applyFill="1" applyBorder="1" applyAlignment="1">
      <alignment horizontal="left" wrapText="1"/>
    </xf>
    <xf numFmtId="3" fontId="27" fillId="0" borderId="8" xfId="0" applyNumberFormat="1" applyFont="1" applyFill="1" applyBorder="1" applyAlignment="1">
      <alignment horizontal="center" wrapText="1"/>
    </xf>
    <xf numFmtId="164" fontId="26" fillId="0" borderId="8" xfId="1" applyNumberFormat="1" applyFont="1" applyFill="1" applyBorder="1" applyAlignment="1">
      <alignment wrapText="1"/>
    </xf>
    <xf numFmtId="0" fontId="30" fillId="2" borderId="3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3" fontId="28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0" fillId="9" borderId="3" xfId="0" applyFont="1" applyFill="1" applyBorder="1" applyAlignment="1">
      <alignment horizontal="center" wrapText="1"/>
    </xf>
    <xf numFmtId="0" fontId="0" fillId="9" borderId="4" xfId="0" applyFill="1" applyBorder="1" applyAlignment="1">
      <alignment wrapText="1"/>
    </xf>
    <xf numFmtId="0" fontId="0" fillId="9" borderId="5" xfId="0" applyFill="1" applyBorder="1" applyAlignment="1">
      <alignment wrapText="1"/>
    </xf>
    <xf numFmtId="2" fontId="0" fillId="0" borderId="4" xfId="0" applyNumberFormat="1" applyBorder="1" applyAlignment="1">
      <alignment horizontal="right" wrapText="1"/>
    </xf>
    <xf numFmtId="2" fontId="0" fillId="0" borderId="5" xfId="0" applyNumberFormat="1" applyBorder="1" applyAlignment="1">
      <alignment horizontal="right" wrapText="1"/>
    </xf>
    <xf numFmtId="0" fontId="33" fillId="0" borderId="1" xfId="0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wrapText="1"/>
    </xf>
    <xf numFmtId="0" fontId="27" fillId="6" borderId="3" xfId="0" applyFont="1" applyFill="1" applyBorder="1" applyAlignment="1">
      <alignment horizontal="center" vertical="top" wrapText="1"/>
    </xf>
    <xf numFmtId="0" fontId="27" fillId="6" borderId="5" xfId="0" applyFont="1" applyFill="1" applyBorder="1" applyAlignment="1">
      <alignment horizontal="center" vertical="top" wrapText="1"/>
    </xf>
    <xf numFmtId="0" fontId="27" fillId="6" borderId="4" xfId="0" applyFont="1" applyFill="1" applyBorder="1" applyAlignment="1">
      <alignment horizontal="center" vertical="top" wrapText="1"/>
    </xf>
    <xf numFmtId="164" fontId="26" fillId="0" borderId="7" xfId="0" applyNumberFormat="1" applyFont="1" applyFill="1" applyBorder="1" applyAlignment="1">
      <alignment horizontal="center" wrapText="1"/>
    </xf>
    <xf numFmtId="0" fontId="30" fillId="6" borderId="3" xfId="0" applyFont="1" applyFill="1" applyBorder="1" applyAlignment="1">
      <alignment horizontal="center" vertical="top" wrapText="1"/>
    </xf>
    <xf numFmtId="0" fontId="30" fillId="6" borderId="4" xfId="0" applyFont="1" applyFill="1" applyBorder="1" applyAlignment="1">
      <alignment horizontal="center" vertical="top" wrapText="1"/>
    </xf>
    <xf numFmtId="0" fontId="30" fillId="6" borderId="5" xfId="0" applyFont="1" applyFill="1" applyBorder="1" applyAlignment="1">
      <alignment horizontal="center" vertical="top" wrapText="1"/>
    </xf>
    <xf numFmtId="0" fontId="29" fillId="0" borderId="0" xfId="0" applyFont="1" applyAlignment="1">
      <alignment horizontal="center" vertical="center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vertical="top" wrapText="1"/>
    </xf>
    <xf numFmtId="0" fontId="30" fillId="0" borderId="3" xfId="0" applyFont="1" applyBorder="1" applyAlignment="1">
      <alignment horizontal="left" vertical="top" wrapText="1"/>
    </xf>
    <xf numFmtId="0" fontId="30" fillId="0" borderId="4" xfId="0" applyFont="1" applyBorder="1" applyAlignment="1">
      <alignment horizontal="left" vertical="top" wrapText="1"/>
    </xf>
    <xf numFmtId="0" fontId="30" fillId="0" borderId="5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vertical="top" wrapText="1"/>
    </xf>
    <xf numFmtId="0" fontId="27" fillId="0" borderId="9" xfId="0" applyFont="1" applyBorder="1" applyAlignment="1">
      <alignment horizontal="center" wrapText="1"/>
    </xf>
    <xf numFmtId="0" fontId="27" fillId="0" borderId="11" xfId="0" applyFont="1" applyBorder="1" applyAlignment="1">
      <alignment horizontal="center" wrapText="1"/>
    </xf>
    <xf numFmtId="170" fontId="27" fillId="7" borderId="3" xfId="1" applyNumberFormat="1" applyFont="1" applyFill="1" applyBorder="1" applyAlignment="1">
      <alignment horizontal="right"/>
    </xf>
    <xf numFmtId="170" fontId="27" fillId="7" borderId="5" xfId="1" applyNumberFormat="1" applyFont="1" applyFill="1" applyBorder="1" applyAlignment="1">
      <alignment horizontal="right"/>
    </xf>
    <xf numFmtId="0" fontId="27" fillId="0" borderId="1" xfId="0" applyFont="1" applyBorder="1" applyAlignment="1">
      <alignment horizontal="left" vertical="top"/>
    </xf>
    <xf numFmtId="0" fontId="27" fillId="0" borderId="1" xfId="0" applyFont="1" applyBorder="1" applyAlignment="1">
      <alignment vertical="top"/>
    </xf>
    <xf numFmtId="0" fontId="30" fillId="3" borderId="1" xfId="0" applyFont="1" applyFill="1" applyBorder="1" applyAlignment="1">
      <alignment horizontal="right" vertical="top" wrapText="1"/>
    </xf>
    <xf numFmtId="0" fontId="30" fillId="3" borderId="3" xfId="0" applyFont="1" applyFill="1" applyBorder="1" applyAlignment="1">
      <alignment horizontal="left" vertical="top" wrapText="1"/>
    </xf>
    <xf numFmtId="0" fontId="30" fillId="3" borderId="4" xfId="0" applyFont="1" applyFill="1" applyBorder="1" applyAlignment="1">
      <alignment horizontal="left" vertical="top" wrapText="1"/>
    </xf>
    <xf numFmtId="0" fontId="30" fillId="3" borderId="5" xfId="0" applyFont="1" applyFill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/>
    </xf>
    <xf numFmtId="0" fontId="27" fillId="0" borderId="4" xfId="0" applyFont="1" applyBorder="1" applyAlignment="1">
      <alignment horizontal="left" vertical="top"/>
    </xf>
    <xf numFmtId="0" fontId="27" fillId="0" borderId="5" xfId="0" applyFont="1" applyBorder="1" applyAlignment="1">
      <alignment horizontal="left" vertical="top"/>
    </xf>
    <xf numFmtId="0" fontId="29" fillId="0" borderId="3" xfId="0" applyFont="1" applyBorder="1" applyAlignment="1">
      <alignment horizontal="center" vertical="top"/>
    </xf>
    <xf numFmtId="0" fontId="29" fillId="0" borderId="4" xfId="0" applyFont="1" applyBorder="1" applyAlignment="1">
      <alignment horizontal="center" vertical="top"/>
    </xf>
    <xf numFmtId="0" fontId="29" fillId="0" borderId="5" xfId="0" applyFont="1" applyBorder="1" applyAlignment="1">
      <alignment horizontal="center" vertical="top"/>
    </xf>
    <xf numFmtId="0" fontId="30" fillId="3" borderId="3" xfId="0" applyFont="1" applyFill="1" applyBorder="1" applyAlignment="1">
      <alignment horizontal="right" vertical="top" wrapText="1"/>
    </xf>
    <xf numFmtId="0" fontId="30" fillId="3" borderId="5" xfId="0" applyFont="1" applyFill="1" applyBorder="1" applyAlignment="1">
      <alignment horizontal="right" vertical="top" wrapText="1"/>
    </xf>
    <xf numFmtId="0" fontId="30" fillId="3" borderId="3" xfId="0" applyFont="1" applyFill="1" applyBorder="1" applyAlignment="1">
      <alignment horizontal="center" vertical="top" wrapText="1"/>
    </xf>
    <xf numFmtId="0" fontId="30" fillId="3" borderId="4" xfId="0" applyFont="1" applyFill="1" applyBorder="1" applyAlignment="1">
      <alignment horizontal="center" vertical="top" wrapText="1"/>
    </xf>
    <xf numFmtId="164" fontId="28" fillId="0" borderId="3" xfId="1" applyFont="1" applyFill="1" applyBorder="1" applyAlignment="1">
      <alignment horizontal="center" vertical="center"/>
    </xf>
    <xf numFmtId="164" fontId="28" fillId="0" borderId="5" xfId="1" applyFont="1" applyFill="1" applyBorder="1" applyAlignment="1">
      <alignment horizontal="center" vertical="center"/>
    </xf>
    <xf numFmtId="164" fontId="27" fillId="0" borderId="4" xfId="1" applyFont="1" applyFill="1" applyBorder="1" applyAlignment="1">
      <alignment vertical="center"/>
    </xf>
    <xf numFmtId="164" fontId="27" fillId="0" borderId="5" xfId="1" applyFont="1" applyFill="1" applyBorder="1" applyAlignment="1">
      <alignment vertical="center"/>
    </xf>
    <xf numFmtId="0" fontId="26" fillId="0" borderId="0" xfId="4" applyFont="1" applyFill="1" applyBorder="1" applyAlignment="1">
      <alignment horizontal="right" wrapText="1"/>
    </xf>
    <xf numFmtId="0" fontId="23" fillId="0" borderId="0" xfId="4" applyFont="1" applyFill="1" applyBorder="1" applyAlignment="1">
      <alignment horizontal="center" vertical="top"/>
    </xf>
    <xf numFmtId="0" fontId="23" fillId="0" borderId="0" xfId="4" applyFont="1" applyFill="1" applyBorder="1" applyAlignment="1">
      <alignment horizontal="left" vertical="top"/>
    </xf>
    <xf numFmtId="4" fontId="27" fillId="2" borderId="1" xfId="0" applyNumberFormat="1" applyFont="1" applyFill="1" applyBorder="1" applyAlignment="1">
      <alignment horizontal="center" wrapText="1"/>
    </xf>
    <xf numFmtId="0" fontId="29" fillId="6" borderId="4" xfId="0" applyFont="1" applyFill="1" applyBorder="1" applyAlignment="1">
      <alignment horizontal="center"/>
    </xf>
    <xf numFmtId="2" fontId="30" fillId="0" borderId="1" xfId="0" applyNumberFormat="1" applyFont="1" applyBorder="1" applyAlignment="1">
      <alignment horizontal="center" wrapText="1"/>
    </xf>
    <xf numFmtId="170" fontId="27" fillId="2" borderId="3" xfId="1" applyNumberFormat="1" applyFont="1" applyFill="1" applyBorder="1" applyAlignment="1">
      <alignment horizontal="center" vertical="center"/>
    </xf>
    <xf numFmtId="170" fontId="27" fillId="2" borderId="5" xfId="1" applyNumberFormat="1" applyFont="1" applyFill="1" applyBorder="1" applyAlignment="1">
      <alignment horizontal="center" vertical="center"/>
    </xf>
    <xf numFmtId="0" fontId="28" fillId="7" borderId="4" xfId="0" applyFont="1" applyFill="1" applyBorder="1" applyAlignment="1">
      <alignment horizontal="center" wrapText="1"/>
    </xf>
    <xf numFmtId="164" fontId="27" fillId="0" borderId="3" xfId="1" applyFont="1" applyFill="1" applyBorder="1" applyAlignment="1">
      <alignment horizontal="center" vertical="center"/>
    </xf>
    <xf numFmtId="164" fontId="27" fillId="0" borderId="5" xfId="1" applyFont="1" applyFill="1" applyBorder="1" applyAlignment="1">
      <alignment horizontal="center" vertical="center"/>
    </xf>
    <xf numFmtId="0" fontId="0" fillId="7" borderId="4" xfId="0" applyFill="1" applyBorder="1" applyAlignment="1">
      <alignment horizontal="left" wrapText="1"/>
    </xf>
    <xf numFmtId="0" fontId="0" fillId="7" borderId="5" xfId="0" applyFill="1" applyBorder="1" applyAlignment="1">
      <alignment horizontal="left" wrapText="1"/>
    </xf>
    <xf numFmtId="0" fontId="27" fillId="0" borderId="7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7" borderId="12" xfId="0" applyFill="1" applyBorder="1" applyAlignment="1">
      <alignment horizontal="left" wrapText="1"/>
    </xf>
    <xf numFmtId="0" fontId="0" fillId="7" borderId="6" xfId="0" applyFill="1" applyBorder="1" applyAlignment="1">
      <alignment horizontal="left" wrapText="1"/>
    </xf>
    <xf numFmtId="0" fontId="0" fillId="7" borderId="13" xfId="0" applyFill="1" applyBorder="1" applyAlignment="1">
      <alignment horizontal="left" wrapText="1"/>
    </xf>
    <xf numFmtId="164" fontId="27" fillId="2" borderId="3" xfId="0" applyNumberFormat="1" applyFont="1" applyFill="1" applyBorder="1" applyAlignment="1">
      <alignment horizontal="center" wrapText="1"/>
    </xf>
    <xf numFmtId="164" fontId="27" fillId="2" borderId="5" xfId="0" applyNumberFormat="1" applyFont="1" applyFill="1" applyBorder="1" applyAlignment="1">
      <alignment horizontal="center" wrapText="1"/>
    </xf>
    <xf numFmtId="3" fontId="26" fillId="0" borderId="1" xfId="0" applyNumberFormat="1" applyFont="1" applyFill="1" applyBorder="1" applyAlignment="1">
      <alignment horizontal="center" wrapText="1"/>
    </xf>
    <xf numFmtId="164" fontId="26" fillId="0" borderId="1" xfId="1" applyNumberFormat="1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left" wrapText="1"/>
    </xf>
    <xf numFmtId="0" fontId="26" fillId="0" borderId="4" xfId="0" applyFont="1" applyFill="1" applyBorder="1" applyAlignment="1">
      <alignment horizontal="left" wrapText="1"/>
    </xf>
    <xf numFmtId="0" fontId="26" fillId="0" borderId="5" xfId="0" applyFont="1" applyFill="1" applyBorder="1" applyAlignment="1">
      <alignment horizontal="left" wrapText="1"/>
    </xf>
    <xf numFmtId="3" fontId="27" fillId="0" borderId="3" xfId="0" applyNumberFormat="1" applyFont="1" applyBorder="1" applyAlignment="1">
      <alignment horizontal="center" wrapText="1"/>
    </xf>
    <xf numFmtId="3" fontId="27" fillId="0" borderId="5" xfId="0" applyNumberFormat="1" applyFont="1" applyBorder="1" applyAlignment="1">
      <alignment horizontal="center" wrapText="1"/>
    </xf>
    <xf numFmtId="0" fontId="26" fillId="0" borderId="3" xfId="0" applyFont="1" applyBorder="1" applyAlignment="1">
      <alignment horizontal="left" wrapText="1"/>
    </xf>
    <xf numFmtId="0" fontId="26" fillId="0" borderId="4" xfId="0" applyFont="1" applyBorder="1" applyAlignment="1">
      <alignment horizontal="left" wrapText="1"/>
    </xf>
    <xf numFmtId="0" fontId="26" fillId="0" borderId="5" xfId="0" applyFont="1" applyBorder="1" applyAlignment="1">
      <alignment horizontal="left" wrapText="1"/>
    </xf>
    <xf numFmtId="164" fontId="26" fillId="0" borderId="1" xfId="1" applyNumberFormat="1" applyFont="1" applyBorder="1" applyAlignment="1">
      <alignment horizontal="center" wrapText="1"/>
    </xf>
    <xf numFmtId="0" fontId="30" fillId="0" borderId="4" xfId="0" applyFont="1" applyBorder="1" applyAlignment="1">
      <alignment vertical="top" wrapText="1"/>
    </xf>
    <xf numFmtId="0" fontId="30" fillId="0" borderId="5" xfId="0" applyFont="1" applyBorder="1" applyAlignment="1">
      <alignment vertical="top" wrapText="1"/>
    </xf>
    <xf numFmtId="164" fontId="27" fillId="0" borderId="1" xfId="1" applyFont="1" applyFill="1" applyBorder="1" applyAlignment="1">
      <alignment horizontal="center"/>
    </xf>
    <xf numFmtId="172" fontId="66" fillId="7" borderId="3" xfId="0" applyNumberFormat="1" applyFont="1" applyFill="1" applyBorder="1" applyAlignment="1">
      <alignment horizontal="right" vertical="center" wrapText="1"/>
    </xf>
    <xf numFmtId="172" fontId="29" fillId="7" borderId="3" xfId="0" applyNumberFormat="1" applyFont="1" applyFill="1" applyBorder="1" applyAlignment="1">
      <alignment horizontal="center" wrapText="1"/>
    </xf>
    <xf numFmtId="172" fontId="29" fillId="7" borderId="5" xfId="0" applyNumberFormat="1" applyFont="1" applyFill="1" applyBorder="1" applyAlignment="1">
      <alignment horizontal="center" wrapText="1"/>
    </xf>
    <xf numFmtId="164" fontId="28" fillId="7" borderId="3" xfId="1" applyNumberFormat="1" applyFont="1" applyFill="1" applyBorder="1" applyAlignment="1">
      <alignment horizontal="right" vertical="center" wrapText="1"/>
    </xf>
    <xf numFmtId="164" fontId="28" fillId="7" borderId="5" xfId="1" applyNumberFormat="1" applyFont="1" applyFill="1" applyBorder="1" applyAlignment="1">
      <alignment horizontal="right" vertical="center" wrapText="1"/>
    </xf>
    <xf numFmtId="172" fontId="0" fillId="7" borderId="3" xfId="0" applyNumberFormat="1" applyFont="1" applyFill="1" applyBorder="1" applyAlignment="1">
      <alignment horizontal="center" wrapText="1"/>
    </xf>
    <xf numFmtId="172" fontId="0" fillId="7" borderId="5" xfId="0" applyNumberFormat="1" applyFont="1" applyFill="1" applyBorder="1" applyAlignment="1">
      <alignment horizontal="center" wrapText="1"/>
    </xf>
    <xf numFmtId="0" fontId="30" fillId="7" borderId="3" xfId="0" applyFont="1" applyFill="1" applyBorder="1" applyAlignment="1">
      <alignment horizontal="right" vertical="top" wrapText="1"/>
    </xf>
    <xf numFmtId="0" fontId="30" fillId="7" borderId="5" xfId="0" applyFont="1" applyFill="1" applyBorder="1" applyAlignment="1">
      <alignment horizontal="right" vertical="top" wrapText="1"/>
    </xf>
    <xf numFmtId="0" fontId="27" fillId="7" borderId="14" xfId="0" applyFont="1" applyFill="1" applyBorder="1" applyAlignment="1">
      <alignment horizontal="center" vertical="center" wrapText="1"/>
    </xf>
    <xf numFmtId="0" fontId="30" fillId="7" borderId="3" xfId="0" applyFont="1" applyFill="1" applyBorder="1" applyAlignment="1">
      <alignment horizontal="center" vertical="top"/>
    </xf>
    <xf numFmtId="0" fontId="30" fillId="7" borderId="4" xfId="0" applyFont="1" applyFill="1" applyBorder="1" applyAlignment="1">
      <alignment horizontal="center" vertical="top"/>
    </xf>
    <xf numFmtId="0" fontId="30" fillId="7" borderId="5" xfId="0" applyFont="1" applyFill="1" applyBorder="1" applyAlignment="1">
      <alignment horizontal="center" vertical="top"/>
    </xf>
    <xf numFmtId="2" fontId="27" fillId="7" borderId="3" xfId="0" applyNumberFormat="1" applyFont="1" applyFill="1" applyBorder="1" applyAlignment="1">
      <alignment horizontal="center" wrapText="1"/>
    </xf>
    <xf numFmtId="2" fontId="27" fillId="7" borderId="5" xfId="0" applyNumberFormat="1" applyFont="1" applyFill="1" applyBorder="1" applyAlignment="1">
      <alignment horizontal="center" wrapText="1"/>
    </xf>
    <xf numFmtId="164" fontId="27" fillId="7" borderId="3" xfId="0" applyNumberFormat="1" applyFont="1" applyFill="1" applyBorder="1" applyAlignment="1">
      <alignment horizontal="center" wrapText="1"/>
    </xf>
    <xf numFmtId="164" fontId="27" fillId="7" borderId="5" xfId="0" applyNumberFormat="1" applyFont="1" applyFill="1" applyBorder="1" applyAlignment="1">
      <alignment horizontal="center" wrapText="1"/>
    </xf>
    <xf numFmtId="164" fontId="27" fillId="7" borderId="7" xfId="1" applyFont="1" applyFill="1" applyBorder="1" applyAlignment="1">
      <alignment horizontal="center" vertical="center" wrapText="1"/>
    </xf>
    <xf numFmtId="164" fontId="27" fillId="7" borderId="7" xfId="1" applyFont="1" applyFill="1" applyBorder="1" applyAlignment="1">
      <alignment horizontal="center"/>
    </xf>
    <xf numFmtId="164" fontId="27" fillId="7" borderId="8" xfId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164" fontId="3" fillId="0" borderId="4" xfId="1" applyFont="1" applyBorder="1" applyAlignment="1"/>
    <xf numFmtId="164" fontId="3" fillId="0" borderId="5" xfId="1" applyFont="1" applyBorder="1" applyAlignment="1"/>
    <xf numFmtId="0" fontId="3" fillId="0" borderId="1" xfId="0" applyFont="1" applyBorder="1" applyAlignment="1"/>
    <xf numFmtId="164" fontId="5" fillId="0" borderId="1" xfId="1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164" fontId="3" fillId="0" borderId="1" xfId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164" fontId="3" fillId="2" borderId="4" xfId="1" applyFont="1" applyFill="1" applyBorder="1" applyAlignment="1"/>
    <xf numFmtId="164" fontId="3" fillId="2" borderId="5" xfId="1" applyFont="1" applyFill="1" applyBorder="1" applyAlignment="1"/>
    <xf numFmtId="0" fontId="3" fillId="0" borderId="3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64" fontId="5" fillId="0" borderId="1" xfId="0" applyNumberFormat="1" applyFont="1" applyBorder="1" applyAlignment="1"/>
    <xf numFmtId="0" fontId="5" fillId="0" borderId="1" xfId="0" applyFont="1" applyBorder="1" applyAlignment="1"/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9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164" fontId="6" fillId="0" borderId="0" xfId="1" applyNumberFormat="1" applyFont="1" applyAlignment="1">
      <alignment horizontal="center" vertical="top"/>
    </xf>
    <xf numFmtId="0" fontId="3" fillId="0" borderId="1" xfId="0" applyFont="1" applyFill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166" fontId="3" fillId="0" borderId="1" xfId="0" applyNumberFormat="1" applyFont="1" applyBorder="1" applyAlignment="1">
      <alignment horizontal="center" wrapText="1"/>
    </xf>
    <xf numFmtId="164" fontId="5" fillId="0" borderId="1" xfId="1" applyFont="1" applyBorder="1" applyAlignment="1"/>
    <xf numFmtId="0" fontId="6" fillId="0" borderId="0" xfId="0" applyNumberFormat="1" applyFont="1" applyAlignment="1">
      <alignment horizontal="center" vertical="top"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/>
    <xf numFmtId="0" fontId="3" fillId="2" borderId="1" xfId="0" applyFont="1" applyFill="1" applyBorder="1" applyAlignment="1">
      <alignment wrapText="1"/>
    </xf>
    <xf numFmtId="169" fontId="3" fillId="2" borderId="1" xfId="1" applyNumberFormat="1" applyFont="1" applyFill="1" applyBorder="1" applyAlignment="1"/>
    <xf numFmtId="164" fontId="3" fillId="2" borderId="1" xfId="0" applyNumberFormat="1" applyFont="1" applyFill="1" applyBorder="1" applyAlignment="1"/>
    <xf numFmtId="169" fontId="3" fillId="0" borderId="1" xfId="1" applyNumberFormat="1" applyFont="1" applyBorder="1" applyAlignment="1"/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wrapText="1"/>
    </xf>
    <xf numFmtId="164" fontId="3" fillId="2" borderId="1" xfId="1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0">
    <cellStyle name="Обычный" xfId="0" builtinId="0"/>
    <cellStyle name="Обычный 2" xfId="4"/>
    <cellStyle name="Обычный 3" xfId="6"/>
    <cellStyle name="Обычный_1. Штатное + тарификация на 01.09.2011" xfId="3"/>
    <cellStyle name="Процентный" xfId="2" builtinId="5"/>
    <cellStyle name="Процентный 2" xfId="7"/>
    <cellStyle name="Финансовый" xfId="1" builtinId="3"/>
    <cellStyle name="Финансовый 2" xfId="5"/>
    <cellStyle name="Финансовый 3" xfId="8"/>
    <cellStyle name="Финансовый 3 2" xfId="9"/>
  </cellStyles>
  <dxfs count="0"/>
  <tableStyles count="0" defaultTableStyle="TableStyleMedium9" defaultPivotStyle="PivotStyleLight16"/>
  <colors>
    <mruColors>
      <color rgb="FFFF66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01/Desktop/&#1040;&#1042;&#1043;&#1059;&#1057;&#1058;%202022/&#1087;&#1092;&#1093;&#1076;%2022/05.12.2022/05.12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01/Desktop/24.12.2021%20&#1075;&#1086;&#1076;/&#1073;&#1102;&#1076;&#1078;&#1077;&#1090;%20&#1084;&#1077;&#1089;&#1090;&#1085;&#1099;&#1081;%20&#1085;&#1072;%202022/&#1073;&#1102;&#1076;&#1078;&#1077;&#1090;%20&#1085;&#1086;&#1103;&#1073;&#1088;&#1100;%2021/&#1087;&#1080;&#1089;&#1100;&#1084;&#1086;%20&#1089;%20&#1091;&#1086;/&#1086;&#1073;&#1088;&#1072;&#1079;&#1077;&#1094;%20&#1055;&#1060;&#1061;&#1044;%20&#1085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лист"/>
      <sheetName val="Раздел 1"/>
      <sheetName val="Раздел 2"/>
      <sheetName val="пояснение"/>
      <sheetName val="расш МЗ 2022"/>
      <sheetName val="иные  2022"/>
      <sheetName val="ППД 2022"/>
      <sheetName val="расш МЗ 2023"/>
      <sheetName val="иные 2023"/>
      <sheetName val="ППД 2023"/>
      <sheetName val="МЗ 2024"/>
      <sheetName val="иные 2024"/>
      <sheetName val="ППД 2024"/>
      <sheetName val="МЗ 2017 (3)"/>
    </sheetNames>
    <sheetDataSet>
      <sheetData sheetId="0">
        <row r="8">
          <cell r="A8" t="str">
            <v>"05   "декабря  2022 г.</v>
          </cell>
        </row>
      </sheetData>
      <sheetData sheetId="1">
        <row r="78">
          <cell r="E78">
            <v>33898170.600000001</v>
          </cell>
          <cell r="F78">
            <v>34084940</v>
          </cell>
          <cell r="G78">
            <v>35092660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Раздел 1"/>
      <sheetName val="Раздел 2"/>
      <sheetName val="МЗ 2017 (3)"/>
    </sheetNames>
    <sheetDataSet>
      <sheetData sheetId="0">
        <row r="8">
          <cell r="A8" t="str">
            <v>"00"     декабря   2021 г.</v>
          </cell>
        </row>
      </sheetData>
      <sheetData sheetId="1">
        <row r="78">
          <cell r="E78">
            <v>0</v>
          </cell>
          <cell r="F78">
            <v>0</v>
          </cell>
          <cell r="G78">
            <v>0</v>
          </cell>
        </row>
      </sheetData>
      <sheetData sheetId="2">
        <row r="6">
          <cell r="G6">
            <v>0</v>
          </cell>
          <cell r="H6">
            <v>0</v>
          </cell>
          <cell r="I6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=27B9299060B2EBE5EA3756DDAFB3F19A107080DD5F92214C9BE3AED76819C889372256AD84852DB0F78B91B3A7H5LDJ" TargetMode="External"/><Relationship Id="rId3" Type="http://schemas.openxmlformats.org/officeDocument/2006/relationships/hyperlink" Target="consultantplus://offline/ref=27B9299060B2EBE5EA3756DDAFB3F19A107184DA5999214C9BE3AED76819C88925220EA3848235BAA2C4D7E6AB55A617ACF07EC3765FH7LCJ" TargetMode="External"/><Relationship Id="rId7" Type="http://schemas.openxmlformats.org/officeDocument/2006/relationships/hyperlink" Target="consultantplus://offline/ref=27B9299060B2EBE5EA3756DDAFB3F19A107184D9539E214C9BE3AED76819C889372256AD84852DB0F78B91B3A7H5LDJ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7B9299060B2EBE5EA3756DDAFB3F19A107184D9539E214C9BE3AED76819C889372256AD84852DB0F78B91B3A7H5LDJ" TargetMode="External"/><Relationship Id="rId1" Type="http://schemas.openxmlformats.org/officeDocument/2006/relationships/hyperlink" Target="consultantplus://offline/ref=27B9299060B2EBE5EA3756DDAFB3F19A107080DD5F92214C9BE3AED76819C889372256AD84852DB0F78B91B3A7H5LDJ" TargetMode="External"/><Relationship Id="rId6" Type="http://schemas.openxmlformats.org/officeDocument/2006/relationships/hyperlink" Target="consultantplus://offline/ref=27B9299060B2EBE5EA3756DDAFB3F19A107080DD5F92214C9BE3AED76819C889372256AD84852DB0F78B91B3A7H5LDJ" TargetMode="External"/><Relationship Id="rId11" Type="http://schemas.openxmlformats.org/officeDocument/2006/relationships/hyperlink" Target="consultantplus://offline/ref=27B9299060B2EBE5EA3756DDAFB3F19A107184D9539E214C9BE3AED76819C889372256AD84852DB0F78B91B3A7H5LDJ" TargetMode="External"/><Relationship Id="rId5" Type="http://schemas.openxmlformats.org/officeDocument/2006/relationships/hyperlink" Target="consultantplus://offline/ref=27B9299060B2EBE5EA3756DDAFB3F19A107184D9539E214C9BE3AED76819C889372256AD84852DB0F78B91B3A7H5LDJ" TargetMode="External"/><Relationship Id="rId10" Type="http://schemas.openxmlformats.org/officeDocument/2006/relationships/hyperlink" Target="consultantplus://offline/ref=27B9299060B2EBE5EA3756DDAFB3F19A107080DD5F92214C9BE3AED76819C889372256AD84852DB0F78B91B3A7H5LDJ" TargetMode="External"/><Relationship Id="rId4" Type="http://schemas.openxmlformats.org/officeDocument/2006/relationships/hyperlink" Target="consultantplus://offline/ref=27B9299060B2EBE5EA3756DDAFB3F19A107080DD5F92214C9BE3AED76819C889372256AD84852DB0F78B91B3A7H5LDJ" TargetMode="External"/><Relationship Id="rId9" Type="http://schemas.openxmlformats.org/officeDocument/2006/relationships/hyperlink" Target="consultantplus://offline/ref=27B9299060B2EBE5EA3756DDAFB3F19A107184D9539E214C9BE3AED76819C889372256AD84852DB0F78B91B3A7H5LDJ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view="pageBreakPreview" zoomScaleSheetLayoutView="100" workbookViewId="0">
      <selection activeCell="I21" sqref="I21"/>
    </sheetView>
  </sheetViews>
  <sheetFormatPr defaultColWidth="9.109375" defaultRowHeight="13.8" x14ac:dyDescent="0.3"/>
  <cols>
    <col min="1" max="10" width="8" style="298" customWidth="1"/>
    <col min="11" max="11" width="8" style="45" customWidth="1"/>
    <col min="12" max="12" width="7.33203125" style="45" customWidth="1"/>
    <col min="13" max="13" width="3" style="45" customWidth="1"/>
    <col min="14" max="14" width="14.88671875" style="45" customWidth="1"/>
    <col min="15" max="16384" width="9.109375" style="45"/>
  </cols>
  <sheetData>
    <row r="1" spans="1:15" ht="14.4" x14ac:dyDescent="0.3">
      <c r="A1" s="297" t="s">
        <v>658</v>
      </c>
      <c r="F1" s="46"/>
      <c r="G1" s="46"/>
      <c r="H1" s="46"/>
      <c r="I1" s="46"/>
      <c r="J1" s="754" t="s">
        <v>659</v>
      </c>
      <c r="K1" s="754"/>
      <c r="L1" s="754"/>
      <c r="M1" s="754"/>
      <c r="N1" s="754"/>
      <c r="O1" s="302"/>
    </row>
    <row r="2" spans="1:15" ht="34.5" customHeight="1" x14ac:dyDescent="0.3">
      <c r="A2" s="757" t="s">
        <v>1003</v>
      </c>
      <c r="B2" s="757"/>
      <c r="C2" s="757"/>
      <c r="D2" s="757"/>
      <c r="E2" s="757"/>
      <c r="F2" s="62"/>
      <c r="G2" s="62"/>
      <c r="H2" s="62"/>
      <c r="I2" s="62"/>
      <c r="J2" s="757" t="s">
        <v>1004</v>
      </c>
      <c r="K2" s="757"/>
      <c r="L2" s="757"/>
      <c r="M2" s="757"/>
      <c r="N2" s="757"/>
      <c r="O2" s="302"/>
    </row>
    <row r="3" spans="1:15" ht="45.75" customHeight="1" x14ac:dyDescent="0.3">
      <c r="A3" s="762" t="s">
        <v>660</v>
      </c>
      <c r="B3" s="762"/>
      <c r="C3" s="762"/>
      <c r="D3" s="762"/>
      <c r="E3" s="762"/>
      <c r="F3" s="63"/>
      <c r="G3" s="63"/>
      <c r="H3" s="63"/>
      <c r="I3" s="63"/>
      <c r="J3" s="760" t="s">
        <v>661</v>
      </c>
      <c r="K3" s="760"/>
      <c r="L3" s="760"/>
      <c r="M3" s="760"/>
      <c r="N3" s="760"/>
    </row>
    <row r="4" spans="1:15" s="49" customFormat="1" ht="10.199999999999999" customHeight="1" x14ac:dyDescent="0.3">
      <c r="A4" s="177"/>
      <c r="B4" s="177"/>
      <c r="C4" s="177"/>
      <c r="D4" s="177"/>
      <c r="E4" s="177"/>
      <c r="F4" s="46"/>
      <c r="G4" s="46"/>
      <c r="H4" s="46"/>
      <c r="I4" s="45"/>
      <c r="J4" s="45"/>
      <c r="K4" s="45"/>
      <c r="L4" s="45"/>
      <c r="M4" s="45"/>
      <c r="N4" s="45"/>
    </row>
    <row r="5" spans="1:15" ht="14.4" x14ac:dyDescent="0.3">
      <c r="A5" s="755" t="s">
        <v>802</v>
      </c>
      <c r="B5" s="755"/>
      <c r="C5" s="755"/>
      <c r="D5" s="755"/>
      <c r="E5" s="755"/>
      <c r="F5" s="62"/>
      <c r="G5" s="62"/>
      <c r="H5" s="62"/>
      <c r="I5" s="62"/>
      <c r="J5" s="755" t="s">
        <v>1005</v>
      </c>
      <c r="K5" s="755"/>
      <c r="L5" s="755"/>
      <c r="M5" s="755"/>
      <c r="N5" s="755"/>
    </row>
    <row r="6" spans="1:15" ht="15" customHeight="1" x14ac:dyDescent="0.3">
      <c r="A6" s="759" t="s">
        <v>662</v>
      </c>
      <c r="B6" s="759"/>
      <c r="C6" s="759"/>
      <c r="D6" s="759"/>
      <c r="E6" s="759"/>
      <c r="F6" s="49"/>
      <c r="G6" s="49"/>
      <c r="H6" s="49"/>
      <c r="I6" s="49"/>
      <c r="J6" s="759" t="s">
        <v>662</v>
      </c>
      <c r="K6" s="759"/>
      <c r="L6" s="759"/>
      <c r="M6" s="759"/>
      <c r="N6" s="759"/>
    </row>
    <row r="7" spans="1:15" s="49" customFormat="1" ht="14.4" x14ac:dyDescent="0.3">
      <c r="A7" s="46"/>
      <c r="B7" s="46"/>
      <c r="C7" s="46"/>
      <c r="D7" s="46"/>
      <c r="E7" s="46"/>
      <c r="F7" s="46"/>
      <c r="G7" s="46"/>
      <c r="H7" s="46"/>
      <c r="I7" s="46"/>
      <c r="J7" s="46"/>
      <c r="K7" s="45"/>
      <c r="L7" s="45"/>
      <c r="M7" s="45"/>
      <c r="N7" s="45"/>
    </row>
    <row r="8" spans="1:15" ht="14.4" x14ac:dyDescent="0.3">
      <c r="A8" s="303" t="s">
        <v>1006</v>
      </c>
      <c r="B8" s="304"/>
      <c r="C8" s="304"/>
      <c r="D8" s="46"/>
      <c r="E8" s="46"/>
      <c r="F8" s="46"/>
      <c r="G8" s="46"/>
      <c r="H8" s="46"/>
      <c r="I8" s="46"/>
      <c r="J8" s="303" t="str">
        <f>A8</f>
        <v>"29 "декабря  2022 г.</v>
      </c>
      <c r="K8" s="305"/>
      <c r="L8" s="305"/>
    </row>
    <row r="15" spans="1:15" ht="18" x14ac:dyDescent="0.35">
      <c r="A15" s="756" t="s">
        <v>909</v>
      </c>
      <c r="B15" s="756"/>
      <c r="C15" s="756"/>
      <c r="D15" s="756"/>
      <c r="E15" s="756"/>
      <c r="F15" s="756"/>
      <c r="G15" s="756"/>
      <c r="H15" s="756"/>
      <c r="I15" s="756"/>
      <c r="J15" s="756"/>
      <c r="K15" s="756"/>
      <c r="L15" s="756"/>
      <c r="M15" s="756"/>
      <c r="N15" s="756"/>
    </row>
    <row r="16" spans="1:15" ht="18" customHeight="1" x14ac:dyDescent="0.35">
      <c r="A16" s="761" t="s">
        <v>908</v>
      </c>
      <c r="B16" s="761"/>
      <c r="C16" s="761"/>
      <c r="D16" s="761"/>
      <c r="E16" s="761"/>
      <c r="F16" s="761"/>
      <c r="G16" s="761"/>
      <c r="H16" s="761"/>
      <c r="I16" s="761"/>
      <c r="J16" s="761"/>
      <c r="K16" s="761"/>
      <c r="L16" s="761"/>
      <c r="M16" s="761"/>
      <c r="N16" s="761"/>
    </row>
    <row r="17" spans="1:14" ht="18" customHeight="1" x14ac:dyDescent="0.35">
      <c r="A17" s="300"/>
      <c r="B17" s="300"/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</row>
    <row r="18" spans="1:14" x14ac:dyDescent="0.3">
      <c r="B18" s="45"/>
      <c r="C18" s="45"/>
      <c r="D18" s="45"/>
      <c r="E18" s="45"/>
      <c r="F18" s="45"/>
      <c r="G18" s="45"/>
      <c r="H18" s="45"/>
      <c r="I18" s="45"/>
      <c r="J18" s="45"/>
    </row>
    <row r="19" spans="1:14" x14ac:dyDescent="0.3">
      <c r="B19" s="299"/>
      <c r="C19" s="299"/>
      <c r="D19" s="299"/>
      <c r="E19" s="299"/>
      <c r="F19" s="306" t="s">
        <v>663</v>
      </c>
      <c r="G19" s="307" t="str">
        <f>A8</f>
        <v>"29 "декабря  2022 г.</v>
      </c>
      <c r="H19" s="308"/>
      <c r="I19" s="299"/>
      <c r="J19" s="299"/>
      <c r="K19" s="299"/>
      <c r="L19" s="299"/>
    </row>
    <row r="20" spans="1:14" x14ac:dyDescent="0.3">
      <c r="B20" s="299"/>
      <c r="C20" s="299"/>
      <c r="D20" s="299"/>
      <c r="E20" s="299"/>
      <c r="F20" s="299"/>
      <c r="G20" s="299"/>
      <c r="H20" s="299"/>
      <c r="I20" s="299"/>
      <c r="J20" s="299"/>
      <c r="K20" s="299"/>
      <c r="L20" s="299"/>
    </row>
    <row r="21" spans="1:14" x14ac:dyDescent="0.3"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</row>
    <row r="22" spans="1:14" x14ac:dyDescent="0.3">
      <c r="B22" s="45"/>
      <c r="C22" s="45"/>
      <c r="D22" s="45"/>
      <c r="E22" s="45"/>
      <c r="F22" s="45"/>
      <c r="G22" s="45"/>
      <c r="H22" s="45"/>
      <c r="I22" s="45"/>
      <c r="J22" s="45"/>
      <c r="M22" s="758" t="s">
        <v>254</v>
      </c>
      <c r="N22" s="758"/>
    </row>
    <row r="23" spans="1:14" x14ac:dyDescent="0.3">
      <c r="M23" s="47" t="s">
        <v>255</v>
      </c>
      <c r="N23" s="309">
        <v>44924</v>
      </c>
    </row>
    <row r="24" spans="1:14" ht="15" customHeight="1" x14ac:dyDescent="0.3">
      <c r="A24" s="45"/>
      <c r="B24" s="45"/>
      <c r="C24" s="45"/>
      <c r="D24" s="45"/>
      <c r="E24" s="45"/>
      <c r="F24" s="45"/>
      <c r="G24" s="45"/>
      <c r="H24" s="45"/>
      <c r="I24" s="45"/>
      <c r="J24" s="45"/>
      <c r="M24" s="47" t="s">
        <v>386</v>
      </c>
      <c r="N24" s="310"/>
    </row>
    <row r="25" spans="1:14" ht="15.6" x14ac:dyDescent="0.3">
      <c r="A25" s="52" t="s">
        <v>390</v>
      </c>
      <c r="M25" s="47" t="s">
        <v>387</v>
      </c>
      <c r="N25" s="310"/>
    </row>
    <row r="26" spans="1:14" ht="13.5" customHeight="1" x14ac:dyDescent="0.3">
      <c r="A26" s="311" t="s">
        <v>391</v>
      </c>
      <c r="B26" s="312"/>
      <c r="C26" s="312"/>
      <c r="D26" s="312"/>
      <c r="E26" s="312"/>
      <c r="F26" s="312"/>
      <c r="G26" s="312"/>
      <c r="H26" s="48"/>
      <c r="I26" s="48"/>
      <c r="J26" s="48"/>
      <c r="K26" s="44"/>
      <c r="M26" s="47" t="s">
        <v>386</v>
      </c>
      <c r="N26" s="310"/>
    </row>
    <row r="27" spans="1:14" ht="15.6" x14ac:dyDescent="0.3">
      <c r="A27" s="313" t="s">
        <v>259</v>
      </c>
      <c r="B27" s="312"/>
      <c r="C27" s="312"/>
      <c r="D27" s="312"/>
      <c r="E27" s="312"/>
      <c r="F27" s="312"/>
      <c r="G27" s="312"/>
      <c r="H27" s="48"/>
      <c r="I27" s="48"/>
      <c r="J27" s="48"/>
      <c r="K27" s="48"/>
      <c r="M27" s="47" t="s">
        <v>388</v>
      </c>
      <c r="N27" s="316">
        <v>8606004216</v>
      </c>
    </row>
    <row r="28" spans="1:14" x14ac:dyDescent="0.3">
      <c r="A28" s="45"/>
      <c r="B28" s="49"/>
      <c r="C28" s="49"/>
      <c r="D28" s="49"/>
      <c r="E28" s="49"/>
      <c r="F28" s="49"/>
      <c r="G28" s="49"/>
      <c r="H28" s="49"/>
      <c r="I28" s="49"/>
      <c r="J28" s="49"/>
      <c r="K28" s="44"/>
      <c r="M28" s="47" t="s">
        <v>389</v>
      </c>
      <c r="N28" s="316">
        <v>860601001</v>
      </c>
    </row>
    <row r="29" spans="1:14" ht="13.5" customHeight="1" x14ac:dyDescent="0.3">
      <c r="A29" s="45"/>
      <c r="K29" s="44"/>
      <c r="M29" s="47" t="s">
        <v>258</v>
      </c>
      <c r="N29" s="310">
        <v>383</v>
      </c>
    </row>
    <row r="30" spans="1:14" ht="36" customHeight="1" x14ac:dyDescent="0.3">
      <c r="A30" s="753" t="s">
        <v>707</v>
      </c>
      <c r="B30" s="753"/>
      <c r="C30" s="753"/>
      <c r="D30" s="753"/>
      <c r="E30" s="753"/>
      <c r="F30" s="753"/>
      <c r="G30" s="753"/>
      <c r="H30" s="753"/>
      <c r="I30" s="753"/>
      <c r="J30" s="314"/>
      <c r="K30" s="315"/>
      <c r="M30" s="50"/>
    </row>
    <row r="31" spans="1:14" ht="15.6" x14ac:dyDescent="0.3">
      <c r="A31" s="48"/>
      <c r="B31" s="301"/>
      <c r="C31" s="301"/>
      <c r="D31" s="301"/>
      <c r="E31" s="301"/>
      <c r="F31" s="301"/>
      <c r="G31" s="301"/>
      <c r="H31" s="301"/>
      <c r="I31" s="301"/>
      <c r="J31" s="301"/>
    </row>
    <row r="32" spans="1:14" x14ac:dyDescent="0.3">
      <c r="A32" s="49" t="s">
        <v>256</v>
      </c>
      <c r="K32" s="44"/>
      <c r="L32" s="44"/>
      <c r="M32" s="44"/>
    </row>
    <row r="33" spans="1:13" ht="15" customHeight="1" x14ac:dyDescent="0.3">
      <c r="A33" s="45"/>
      <c r="B33" s="52"/>
      <c r="C33" s="52"/>
      <c r="D33" s="52"/>
      <c r="E33" s="52"/>
      <c r="F33" s="52"/>
      <c r="G33" s="52"/>
      <c r="H33" s="52"/>
      <c r="I33" s="52"/>
      <c r="J33" s="52"/>
      <c r="L33" s="53"/>
      <c r="M33" s="53"/>
    </row>
    <row r="34" spans="1:13" x14ac:dyDescent="0.3">
      <c r="A34" s="45"/>
      <c r="B34" s="49"/>
      <c r="C34" s="49"/>
      <c r="D34" s="49"/>
      <c r="E34" s="49"/>
      <c r="F34" s="49"/>
      <c r="G34" s="49"/>
      <c r="H34" s="49"/>
      <c r="I34" s="49"/>
      <c r="J34" s="49"/>
      <c r="L34" s="49"/>
      <c r="M34" s="49"/>
    </row>
    <row r="35" spans="1:13" x14ac:dyDescent="0.3">
      <c r="A35" s="45"/>
    </row>
    <row r="36" spans="1:13" ht="15.6" x14ac:dyDescent="0.3">
      <c r="A36" s="52"/>
      <c r="B36" s="52"/>
      <c r="C36" s="52"/>
      <c r="D36" s="52"/>
      <c r="E36" s="52"/>
      <c r="F36" s="52"/>
      <c r="G36" s="52"/>
      <c r="H36" s="52"/>
      <c r="I36" s="52"/>
      <c r="J36" s="52"/>
      <c r="L36" s="53"/>
      <c r="M36" s="53"/>
    </row>
    <row r="37" spans="1:13" x14ac:dyDescent="0.3">
      <c r="A37" s="301" t="s">
        <v>257</v>
      </c>
      <c r="B37" s="49"/>
      <c r="C37" s="49"/>
      <c r="D37" s="49"/>
      <c r="E37" s="49"/>
      <c r="F37" s="49"/>
      <c r="G37" s="49"/>
      <c r="H37" s="49"/>
      <c r="I37" s="49"/>
      <c r="J37" s="49"/>
      <c r="L37" s="49"/>
      <c r="M37" s="49"/>
    </row>
    <row r="38" spans="1:13" x14ac:dyDescent="0.3">
      <c r="A38" s="45"/>
      <c r="K38" s="44"/>
      <c r="L38" s="44"/>
      <c r="M38" s="44"/>
    </row>
    <row r="39" spans="1:13" x14ac:dyDescent="0.3">
      <c r="A39" s="49"/>
      <c r="B39" s="49"/>
      <c r="C39" s="49"/>
      <c r="D39" s="49"/>
      <c r="E39" s="49"/>
      <c r="F39" s="49"/>
      <c r="G39" s="49"/>
      <c r="H39" s="49"/>
      <c r="I39" s="49"/>
      <c r="J39" s="49"/>
      <c r="L39" s="49"/>
      <c r="M39" s="49"/>
    </row>
    <row r="40" spans="1:13" x14ac:dyDescent="0.3">
      <c r="K40" s="44"/>
      <c r="L40" s="44"/>
      <c r="M40" s="44"/>
    </row>
  </sheetData>
  <mergeCells count="13">
    <mergeCell ref="A30:I30"/>
    <mergeCell ref="J1:N1"/>
    <mergeCell ref="J5:N5"/>
    <mergeCell ref="A15:N15"/>
    <mergeCell ref="J2:N2"/>
    <mergeCell ref="M22:N22"/>
    <mergeCell ref="J6:N6"/>
    <mergeCell ref="J3:N3"/>
    <mergeCell ref="A16:N16"/>
    <mergeCell ref="A3:E3"/>
    <mergeCell ref="A5:E5"/>
    <mergeCell ref="A6:E6"/>
    <mergeCell ref="A2:E2"/>
  </mergeCells>
  <printOptions horizontalCentered="1"/>
  <pageMargins left="0.98425196850393704" right="0.39370078740157483" top="0.59055118110236227" bottom="0.59055118110236227" header="0.51181102362204722" footer="0.51181102362204722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7"/>
  <sheetViews>
    <sheetView tabSelected="1" topLeftCell="A308" workbookViewId="0">
      <selection activeCell="A484" sqref="A484"/>
    </sheetView>
  </sheetViews>
  <sheetFormatPr defaultColWidth="9.109375" defaultRowHeight="15.6" x14ac:dyDescent="0.3"/>
  <cols>
    <col min="1" max="1" width="5.109375" style="173" customWidth="1"/>
    <col min="2" max="2" width="25" style="173" customWidth="1"/>
    <col min="3" max="3" width="9.109375" style="173"/>
    <col min="4" max="4" width="12.109375" style="173" customWidth="1"/>
    <col min="5" max="5" width="26.88671875" style="173" customWidth="1"/>
    <col min="6" max="6" width="10.6640625" style="173" customWidth="1"/>
    <col min="7" max="7" width="12.33203125" style="173" customWidth="1"/>
    <col min="8" max="8" width="10.6640625" style="173" customWidth="1"/>
    <col min="9" max="9" width="16.33203125" style="173" customWidth="1"/>
    <col min="10" max="10" width="24.5546875" style="421" customWidth="1"/>
    <col min="11" max="11" width="0.33203125" style="334" customWidth="1"/>
    <col min="12" max="12" width="13.88671875" style="173" customWidth="1"/>
    <col min="13" max="13" width="0.109375" style="173" hidden="1" customWidth="1"/>
    <col min="14" max="14" width="22.88671875" style="173" customWidth="1"/>
    <col min="15" max="16384" width="9.109375" style="173"/>
  </cols>
  <sheetData>
    <row r="1" spans="1:11" ht="26.25" customHeight="1" x14ac:dyDescent="0.3">
      <c r="A1" s="947" t="s">
        <v>68</v>
      </c>
      <c r="B1" s="947"/>
      <c r="C1" s="947"/>
      <c r="D1" s="947"/>
      <c r="E1" s="947"/>
      <c r="F1" s="947"/>
      <c r="G1" s="947"/>
      <c r="H1" s="947"/>
      <c r="I1" s="947"/>
      <c r="J1" s="947"/>
    </row>
    <row r="2" spans="1:11" ht="17.25" customHeight="1" x14ac:dyDescent="0.3">
      <c r="A2" s="947" t="s">
        <v>474</v>
      </c>
      <c r="B2" s="947"/>
      <c r="C2" s="947"/>
      <c r="D2" s="947"/>
      <c r="E2" s="947"/>
      <c r="F2" s="947"/>
      <c r="G2" s="947"/>
      <c r="H2" s="947"/>
      <c r="I2" s="947"/>
      <c r="J2" s="947"/>
    </row>
    <row r="3" spans="1:11" ht="47.25" customHeight="1" x14ac:dyDescent="0.3">
      <c r="A3" s="947" t="s">
        <v>372</v>
      </c>
      <c r="B3" s="947"/>
      <c r="C3" s="947"/>
      <c r="D3" s="947"/>
      <c r="E3" s="947"/>
      <c r="F3" s="947"/>
      <c r="G3" s="947"/>
      <c r="H3" s="947"/>
      <c r="I3" s="947"/>
      <c r="J3" s="947"/>
    </row>
    <row r="4" spans="1:11" x14ac:dyDescent="0.3">
      <c r="A4" s="372"/>
      <c r="B4" s="373"/>
      <c r="C4" s="373"/>
      <c r="D4" s="374" t="s">
        <v>267</v>
      </c>
      <c r="E4" s="375">
        <v>2025</v>
      </c>
      <c r="F4" s="376" t="s">
        <v>656</v>
      </c>
      <c r="G4" s="373"/>
      <c r="H4" s="373"/>
      <c r="I4" s="373"/>
      <c r="J4" s="587"/>
    </row>
    <row r="5" spans="1:11" x14ac:dyDescent="0.3">
      <c r="A5" s="893" t="s">
        <v>0</v>
      </c>
      <c r="B5" s="893"/>
      <c r="C5" s="893"/>
      <c r="D5" s="893"/>
      <c r="E5" s="893"/>
      <c r="F5" s="893"/>
      <c r="G5" s="893"/>
      <c r="H5" s="893"/>
      <c r="I5" s="893"/>
      <c r="J5" s="893"/>
    </row>
    <row r="6" spans="1:11" ht="19.5" customHeight="1" x14ac:dyDescent="0.3">
      <c r="A6" s="372" t="s">
        <v>80</v>
      </c>
      <c r="B6" s="373"/>
      <c r="C6" s="377">
        <v>111</v>
      </c>
      <c r="D6" s="377">
        <v>112</v>
      </c>
      <c r="E6" s="377">
        <v>119</v>
      </c>
      <c r="F6" s="378"/>
      <c r="G6" s="378"/>
      <c r="H6" s="378"/>
      <c r="I6" s="378"/>
      <c r="J6" s="579"/>
    </row>
    <row r="7" spans="1:11" ht="22.5" customHeight="1" x14ac:dyDescent="0.3">
      <c r="A7" s="372" t="s">
        <v>81</v>
      </c>
      <c r="B7" s="373"/>
      <c r="C7" s="373"/>
      <c r="D7" s="373"/>
      <c r="E7" s="379" t="s">
        <v>82</v>
      </c>
      <c r="F7" s="380"/>
      <c r="G7" s="379" t="s">
        <v>195</v>
      </c>
      <c r="H7" s="380"/>
      <c r="I7" s="380"/>
      <c r="J7" s="257"/>
    </row>
    <row r="8" spans="1:11" ht="21" customHeight="1" x14ac:dyDescent="0.3">
      <c r="A8" s="871" t="s">
        <v>357</v>
      </c>
      <c r="B8" s="871"/>
      <c r="C8" s="871"/>
      <c r="D8" s="871"/>
      <c r="E8" s="871"/>
      <c r="F8" s="871"/>
      <c r="G8" s="871"/>
      <c r="H8" s="871"/>
      <c r="I8" s="871"/>
      <c r="J8" s="871"/>
    </row>
    <row r="9" spans="1:11" x14ac:dyDescent="0.3">
      <c r="A9" s="948" t="s">
        <v>1</v>
      </c>
      <c r="B9" s="949" t="s">
        <v>2</v>
      </c>
      <c r="C9" s="949" t="s">
        <v>3</v>
      </c>
      <c r="D9" s="948" t="s">
        <v>4</v>
      </c>
      <c r="E9" s="948"/>
      <c r="F9" s="948"/>
      <c r="G9" s="948"/>
      <c r="H9" s="948" t="s">
        <v>5</v>
      </c>
      <c r="I9" s="949" t="s">
        <v>6</v>
      </c>
      <c r="J9" s="949" t="s">
        <v>312</v>
      </c>
    </row>
    <row r="10" spans="1:11" ht="33" customHeight="1" x14ac:dyDescent="0.3">
      <c r="A10" s="948"/>
      <c r="B10" s="949"/>
      <c r="C10" s="949"/>
      <c r="D10" s="949" t="s">
        <v>8</v>
      </c>
      <c r="E10" s="949" t="s">
        <v>9</v>
      </c>
      <c r="F10" s="949"/>
      <c r="G10" s="949"/>
      <c r="H10" s="948"/>
      <c r="I10" s="949"/>
      <c r="J10" s="949"/>
      <c r="K10" s="334">
        <v>1.0389999999999999</v>
      </c>
    </row>
    <row r="11" spans="1:11" ht="69" x14ac:dyDescent="0.3">
      <c r="A11" s="948"/>
      <c r="B11" s="949"/>
      <c r="C11" s="949"/>
      <c r="D11" s="949"/>
      <c r="E11" s="590" t="s">
        <v>10</v>
      </c>
      <c r="F11" s="590" t="s">
        <v>11</v>
      </c>
      <c r="G11" s="590" t="s">
        <v>12</v>
      </c>
      <c r="H11" s="948"/>
      <c r="I11" s="949"/>
      <c r="J11" s="949"/>
    </row>
    <row r="12" spans="1:11" ht="14.25" customHeight="1" x14ac:dyDescent="0.3">
      <c r="A12" s="381">
        <v>1</v>
      </c>
      <c r="B12" s="381">
        <v>2</v>
      </c>
      <c r="C12" s="381">
        <v>3</v>
      </c>
      <c r="D12" s="381">
        <v>4</v>
      </c>
      <c r="E12" s="381">
        <v>5</v>
      </c>
      <c r="F12" s="381">
        <v>6</v>
      </c>
      <c r="G12" s="381">
        <v>7</v>
      </c>
      <c r="H12" s="381">
        <v>8</v>
      </c>
      <c r="I12" s="381">
        <v>9</v>
      </c>
      <c r="J12" s="381">
        <v>10</v>
      </c>
    </row>
    <row r="13" spans="1:11" s="317" customFormat="1" ht="15.75" customHeight="1" x14ac:dyDescent="0.3">
      <c r="A13" s="951" t="s">
        <v>358</v>
      </c>
      <c r="B13" s="949"/>
      <c r="C13" s="949"/>
      <c r="D13" s="949"/>
      <c r="E13" s="949"/>
      <c r="F13" s="949"/>
      <c r="G13" s="949"/>
      <c r="H13" s="949"/>
      <c r="I13" s="949"/>
      <c r="J13" s="949"/>
      <c r="K13" s="334"/>
    </row>
    <row r="14" spans="1:11" s="317" customFormat="1" ht="15.75" customHeight="1" x14ac:dyDescent="0.3">
      <c r="A14" s="957" t="s">
        <v>475</v>
      </c>
      <c r="B14" s="953"/>
      <c r="C14" s="953"/>
      <c r="D14" s="953"/>
      <c r="E14" s="953"/>
      <c r="F14" s="953"/>
      <c r="G14" s="953"/>
      <c r="H14" s="953"/>
      <c r="I14" s="953"/>
      <c r="J14" s="953"/>
      <c r="K14" s="334"/>
    </row>
    <row r="15" spans="1:11" ht="20.25" customHeight="1" x14ac:dyDescent="0.3">
      <c r="A15" s="720">
        <v>1</v>
      </c>
      <c r="B15" s="383" t="s">
        <v>261</v>
      </c>
      <c r="C15" s="720">
        <v>1</v>
      </c>
      <c r="D15" s="384">
        <f>E15+F15+G15</f>
        <v>71296.510090909083</v>
      </c>
      <c r="E15" s="384">
        <f>7107*1.5*(1.3+1.085)+50</f>
        <v>25475.292499999996</v>
      </c>
      <c r="F15" s="384">
        <v>0</v>
      </c>
      <c r="G15" s="384">
        <f>(E15+F15)*20%+(26353+63244.55)/2.2</f>
        <v>45821.217590909087</v>
      </c>
      <c r="H15" s="385">
        <v>50</v>
      </c>
      <c r="I15" s="720">
        <v>1.7</v>
      </c>
      <c r="J15" s="386">
        <f>((C15*D15*(H15/100+I15))*12)</f>
        <v>1882227.8663999999</v>
      </c>
      <c r="K15" s="337" t="s">
        <v>940</v>
      </c>
    </row>
    <row r="16" spans="1:11" ht="45" customHeight="1" x14ac:dyDescent="0.3">
      <c r="A16" s="720">
        <v>2</v>
      </c>
      <c r="B16" s="383" t="s">
        <v>476</v>
      </c>
      <c r="C16" s="720">
        <v>4</v>
      </c>
      <c r="D16" s="384">
        <f>E16+F16+G16</f>
        <v>119620.54320000001</v>
      </c>
      <c r="E16" s="384">
        <f>7107*4*1.5*(0.15+1.3+0.883)+(50*4)</f>
        <v>99683.786000000007</v>
      </c>
      <c r="F16" s="384">
        <v>0</v>
      </c>
      <c r="G16" s="384">
        <f t="shared" ref="G16:G20" si="0">(E16+F16)*20%</f>
        <v>19936.757200000004</v>
      </c>
      <c r="H16" s="385">
        <v>50</v>
      </c>
      <c r="I16" s="720">
        <v>1.7</v>
      </c>
      <c r="J16" s="386">
        <f>((D16*(H16/100+I16))*12)</f>
        <v>3157982.3404800007</v>
      </c>
    </row>
    <row r="17" spans="1:11" ht="45" customHeight="1" x14ac:dyDescent="0.3">
      <c r="A17" s="720">
        <v>3</v>
      </c>
      <c r="B17" s="383" t="s">
        <v>477</v>
      </c>
      <c r="C17" s="720">
        <v>1</v>
      </c>
      <c r="D17" s="384">
        <f>E17+F17+G17</f>
        <v>27986.245799999997</v>
      </c>
      <c r="E17" s="384">
        <f>7107*1.5*(1.3+0.883)+50</f>
        <v>23321.871499999997</v>
      </c>
      <c r="F17" s="384">
        <v>0</v>
      </c>
      <c r="G17" s="384">
        <f>(E17+F17)*20%</f>
        <v>4664.3742999999995</v>
      </c>
      <c r="H17" s="385">
        <v>50</v>
      </c>
      <c r="I17" s="720">
        <v>1.7</v>
      </c>
      <c r="J17" s="386">
        <f t="shared" ref="J17:J20" si="1">((C17*D17*(H17/100+I17))*12)</f>
        <v>738836.88911999995</v>
      </c>
    </row>
    <row r="18" spans="1:11" ht="45" customHeight="1" x14ac:dyDescent="0.3">
      <c r="A18" s="720">
        <v>4</v>
      </c>
      <c r="B18" s="383" t="s">
        <v>478</v>
      </c>
      <c r="C18" s="720">
        <v>1</v>
      </c>
      <c r="D18" s="384">
        <f t="shared" ref="D18:D64" si="2">E18+F18+G18</f>
        <v>27986.245799999997</v>
      </c>
      <c r="E18" s="384">
        <f t="shared" ref="E18:E20" si="3">7107*1.5*(1.3+0.883)+50</f>
        <v>23321.871499999997</v>
      </c>
      <c r="F18" s="384">
        <v>0</v>
      </c>
      <c r="G18" s="384">
        <f t="shared" si="0"/>
        <v>4664.3742999999995</v>
      </c>
      <c r="H18" s="385">
        <v>50</v>
      </c>
      <c r="I18" s="720">
        <v>1.7</v>
      </c>
      <c r="J18" s="386">
        <f t="shared" si="1"/>
        <v>738836.88911999995</v>
      </c>
    </row>
    <row r="19" spans="1:11" ht="49.5" customHeight="1" x14ac:dyDescent="0.3">
      <c r="A19" s="720">
        <v>5</v>
      </c>
      <c r="B19" s="383" t="s">
        <v>479</v>
      </c>
      <c r="C19" s="720">
        <v>1</v>
      </c>
      <c r="D19" s="384">
        <f t="shared" si="2"/>
        <v>27986.245799999997</v>
      </c>
      <c r="E19" s="384">
        <f t="shared" si="3"/>
        <v>23321.871499999997</v>
      </c>
      <c r="F19" s="384">
        <v>0</v>
      </c>
      <c r="G19" s="384">
        <f t="shared" si="0"/>
        <v>4664.3742999999995</v>
      </c>
      <c r="H19" s="385">
        <v>50</v>
      </c>
      <c r="I19" s="720">
        <v>1.7</v>
      </c>
      <c r="J19" s="386">
        <f t="shared" si="1"/>
        <v>738836.88911999995</v>
      </c>
    </row>
    <row r="20" spans="1:11" x14ac:dyDescent="0.3">
      <c r="A20" s="720">
        <v>6</v>
      </c>
      <c r="B20" s="383" t="s">
        <v>262</v>
      </c>
      <c r="C20" s="720">
        <v>1</v>
      </c>
      <c r="D20" s="384">
        <f t="shared" si="2"/>
        <v>27986.245799999997</v>
      </c>
      <c r="E20" s="384">
        <f t="shared" si="3"/>
        <v>23321.871499999997</v>
      </c>
      <c r="F20" s="384">
        <v>0</v>
      </c>
      <c r="G20" s="384">
        <f t="shared" si="0"/>
        <v>4664.3742999999995</v>
      </c>
      <c r="H20" s="385">
        <v>50</v>
      </c>
      <c r="I20" s="720">
        <v>1.7</v>
      </c>
      <c r="J20" s="386">
        <f t="shared" si="1"/>
        <v>738836.88911999995</v>
      </c>
    </row>
    <row r="21" spans="1:11" ht="27.6" x14ac:dyDescent="0.3">
      <c r="A21" s="720"/>
      <c r="B21" s="716" t="s">
        <v>480</v>
      </c>
      <c r="C21" s="387">
        <f>SUM(C15:C20)</f>
        <v>9</v>
      </c>
      <c r="D21" s="388">
        <f>SUM(D15:D20)</f>
        <v>302862.03649090906</v>
      </c>
      <c r="E21" s="387" t="s">
        <v>14</v>
      </c>
      <c r="F21" s="387">
        <v>0</v>
      </c>
      <c r="G21" s="387" t="s">
        <v>14</v>
      </c>
      <c r="H21" s="387" t="s">
        <v>14</v>
      </c>
      <c r="I21" s="387" t="s">
        <v>14</v>
      </c>
      <c r="J21" s="388">
        <f>SUM(J15:J20)</f>
        <v>7995557.7633599993</v>
      </c>
      <c r="K21" s="338"/>
    </row>
    <row r="22" spans="1:11" ht="15.75" customHeight="1" x14ac:dyDescent="0.3">
      <c r="A22" s="952" t="s">
        <v>481</v>
      </c>
      <c r="B22" s="958"/>
      <c r="C22" s="958"/>
      <c r="D22" s="958"/>
      <c r="E22" s="958"/>
      <c r="F22" s="958"/>
      <c r="G22" s="958"/>
      <c r="H22" s="958"/>
      <c r="I22" s="958"/>
      <c r="J22" s="958"/>
    </row>
    <row r="23" spans="1:11" ht="18.75" customHeight="1" x14ac:dyDescent="0.3">
      <c r="A23" s="959" t="s">
        <v>482</v>
      </c>
      <c r="B23" s="960"/>
      <c r="C23" s="960"/>
      <c r="D23" s="960"/>
      <c r="E23" s="960"/>
      <c r="F23" s="960"/>
      <c r="G23" s="960"/>
      <c r="H23" s="960"/>
      <c r="I23" s="960"/>
      <c r="J23" s="961"/>
    </row>
    <row r="24" spans="1:11" x14ac:dyDescent="0.3">
      <c r="A24" s="751">
        <v>1</v>
      </c>
      <c r="B24" s="383" t="s">
        <v>483</v>
      </c>
      <c r="C24" s="751">
        <v>7.5</v>
      </c>
      <c r="D24" s="384">
        <f>E24+F24+G24</f>
        <v>14131.86</v>
      </c>
      <c r="E24" s="384">
        <f>7107*1.5*1.1+50</f>
        <v>11776.550000000001</v>
      </c>
      <c r="F24" s="384">
        <v>0</v>
      </c>
      <c r="G24" s="384">
        <f t="shared" ref="G24:G35" si="4">(E24+F24)*20%</f>
        <v>2355.3100000000004</v>
      </c>
      <c r="H24" s="385">
        <v>50</v>
      </c>
      <c r="I24" s="751">
        <v>1.7</v>
      </c>
      <c r="J24" s="398">
        <f>((C24*D24*(H24/100+I24))*12)</f>
        <v>2798108.2800000003</v>
      </c>
    </row>
    <row r="25" spans="1:11" ht="69" x14ac:dyDescent="0.3">
      <c r="A25" s="751">
        <v>2</v>
      </c>
      <c r="B25" s="383" t="s">
        <v>484</v>
      </c>
      <c r="C25" s="751">
        <v>1</v>
      </c>
      <c r="D25" s="384">
        <f t="shared" ref="D25:D35" si="5">E25+F25+G25</f>
        <v>19888.8</v>
      </c>
      <c r="E25" s="384">
        <v>16574</v>
      </c>
      <c r="F25" s="384">
        <v>0</v>
      </c>
      <c r="G25" s="384">
        <f t="shared" si="4"/>
        <v>3314.8</v>
      </c>
      <c r="H25" s="385">
        <v>50</v>
      </c>
      <c r="I25" s="751">
        <v>1.7</v>
      </c>
      <c r="J25" s="398">
        <f t="shared" ref="J25:J35" si="6">((C25*D25*(H25/100+I25))*12)</f>
        <v>525064.32000000007</v>
      </c>
    </row>
    <row r="26" spans="1:11" x14ac:dyDescent="0.3">
      <c r="A26" s="751">
        <v>3</v>
      </c>
      <c r="B26" s="383" t="s">
        <v>323</v>
      </c>
      <c r="C26" s="751">
        <v>7.5</v>
      </c>
      <c r="D26" s="384">
        <f t="shared" si="5"/>
        <v>19888.8</v>
      </c>
      <c r="E26" s="384">
        <v>16574</v>
      </c>
      <c r="F26" s="384">
        <v>0</v>
      </c>
      <c r="G26" s="384">
        <f t="shared" si="4"/>
        <v>3314.8</v>
      </c>
      <c r="H26" s="385">
        <v>50</v>
      </c>
      <c r="I26" s="751">
        <v>1.7</v>
      </c>
      <c r="J26" s="398">
        <f>((C26*D26*(H26/100+I26))*12)</f>
        <v>3937982.4000000004</v>
      </c>
    </row>
    <row r="27" spans="1:11" x14ac:dyDescent="0.3">
      <c r="A27" s="751">
        <v>4</v>
      </c>
      <c r="B27" s="383" t="s">
        <v>718</v>
      </c>
      <c r="C27" s="751">
        <v>1</v>
      </c>
      <c r="D27" s="384">
        <f t="shared" si="5"/>
        <v>14131.86</v>
      </c>
      <c r="E27" s="384">
        <f t="shared" ref="E27:E33" si="7">7107*1.5*1.1+50</f>
        <v>11776.550000000001</v>
      </c>
      <c r="F27" s="384">
        <v>0</v>
      </c>
      <c r="G27" s="384">
        <f t="shared" si="4"/>
        <v>2355.3100000000004</v>
      </c>
      <c r="H27" s="385">
        <v>50</v>
      </c>
      <c r="I27" s="751">
        <v>1.7</v>
      </c>
      <c r="J27" s="398">
        <f t="shared" si="6"/>
        <v>373081.10400000005</v>
      </c>
    </row>
    <row r="28" spans="1:11" x14ac:dyDescent="0.3">
      <c r="A28" s="751">
        <v>5</v>
      </c>
      <c r="B28" s="383" t="s">
        <v>485</v>
      </c>
      <c r="C28" s="751">
        <v>2</v>
      </c>
      <c r="D28" s="384">
        <f t="shared" si="5"/>
        <v>11146.8</v>
      </c>
      <c r="E28" s="384">
        <f>9289</f>
        <v>9289</v>
      </c>
      <c r="F28" s="384">
        <v>0</v>
      </c>
      <c r="G28" s="384">
        <f t="shared" si="4"/>
        <v>1857.8000000000002</v>
      </c>
      <c r="H28" s="385">
        <v>50</v>
      </c>
      <c r="I28" s="751">
        <v>1.7</v>
      </c>
      <c r="J28" s="398">
        <f t="shared" si="6"/>
        <v>588551.04</v>
      </c>
    </row>
    <row r="29" spans="1:11" x14ac:dyDescent="0.3">
      <c r="A29" s="751">
        <v>6</v>
      </c>
      <c r="B29" s="383" t="s">
        <v>324</v>
      </c>
      <c r="C29" s="751">
        <v>2</v>
      </c>
      <c r="D29" s="384">
        <f t="shared" si="5"/>
        <v>16050.75</v>
      </c>
      <c r="E29" s="384">
        <f>7107*1.5*1.25+50</f>
        <v>13375.625</v>
      </c>
      <c r="F29" s="384">
        <v>0</v>
      </c>
      <c r="G29" s="384">
        <f t="shared" si="4"/>
        <v>2675.125</v>
      </c>
      <c r="H29" s="385">
        <v>50</v>
      </c>
      <c r="I29" s="751">
        <v>1.7</v>
      </c>
      <c r="J29" s="398">
        <f t="shared" si="6"/>
        <v>847479.60000000009</v>
      </c>
    </row>
    <row r="30" spans="1:11" x14ac:dyDescent="0.3">
      <c r="A30" s="751">
        <v>7</v>
      </c>
      <c r="B30" s="383" t="s">
        <v>322</v>
      </c>
      <c r="C30" s="751">
        <v>4.75</v>
      </c>
      <c r="D30" s="384">
        <f t="shared" si="5"/>
        <v>16050.75</v>
      </c>
      <c r="E30" s="384">
        <f>7107*1.5*1.25+50</f>
        <v>13375.625</v>
      </c>
      <c r="F30" s="384">
        <v>0</v>
      </c>
      <c r="G30" s="384">
        <f t="shared" si="4"/>
        <v>2675.125</v>
      </c>
      <c r="H30" s="385">
        <v>50</v>
      </c>
      <c r="I30" s="751">
        <v>1.7</v>
      </c>
      <c r="J30" s="398">
        <f t="shared" si="6"/>
        <v>2012764.0500000003</v>
      </c>
    </row>
    <row r="31" spans="1:11" x14ac:dyDescent="0.3">
      <c r="A31" s="751">
        <v>8</v>
      </c>
      <c r="B31" s="383" t="s">
        <v>321</v>
      </c>
      <c r="C31" s="751">
        <v>5</v>
      </c>
      <c r="D31" s="384">
        <f t="shared" si="5"/>
        <v>60703.199999999997</v>
      </c>
      <c r="E31" s="384">
        <f>(9289+9520+11244+11244+9289)</f>
        <v>50586</v>
      </c>
      <c r="F31" s="384">
        <v>0</v>
      </c>
      <c r="G31" s="384">
        <f t="shared" si="4"/>
        <v>10117.200000000001</v>
      </c>
      <c r="H31" s="385">
        <v>50</v>
      </c>
      <c r="I31" s="751">
        <v>1.7</v>
      </c>
      <c r="J31" s="398">
        <f>((D31*(H31/100+I31))*12)</f>
        <v>1602564.48</v>
      </c>
    </row>
    <row r="32" spans="1:11" ht="29.25" customHeight="1" x14ac:dyDescent="0.3">
      <c r="A32" s="751">
        <v>9</v>
      </c>
      <c r="B32" s="383" t="s">
        <v>486</v>
      </c>
      <c r="C32" s="751">
        <v>10.73</v>
      </c>
      <c r="D32" s="384">
        <f t="shared" si="5"/>
        <v>15411.12</v>
      </c>
      <c r="E32" s="384">
        <f>7107*1.5*1.2+50</f>
        <v>12842.6</v>
      </c>
      <c r="F32" s="384">
        <v>0</v>
      </c>
      <c r="G32" s="384">
        <f>(E32+F32)*20%</f>
        <v>2568.5200000000004</v>
      </c>
      <c r="H32" s="385">
        <v>50</v>
      </c>
      <c r="I32" s="751">
        <v>1.7</v>
      </c>
      <c r="J32" s="398">
        <f>((C32*D32*(H32/100+I32))*12)</f>
        <v>4365538.7846400011</v>
      </c>
      <c r="K32" s="339"/>
    </row>
    <row r="33" spans="1:13" ht="15.75" hidden="1" customHeight="1" x14ac:dyDescent="0.3">
      <c r="A33" s="751">
        <v>14</v>
      </c>
      <c r="B33" s="383" t="s">
        <v>324</v>
      </c>
      <c r="C33" s="751">
        <v>0</v>
      </c>
      <c r="D33" s="384">
        <f t="shared" si="5"/>
        <v>14131.86</v>
      </c>
      <c r="E33" s="384">
        <f t="shared" si="7"/>
        <v>11776.550000000001</v>
      </c>
      <c r="F33" s="384"/>
      <c r="G33" s="384">
        <f t="shared" ref="G33:G34" si="8">(E33+F33)*20%</f>
        <v>2355.3100000000004</v>
      </c>
      <c r="H33" s="385">
        <v>50</v>
      </c>
      <c r="I33" s="751">
        <v>1.7</v>
      </c>
      <c r="J33" s="398">
        <f t="shared" si="6"/>
        <v>0</v>
      </c>
      <c r="K33" s="339"/>
    </row>
    <row r="34" spans="1:13" x14ac:dyDescent="0.3">
      <c r="A34" s="751">
        <v>10</v>
      </c>
      <c r="B34" s="383" t="s">
        <v>487</v>
      </c>
      <c r="C34" s="751">
        <v>81.56</v>
      </c>
      <c r="D34" s="384">
        <f t="shared" si="5"/>
        <v>19878</v>
      </c>
      <c r="E34" s="384">
        <v>16565</v>
      </c>
      <c r="F34" s="384">
        <v>0</v>
      </c>
      <c r="G34" s="384">
        <f t="shared" si="8"/>
        <v>3313</v>
      </c>
      <c r="H34" s="385">
        <v>50</v>
      </c>
      <c r="I34" s="751">
        <v>1.7</v>
      </c>
      <c r="J34" s="398">
        <f>((C34*D34*(H34/100+I34))*12)</f>
        <v>42800991.552000001</v>
      </c>
      <c r="K34" s="339"/>
    </row>
    <row r="35" spans="1:13" x14ac:dyDescent="0.3">
      <c r="A35" s="751">
        <v>11</v>
      </c>
      <c r="B35" s="383" t="s">
        <v>808</v>
      </c>
      <c r="C35" s="751">
        <v>1</v>
      </c>
      <c r="D35" s="384">
        <f t="shared" si="5"/>
        <v>15411.12</v>
      </c>
      <c r="E35" s="384">
        <f>7107*1.5*1.2+50</f>
        <v>12842.6</v>
      </c>
      <c r="F35" s="384">
        <v>0</v>
      </c>
      <c r="G35" s="384">
        <f t="shared" si="4"/>
        <v>2568.5200000000004</v>
      </c>
      <c r="H35" s="385">
        <v>50</v>
      </c>
      <c r="I35" s="751">
        <v>1.7</v>
      </c>
      <c r="J35" s="398">
        <f t="shared" si="6"/>
        <v>406853.56800000009</v>
      </c>
      <c r="K35" s="339"/>
    </row>
    <row r="36" spans="1:13" s="319" customFormat="1" x14ac:dyDescent="0.3">
      <c r="A36" s="389"/>
      <c r="B36" s="390" t="s">
        <v>489</v>
      </c>
      <c r="C36" s="389">
        <f>SUM(C24:C35)</f>
        <v>124.04</v>
      </c>
      <c r="D36" s="389">
        <f t="shared" ref="D36:J36" si="9">SUM(D24:D35)</f>
        <v>236824.91999999998</v>
      </c>
      <c r="E36" s="389">
        <f t="shared" si="9"/>
        <v>197354.1</v>
      </c>
      <c r="F36" s="389">
        <f t="shared" si="9"/>
        <v>0</v>
      </c>
      <c r="G36" s="389">
        <f t="shared" si="9"/>
        <v>39470.820000000007</v>
      </c>
      <c r="H36" s="389">
        <v>0</v>
      </c>
      <c r="I36" s="389">
        <v>0</v>
      </c>
      <c r="J36" s="389">
        <f t="shared" si="9"/>
        <v>60258979.178640008</v>
      </c>
      <c r="K36" s="340"/>
      <c r="L36" s="319" t="s">
        <v>801</v>
      </c>
      <c r="M36" s="319" t="e">
        <f>J36+L36</f>
        <v>#VALUE!</v>
      </c>
    </row>
    <row r="37" spans="1:13" ht="15.75" customHeight="1" x14ac:dyDescent="0.3">
      <c r="A37" s="959" t="s">
        <v>490</v>
      </c>
      <c r="B37" s="960"/>
      <c r="C37" s="960"/>
      <c r="D37" s="960"/>
      <c r="E37" s="960"/>
      <c r="F37" s="960"/>
      <c r="G37" s="960"/>
      <c r="H37" s="960"/>
      <c r="I37" s="960"/>
      <c r="J37" s="961"/>
      <c r="K37" s="339"/>
    </row>
    <row r="38" spans="1:13" x14ac:dyDescent="0.3">
      <c r="A38" s="720">
        <v>1</v>
      </c>
      <c r="B38" s="383" t="s">
        <v>496</v>
      </c>
      <c r="C38" s="720">
        <v>2</v>
      </c>
      <c r="D38" s="384">
        <f t="shared" ref="D38:D45" si="10">E38+F38+G38</f>
        <v>15743.426399999998</v>
      </c>
      <c r="E38" s="384">
        <f>7107*1.3*1.42</f>
        <v>13119.521999999999</v>
      </c>
      <c r="F38" s="384">
        <v>0</v>
      </c>
      <c r="G38" s="384">
        <f t="shared" ref="G38:G49" si="11">(E38+F38)*20%</f>
        <v>2623.9043999999999</v>
      </c>
      <c r="H38" s="385">
        <v>50</v>
      </c>
      <c r="I38" s="720">
        <v>1.7</v>
      </c>
      <c r="J38" s="386">
        <f t="shared" ref="J38:J49" si="12">((C38*D38*(H38/100+I38))*12)</f>
        <v>831252.91391999996</v>
      </c>
      <c r="K38" s="339"/>
    </row>
    <row r="39" spans="1:13" x14ac:dyDescent="0.3">
      <c r="A39" s="720">
        <v>2</v>
      </c>
      <c r="B39" s="383" t="s">
        <v>495</v>
      </c>
      <c r="C39" s="720">
        <v>1.5</v>
      </c>
      <c r="D39" s="384">
        <f t="shared" si="10"/>
        <v>18805.121999999999</v>
      </c>
      <c r="E39" s="384">
        <f>7107*1.5*1.47</f>
        <v>15670.934999999999</v>
      </c>
      <c r="F39" s="384">
        <v>0</v>
      </c>
      <c r="G39" s="384">
        <f t="shared" si="11"/>
        <v>3134.1869999999999</v>
      </c>
      <c r="H39" s="385">
        <v>50</v>
      </c>
      <c r="I39" s="720">
        <v>1.7</v>
      </c>
      <c r="J39" s="386">
        <f t="shared" si="12"/>
        <v>744682.83120000002</v>
      </c>
      <c r="K39" s="339"/>
    </row>
    <row r="40" spans="1:13" x14ac:dyDescent="0.3">
      <c r="A40" s="720">
        <v>3</v>
      </c>
      <c r="B40" s="383" t="s">
        <v>494</v>
      </c>
      <c r="C40" s="720">
        <v>1.25</v>
      </c>
      <c r="D40" s="384">
        <f t="shared" si="10"/>
        <v>17525.862000000001</v>
      </c>
      <c r="E40" s="384">
        <f>7107*1.5*1.37</f>
        <v>14604.885000000002</v>
      </c>
      <c r="F40" s="384">
        <v>0</v>
      </c>
      <c r="G40" s="384">
        <f t="shared" si="11"/>
        <v>2920.9770000000008</v>
      </c>
      <c r="H40" s="385">
        <v>50</v>
      </c>
      <c r="I40" s="720">
        <v>1.7</v>
      </c>
      <c r="J40" s="386">
        <f t="shared" si="12"/>
        <v>578353.446</v>
      </c>
      <c r="K40" s="339"/>
    </row>
    <row r="41" spans="1:13" x14ac:dyDescent="0.3">
      <c r="A41" s="720">
        <v>4</v>
      </c>
      <c r="B41" s="383" t="s">
        <v>326</v>
      </c>
      <c r="C41" s="720">
        <v>1.25</v>
      </c>
      <c r="D41" s="384">
        <f t="shared" si="10"/>
        <v>15189.080400000001</v>
      </c>
      <c r="E41" s="384">
        <f>7107*1.3*1.37</f>
        <v>12657.567000000001</v>
      </c>
      <c r="F41" s="384">
        <v>0</v>
      </c>
      <c r="G41" s="384">
        <f t="shared" si="11"/>
        <v>2531.5134000000003</v>
      </c>
      <c r="H41" s="385">
        <v>50</v>
      </c>
      <c r="I41" s="720">
        <v>1.7</v>
      </c>
      <c r="J41" s="386">
        <f t="shared" si="12"/>
        <v>501239.65320000006</v>
      </c>
      <c r="K41" s="339"/>
    </row>
    <row r="42" spans="1:13" x14ac:dyDescent="0.3">
      <c r="A42" s="720">
        <v>5</v>
      </c>
      <c r="B42" s="383" t="s">
        <v>327</v>
      </c>
      <c r="C42" s="720">
        <v>1</v>
      </c>
      <c r="D42" s="384">
        <f t="shared" si="10"/>
        <v>17525.862000000001</v>
      </c>
      <c r="E42" s="384">
        <f t="shared" ref="E42:E49" si="13">7107*1.5*1.37</f>
        <v>14604.885000000002</v>
      </c>
      <c r="F42" s="384">
        <v>0</v>
      </c>
      <c r="G42" s="384">
        <f t="shared" si="11"/>
        <v>2920.9770000000008</v>
      </c>
      <c r="H42" s="385">
        <v>50</v>
      </c>
      <c r="I42" s="720">
        <v>1.7</v>
      </c>
      <c r="J42" s="386">
        <f t="shared" si="12"/>
        <v>462682.75680000009</v>
      </c>
      <c r="K42" s="339"/>
    </row>
    <row r="43" spans="1:13" x14ac:dyDescent="0.3">
      <c r="A43" s="720">
        <v>6</v>
      </c>
      <c r="B43" s="383" t="s">
        <v>493</v>
      </c>
      <c r="C43" s="720">
        <v>1</v>
      </c>
      <c r="D43" s="384">
        <f t="shared" si="10"/>
        <v>15189.080400000001</v>
      </c>
      <c r="E43" s="384">
        <f>7107*1.3*1.37</f>
        <v>12657.567000000001</v>
      </c>
      <c r="F43" s="384">
        <v>0</v>
      </c>
      <c r="G43" s="384">
        <f t="shared" si="11"/>
        <v>2531.5134000000003</v>
      </c>
      <c r="H43" s="385">
        <v>50</v>
      </c>
      <c r="I43" s="720">
        <v>1.7</v>
      </c>
      <c r="J43" s="386">
        <f t="shared" si="12"/>
        <v>400991.72256000002</v>
      </c>
      <c r="K43" s="339"/>
    </row>
    <row r="44" spans="1:13" ht="27.6" x14ac:dyDescent="0.3">
      <c r="A44" s="720">
        <v>7</v>
      </c>
      <c r="B44" s="383" t="s">
        <v>492</v>
      </c>
      <c r="C44" s="720">
        <v>1</v>
      </c>
      <c r="D44" s="384">
        <f t="shared" si="10"/>
        <v>17525.862000000001</v>
      </c>
      <c r="E44" s="384">
        <f t="shared" si="13"/>
        <v>14604.885000000002</v>
      </c>
      <c r="F44" s="384">
        <v>0</v>
      </c>
      <c r="G44" s="384">
        <f t="shared" si="11"/>
        <v>2920.9770000000008</v>
      </c>
      <c r="H44" s="385">
        <v>50</v>
      </c>
      <c r="I44" s="720">
        <v>1.7</v>
      </c>
      <c r="J44" s="386">
        <f t="shared" si="12"/>
        <v>462682.75680000009</v>
      </c>
      <c r="K44" s="339"/>
    </row>
    <row r="45" spans="1:13" ht="27.6" x14ac:dyDescent="0.3">
      <c r="A45" s="720">
        <v>8</v>
      </c>
      <c r="B45" s="383" t="s">
        <v>491</v>
      </c>
      <c r="C45" s="720">
        <v>1</v>
      </c>
      <c r="D45" s="384">
        <f t="shared" si="10"/>
        <v>17525.862000000001</v>
      </c>
      <c r="E45" s="384">
        <f t="shared" si="13"/>
        <v>14604.885000000002</v>
      </c>
      <c r="F45" s="384">
        <v>0</v>
      </c>
      <c r="G45" s="384">
        <f t="shared" si="11"/>
        <v>2920.9770000000008</v>
      </c>
      <c r="H45" s="385">
        <v>50</v>
      </c>
      <c r="I45" s="720">
        <v>1.7</v>
      </c>
      <c r="J45" s="386">
        <f t="shared" si="12"/>
        <v>462682.75680000009</v>
      </c>
      <c r="K45" s="339"/>
    </row>
    <row r="46" spans="1:13" ht="27.6" x14ac:dyDescent="0.3">
      <c r="A46" s="720">
        <v>9</v>
      </c>
      <c r="B46" s="383" t="s">
        <v>325</v>
      </c>
      <c r="C46" s="720">
        <v>1</v>
      </c>
      <c r="D46" s="384">
        <f t="shared" si="2"/>
        <v>17525.862000000001</v>
      </c>
      <c r="E46" s="384">
        <f t="shared" si="13"/>
        <v>14604.885000000002</v>
      </c>
      <c r="F46" s="384">
        <v>0</v>
      </c>
      <c r="G46" s="384">
        <f t="shared" si="11"/>
        <v>2920.9770000000008</v>
      </c>
      <c r="H46" s="385">
        <v>50</v>
      </c>
      <c r="I46" s="720">
        <v>1.7</v>
      </c>
      <c r="J46" s="386">
        <f t="shared" si="12"/>
        <v>462682.75680000009</v>
      </c>
      <c r="K46" s="337"/>
    </row>
    <row r="47" spans="1:13" x14ac:dyDescent="0.3">
      <c r="A47" s="720">
        <v>10</v>
      </c>
      <c r="B47" s="383" t="s">
        <v>497</v>
      </c>
      <c r="C47" s="720">
        <v>1</v>
      </c>
      <c r="D47" s="384">
        <f t="shared" si="2"/>
        <v>17525.862000000001</v>
      </c>
      <c r="E47" s="384">
        <f t="shared" si="13"/>
        <v>14604.885000000002</v>
      </c>
      <c r="F47" s="384">
        <v>0</v>
      </c>
      <c r="G47" s="384">
        <f t="shared" si="11"/>
        <v>2920.9770000000008</v>
      </c>
      <c r="H47" s="385">
        <v>50</v>
      </c>
      <c r="I47" s="720">
        <v>1.7</v>
      </c>
      <c r="J47" s="386">
        <f t="shared" si="12"/>
        <v>462682.75680000009</v>
      </c>
    </row>
    <row r="48" spans="1:13" x14ac:dyDescent="0.3">
      <c r="A48" s="720">
        <v>11</v>
      </c>
      <c r="B48" s="383" t="s">
        <v>498</v>
      </c>
      <c r="C48" s="720">
        <v>1</v>
      </c>
      <c r="D48" s="384">
        <f t="shared" si="2"/>
        <v>15189.080400000001</v>
      </c>
      <c r="E48" s="384">
        <f>7107*1.3*1.37</f>
        <v>12657.567000000001</v>
      </c>
      <c r="F48" s="384">
        <v>0</v>
      </c>
      <c r="G48" s="384">
        <f t="shared" si="11"/>
        <v>2531.5134000000003</v>
      </c>
      <c r="H48" s="385">
        <v>50</v>
      </c>
      <c r="I48" s="720">
        <v>1.7</v>
      </c>
      <c r="J48" s="386">
        <f t="shared" si="12"/>
        <v>400991.72256000002</v>
      </c>
    </row>
    <row r="49" spans="1:11" x14ac:dyDescent="0.3">
      <c r="A49" s="720">
        <v>12</v>
      </c>
      <c r="B49" s="383" t="s">
        <v>499</v>
      </c>
      <c r="C49" s="720">
        <v>2</v>
      </c>
      <c r="D49" s="384">
        <f t="shared" si="2"/>
        <v>17525.862000000001</v>
      </c>
      <c r="E49" s="384">
        <f t="shared" si="13"/>
        <v>14604.885000000002</v>
      </c>
      <c r="F49" s="384">
        <v>0</v>
      </c>
      <c r="G49" s="384">
        <f t="shared" si="11"/>
        <v>2920.9770000000008</v>
      </c>
      <c r="H49" s="385">
        <v>50</v>
      </c>
      <c r="I49" s="720">
        <v>1.7</v>
      </c>
      <c r="J49" s="386">
        <f t="shared" si="12"/>
        <v>925365.51360000018</v>
      </c>
    </row>
    <row r="50" spans="1:11" s="319" customFormat="1" x14ac:dyDescent="0.3">
      <c r="A50" s="389"/>
      <c r="B50" s="390" t="s">
        <v>500</v>
      </c>
      <c r="C50" s="389">
        <f>SUM(C38:C49)</f>
        <v>15</v>
      </c>
      <c r="D50" s="389">
        <f t="shared" ref="D50:J50" si="14">SUM(D38:D49)</f>
        <v>202796.82359999997</v>
      </c>
      <c r="E50" s="389">
        <f t="shared" si="14"/>
        <v>168997.35300000006</v>
      </c>
      <c r="F50" s="389">
        <f t="shared" si="14"/>
        <v>0</v>
      </c>
      <c r="G50" s="389">
        <f t="shared" si="14"/>
        <v>33799.470600000001</v>
      </c>
      <c r="H50" s="389">
        <v>0</v>
      </c>
      <c r="I50" s="389">
        <v>0</v>
      </c>
      <c r="J50" s="389">
        <f t="shared" si="14"/>
        <v>6696291.5870400006</v>
      </c>
      <c r="K50" s="341"/>
    </row>
    <row r="51" spans="1:11" ht="27.6" x14ac:dyDescent="0.3">
      <c r="A51" s="720"/>
      <c r="B51" s="716" t="s">
        <v>501</v>
      </c>
      <c r="C51" s="387">
        <f>C36+C50</f>
        <v>139.04000000000002</v>
      </c>
      <c r="D51" s="387">
        <f>D36+D50</f>
        <v>439621.74359999993</v>
      </c>
      <c r="E51" s="387" t="s">
        <v>14</v>
      </c>
      <c r="F51" s="387" t="s">
        <v>14</v>
      </c>
      <c r="G51" s="387" t="s">
        <v>14</v>
      </c>
      <c r="H51" s="387" t="s">
        <v>14</v>
      </c>
      <c r="I51" s="387" t="s">
        <v>14</v>
      </c>
      <c r="J51" s="387">
        <f>J36+J50</f>
        <v>66955270.765680008</v>
      </c>
    </row>
    <row r="52" spans="1:11" ht="15.75" customHeight="1" x14ac:dyDescent="0.3">
      <c r="A52" s="952" t="s">
        <v>505</v>
      </c>
      <c r="B52" s="958"/>
      <c r="C52" s="958"/>
      <c r="D52" s="958"/>
      <c r="E52" s="958"/>
      <c r="F52" s="958"/>
      <c r="G52" s="958"/>
      <c r="H52" s="958"/>
      <c r="I52" s="958"/>
      <c r="J52" s="958"/>
    </row>
    <row r="53" spans="1:11" x14ac:dyDescent="0.3">
      <c r="A53" s="720">
        <v>1</v>
      </c>
      <c r="B53" s="383" t="s">
        <v>328</v>
      </c>
      <c r="C53" s="720">
        <v>1</v>
      </c>
      <c r="D53" s="384">
        <f t="shared" si="2"/>
        <v>14634.734400000001</v>
      </c>
      <c r="E53" s="384">
        <f>7107*1.3*1.32</f>
        <v>12195.612000000001</v>
      </c>
      <c r="F53" s="384">
        <v>0</v>
      </c>
      <c r="G53" s="384">
        <f>E53*20%</f>
        <v>2439.1224000000002</v>
      </c>
      <c r="H53" s="385">
        <v>50</v>
      </c>
      <c r="I53" s="720">
        <v>1.7</v>
      </c>
      <c r="J53" s="386">
        <f t="shared" ref="J53:J55" si="15">((C53*D53*(H53/100+I53))*12)</f>
        <v>386356.98816000007</v>
      </c>
      <c r="K53" s="337"/>
    </row>
    <row r="54" spans="1:11" x14ac:dyDescent="0.3">
      <c r="A54" s="720">
        <v>2</v>
      </c>
      <c r="B54" s="383" t="s">
        <v>503</v>
      </c>
      <c r="C54" s="720">
        <v>1</v>
      </c>
      <c r="D54" s="384">
        <f t="shared" si="2"/>
        <v>14634.734400000001</v>
      </c>
      <c r="E54" s="384">
        <f t="shared" ref="E54:E55" si="16">7107*1.3*1.32</f>
        <v>12195.612000000001</v>
      </c>
      <c r="F54" s="384">
        <v>0</v>
      </c>
      <c r="G54" s="384">
        <f>E54*20%</f>
        <v>2439.1224000000002</v>
      </c>
      <c r="H54" s="385">
        <v>50</v>
      </c>
      <c r="I54" s="720">
        <v>1.7</v>
      </c>
      <c r="J54" s="386">
        <f t="shared" si="15"/>
        <v>386356.98816000007</v>
      </c>
      <c r="K54" s="337"/>
    </row>
    <row r="55" spans="1:11" ht="27.6" x14ac:dyDescent="0.3">
      <c r="A55" s="720">
        <v>3</v>
      </c>
      <c r="B55" s="383" t="s">
        <v>504</v>
      </c>
      <c r="C55" s="720">
        <v>0.17</v>
      </c>
      <c r="D55" s="384">
        <f t="shared" si="2"/>
        <v>14634.734400000001</v>
      </c>
      <c r="E55" s="384">
        <f t="shared" si="16"/>
        <v>12195.612000000001</v>
      </c>
      <c r="F55" s="384">
        <v>0</v>
      </c>
      <c r="G55" s="384">
        <f>E55*20%</f>
        <v>2439.1224000000002</v>
      </c>
      <c r="H55" s="385">
        <v>50</v>
      </c>
      <c r="I55" s="720">
        <v>1.7</v>
      </c>
      <c r="J55" s="386">
        <f t="shared" si="15"/>
        <v>65680.687987200014</v>
      </c>
    </row>
    <row r="56" spans="1:11" ht="27.6" x14ac:dyDescent="0.3">
      <c r="A56" s="720"/>
      <c r="B56" s="716" t="s">
        <v>502</v>
      </c>
      <c r="C56" s="387">
        <f>SUM(C53:C55)</f>
        <v>2.17</v>
      </c>
      <c r="D56" s="391">
        <f>SUM(D53:D55)</f>
        <v>43904.203200000004</v>
      </c>
      <c r="E56" s="387" t="s">
        <v>14</v>
      </c>
      <c r="F56" s="387" t="s">
        <v>14</v>
      </c>
      <c r="G56" s="387" t="s">
        <v>14</v>
      </c>
      <c r="H56" s="387" t="s">
        <v>14</v>
      </c>
      <c r="I56" s="387" t="s">
        <v>14</v>
      </c>
      <c r="J56" s="260">
        <f>SUM(J53:J55)</f>
        <v>838394.66430720012</v>
      </c>
    </row>
    <row r="57" spans="1:11" ht="15.75" customHeight="1" x14ac:dyDescent="0.3">
      <c r="A57" s="952" t="s">
        <v>506</v>
      </c>
      <c r="B57" s="953"/>
      <c r="C57" s="953"/>
      <c r="D57" s="953"/>
      <c r="E57" s="953"/>
      <c r="F57" s="953"/>
      <c r="G57" s="953"/>
      <c r="H57" s="953"/>
      <c r="I57" s="953"/>
      <c r="J57" s="953"/>
    </row>
    <row r="58" spans="1:11" ht="27.6" x14ac:dyDescent="0.3">
      <c r="A58" s="720">
        <v>1</v>
      </c>
      <c r="B58" s="383" t="s">
        <v>316</v>
      </c>
      <c r="C58" s="720">
        <v>14</v>
      </c>
      <c r="D58" s="384">
        <f t="shared" si="2"/>
        <v>12468.520799999998</v>
      </c>
      <c r="E58" s="384">
        <f>7107*1.462</f>
        <v>10390.433999999999</v>
      </c>
      <c r="F58" s="384">
        <v>0</v>
      </c>
      <c r="G58" s="384">
        <f>(E58+F58)*20%</f>
        <v>2078.0868</v>
      </c>
      <c r="H58" s="385">
        <v>50</v>
      </c>
      <c r="I58" s="720">
        <v>1.7</v>
      </c>
      <c r="J58" s="386">
        <f>((C58*D58*(H58/100+I58))*12)</f>
        <v>4608365.2876800001</v>
      </c>
      <c r="K58" s="337"/>
    </row>
    <row r="59" spans="1:11" x14ac:dyDescent="0.3">
      <c r="A59" s="720">
        <v>2</v>
      </c>
      <c r="B59" s="383" t="s">
        <v>507</v>
      </c>
      <c r="C59" s="720">
        <v>1</v>
      </c>
      <c r="D59" s="384">
        <f>E59+F59+G59</f>
        <v>12647.617200000001</v>
      </c>
      <c r="E59" s="384">
        <f>7107*1.483</f>
        <v>10539.681</v>
      </c>
      <c r="F59" s="384">
        <v>0</v>
      </c>
      <c r="G59" s="384">
        <f t="shared" ref="G59:G63" si="17">(E59+F59)*20%</f>
        <v>2107.9362000000001</v>
      </c>
      <c r="H59" s="385">
        <v>50</v>
      </c>
      <c r="I59" s="720">
        <v>1.7</v>
      </c>
      <c r="J59" s="386">
        <f t="shared" ref="J59:J64" si="18">((C59*D59*(H59/100+I59))*12)</f>
        <v>333897.09408000001</v>
      </c>
      <c r="K59" s="337"/>
    </row>
    <row r="60" spans="1:11" ht="41.4" x14ac:dyDescent="0.3">
      <c r="A60" s="720">
        <v>3</v>
      </c>
      <c r="B60" s="383" t="s">
        <v>314</v>
      </c>
      <c r="C60" s="720">
        <v>1.5</v>
      </c>
      <c r="D60" s="384">
        <f t="shared" si="2"/>
        <v>12570.861599999998</v>
      </c>
      <c r="E60" s="384">
        <f>7107*1.474</f>
        <v>10475.717999999999</v>
      </c>
      <c r="F60" s="384">
        <v>0</v>
      </c>
      <c r="G60" s="384">
        <f t="shared" si="17"/>
        <v>2095.1435999999999</v>
      </c>
      <c r="H60" s="385">
        <v>50</v>
      </c>
      <c r="I60" s="720">
        <v>1.7</v>
      </c>
      <c r="J60" s="386">
        <f t="shared" si="18"/>
        <v>497806.11936000001</v>
      </c>
    </row>
    <row r="61" spans="1:11" x14ac:dyDescent="0.3">
      <c r="A61" s="720">
        <v>4</v>
      </c>
      <c r="B61" s="383" t="s">
        <v>317</v>
      </c>
      <c r="C61" s="720">
        <v>4</v>
      </c>
      <c r="D61" s="384">
        <f t="shared" si="2"/>
        <v>12468.520799999998</v>
      </c>
      <c r="E61" s="384">
        <f t="shared" ref="E61:E64" si="19">7107*1.462</f>
        <v>10390.433999999999</v>
      </c>
      <c r="F61" s="384">
        <v>0</v>
      </c>
      <c r="G61" s="384">
        <f t="shared" si="17"/>
        <v>2078.0868</v>
      </c>
      <c r="H61" s="385">
        <v>50</v>
      </c>
      <c r="I61" s="720">
        <v>1.7</v>
      </c>
      <c r="J61" s="386">
        <f t="shared" si="18"/>
        <v>1316675.79648</v>
      </c>
    </row>
    <row r="62" spans="1:11" x14ac:dyDescent="0.3">
      <c r="A62" s="720">
        <v>5</v>
      </c>
      <c r="B62" s="383" t="s">
        <v>508</v>
      </c>
      <c r="C62" s="720">
        <v>0</v>
      </c>
      <c r="D62" s="384">
        <f t="shared" si="2"/>
        <v>12468.520799999998</v>
      </c>
      <c r="E62" s="384">
        <f t="shared" si="19"/>
        <v>10390.433999999999</v>
      </c>
      <c r="F62" s="384">
        <v>0</v>
      </c>
      <c r="G62" s="384">
        <f t="shared" si="17"/>
        <v>2078.0868</v>
      </c>
      <c r="H62" s="385">
        <v>50</v>
      </c>
      <c r="I62" s="720">
        <v>1.7</v>
      </c>
      <c r="J62" s="386">
        <f t="shared" si="18"/>
        <v>0</v>
      </c>
    </row>
    <row r="63" spans="1:11" x14ac:dyDescent="0.3">
      <c r="A63" s="720">
        <v>6</v>
      </c>
      <c r="B63" s="383" t="s">
        <v>315</v>
      </c>
      <c r="C63" s="720">
        <v>1</v>
      </c>
      <c r="D63" s="384">
        <f t="shared" si="2"/>
        <v>12519.691199999999</v>
      </c>
      <c r="E63" s="384">
        <f>7107*1.468</f>
        <v>10433.075999999999</v>
      </c>
      <c r="F63" s="384">
        <v>0</v>
      </c>
      <c r="G63" s="384">
        <f t="shared" si="17"/>
        <v>2086.6151999999997</v>
      </c>
      <c r="H63" s="385">
        <v>50</v>
      </c>
      <c r="I63" s="720">
        <v>1.7</v>
      </c>
      <c r="J63" s="386">
        <f t="shared" si="18"/>
        <v>330519.84768000001</v>
      </c>
    </row>
    <row r="64" spans="1:11" x14ac:dyDescent="0.3">
      <c r="A64" s="720">
        <v>7</v>
      </c>
      <c r="B64" s="383" t="s">
        <v>318</v>
      </c>
      <c r="C64" s="720">
        <v>2</v>
      </c>
      <c r="D64" s="384">
        <f t="shared" si="2"/>
        <v>12468.520799999998</v>
      </c>
      <c r="E64" s="384">
        <f t="shared" si="19"/>
        <v>10390.433999999999</v>
      </c>
      <c r="F64" s="384">
        <v>0</v>
      </c>
      <c r="G64" s="384">
        <f>(E64+F64)*20%</f>
        <v>2078.0868</v>
      </c>
      <c r="H64" s="385">
        <v>50</v>
      </c>
      <c r="I64" s="720">
        <v>1.7</v>
      </c>
      <c r="J64" s="386">
        <f t="shared" si="18"/>
        <v>658337.89824000001</v>
      </c>
    </row>
    <row r="65" spans="1:16" ht="27.6" x14ac:dyDescent="0.3">
      <c r="A65" s="720"/>
      <c r="B65" s="716" t="s">
        <v>509</v>
      </c>
      <c r="C65" s="387">
        <f>SUM(C58:C64)</f>
        <v>23.5</v>
      </c>
      <c r="D65" s="391">
        <f>SUM(D58:D64)</f>
        <v>87612.253199999992</v>
      </c>
      <c r="E65" s="387"/>
      <c r="F65" s="387" t="s">
        <v>14</v>
      </c>
      <c r="G65" s="387" t="s">
        <v>14</v>
      </c>
      <c r="H65" s="387" t="s">
        <v>14</v>
      </c>
      <c r="I65" s="387" t="s">
        <v>14</v>
      </c>
      <c r="J65" s="260">
        <f>SUM(J58:J64)</f>
        <v>7745602.0435199998</v>
      </c>
      <c r="K65" s="338"/>
    </row>
    <row r="66" spans="1:16" x14ac:dyDescent="0.3">
      <c r="A66" s="594"/>
      <c r="B66" s="598"/>
      <c r="C66" s="387"/>
      <c r="D66" s="391"/>
      <c r="E66" s="387"/>
      <c r="F66" s="387"/>
      <c r="G66" s="387"/>
      <c r="H66" s="387"/>
      <c r="I66" s="387"/>
      <c r="J66" s="260"/>
      <c r="K66" s="338"/>
    </row>
    <row r="67" spans="1:16" s="317" customFormat="1" x14ac:dyDescent="0.3">
      <c r="A67" s="964"/>
      <c r="B67" s="965"/>
      <c r="C67" s="965"/>
      <c r="D67" s="965"/>
      <c r="E67" s="965"/>
      <c r="F67" s="965"/>
      <c r="G67" s="965"/>
      <c r="H67" s="965"/>
      <c r="I67" s="965"/>
      <c r="J67" s="392"/>
      <c r="K67" s="334"/>
    </row>
    <row r="68" spans="1:16" ht="15.75" customHeight="1" x14ac:dyDescent="0.3">
      <c r="A68" s="921" t="s">
        <v>331</v>
      </c>
      <c r="B68" s="921"/>
      <c r="C68" s="387">
        <f>C21+C51+C56+C65</f>
        <v>173.71</v>
      </c>
      <c r="D68" s="391">
        <f>D21+D51+D56+D65</f>
        <v>874000.23649090901</v>
      </c>
      <c r="E68" s="387" t="s">
        <v>14</v>
      </c>
      <c r="F68" s="387" t="s">
        <v>14</v>
      </c>
      <c r="G68" s="387" t="s">
        <v>14</v>
      </c>
      <c r="H68" s="387" t="s">
        <v>14</v>
      </c>
      <c r="I68" s="387" t="s">
        <v>14</v>
      </c>
      <c r="J68" s="393">
        <f>J21+J51+J56+J65+J67</f>
        <v>83534825.236867219</v>
      </c>
      <c r="K68" s="334" t="s">
        <v>941</v>
      </c>
      <c r="L68" s="318"/>
    </row>
    <row r="69" spans="1:16" ht="27" customHeight="1" x14ac:dyDescent="0.3">
      <c r="A69" s="959" t="s">
        <v>335</v>
      </c>
      <c r="B69" s="962"/>
      <c r="C69" s="962"/>
      <c r="D69" s="962"/>
      <c r="E69" s="962"/>
      <c r="F69" s="962"/>
      <c r="G69" s="962"/>
      <c r="H69" s="962"/>
      <c r="I69" s="963"/>
      <c r="J69" s="386">
        <f>8300000-91.9405632</f>
        <v>8299908.0594368</v>
      </c>
      <c r="K69" s="542">
        <f>J68*10%</f>
        <v>8353482.5236867219</v>
      </c>
      <c r="L69" s="318">
        <v>3636</v>
      </c>
    </row>
    <row r="70" spans="1:16" ht="27" customHeight="1" x14ac:dyDescent="0.3">
      <c r="A70" s="984" t="s">
        <v>320</v>
      </c>
      <c r="B70" s="985"/>
      <c r="C70" s="985"/>
      <c r="D70" s="985"/>
      <c r="E70" s="985"/>
      <c r="F70" s="985"/>
      <c r="G70" s="985"/>
      <c r="H70" s="985"/>
      <c r="I70" s="986"/>
      <c r="J70" s="386">
        <v>1990000</v>
      </c>
      <c r="K70" s="542"/>
      <c r="L70" s="318"/>
    </row>
    <row r="71" spans="1:16" ht="19.5" customHeight="1" x14ac:dyDescent="0.3">
      <c r="A71" s="959" t="s">
        <v>1000</v>
      </c>
      <c r="B71" s="960"/>
      <c r="C71" s="960"/>
      <c r="D71" s="960"/>
      <c r="E71" s="960"/>
      <c r="F71" s="960"/>
      <c r="G71" s="960"/>
      <c r="H71" s="960"/>
      <c r="I71" s="961"/>
      <c r="J71" s="386">
        <v>2000000</v>
      </c>
      <c r="K71" s="542"/>
      <c r="L71" s="318"/>
    </row>
    <row r="72" spans="1:16" ht="21.75" customHeight="1" x14ac:dyDescent="0.3">
      <c r="A72" s="959" t="s">
        <v>331</v>
      </c>
      <c r="B72" s="960"/>
      <c r="C72" s="960"/>
      <c r="D72" s="960"/>
      <c r="E72" s="960"/>
      <c r="F72" s="960"/>
      <c r="G72" s="960"/>
      <c r="H72" s="960"/>
      <c r="I72" s="961"/>
      <c r="J72" s="260">
        <f>J68+J69+J67+J70+J71-733.296304</f>
        <v>95824000.000000015</v>
      </c>
      <c r="L72" s="324">
        <v>84800000</v>
      </c>
      <c r="N72" s="394">
        <f>J72-L72</f>
        <v>11024000.000000015</v>
      </c>
      <c r="P72" s="173">
        <v>97500</v>
      </c>
    </row>
    <row r="73" spans="1:16" ht="65.25" hidden="1" customHeight="1" x14ac:dyDescent="0.3">
      <c r="A73" s="596"/>
      <c r="B73" s="596" t="s">
        <v>607</v>
      </c>
      <c r="C73" s="596"/>
      <c r="D73" s="596"/>
      <c r="E73" s="596"/>
      <c r="F73" s="596"/>
      <c r="G73" s="596"/>
      <c r="H73" s="596"/>
      <c r="I73" s="596"/>
      <c r="J73" s="386">
        <v>0</v>
      </c>
      <c r="L73" s="324"/>
    </row>
    <row r="74" spans="1:16" ht="20.25" hidden="1" customHeight="1" x14ac:dyDescent="0.3">
      <c r="A74" s="959" t="s">
        <v>631</v>
      </c>
      <c r="B74" s="960"/>
      <c r="C74" s="960"/>
      <c r="D74" s="960"/>
      <c r="E74" s="960"/>
      <c r="F74" s="960"/>
      <c r="G74" s="960"/>
      <c r="H74" s="960"/>
      <c r="I74" s="961"/>
      <c r="J74" s="386">
        <v>0</v>
      </c>
      <c r="L74" s="324"/>
    </row>
    <row r="75" spans="1:16" ht="39.75" hidden="1" customHeight="1" x14ac:dyDescent="0.3">
      <c r="A75" s="959" t="s">
        <v>599</v>
      </c>
      <c r="B75" s="960"/>
      <c r="C75" s="960"/>
      <c r="D75" s="960"/>
      <c r="E75" s="960"/>
      <c r="F75" s="960"/>
      <c r="G75" s="960"/>
      <c r="H75" s="960"/>
      <c r="I75" s="961"/>
      <c r="J75" s="386">
        <v>0</v>
      </c>
      <c r="L75" s="324"/>
    </row>
    <row r="76" spans="1:16" hidden="1" x14ac:dyDescent="0.3">
      <c r="A76" s="395"/>
      <c r="B76" s="395"/>
      <c r="C76" s="595"/>
      <c r="D76" s="397"/>
      <c r="E76" s="595"/>
      <c r="F76" s="595"/>
      <c r="G76" s="595"/>
      <c r="H76" s="595"/>
      <c r="I76" s="595"/>
      <c r="J76" s="518"/>
      <c r="L76" s="324"/>
    </row>
    <row r="77" spans="1:16" hidden="1" x14ac:dyDescent="0.3">
      <c r="A77" s="949" t="s">
        <v>1</v>
      </c>
      <c r="B77" s="949" t="s">
        <v>2</v>
      </c>
      <c r="C77" s="949" t="s">
        <v>3</v>
      </c>
      <c r="D77" s="948" t="s">
        <v>4</v>
      </c>
      <c r="E77" s="948"/>
      <c r="F77" s="948"/>
      <c r="G77" s="948"/>
      <c r="H77" s="949" t="s">
        <v>5</v>
      </c>
      <c r="I77" s="949" t="s">
        <v>6</v>
      </c>
      <c r="J77" s="949" t="s">
        <v>312</v>
      </c>
      <c r="L77" s="324"/>
    </row>
    <row r="78" spans="1:16" hidden="1" x14ac:dyDescent="0.3">
      <c r="A78" s="949"/>
      <c r="B78" s="949"/>
      <c r="C78" s="949"/>
      <c r="D78" s="949" t="s">
        <v>8</v>
      </c>
      <c r="E78" s="948" t="s">
        <v>9</v>
      </c>
      <c r="F78" s="948"/>
      <c r="G78" s="948"/>
      <c r="H78" s="949"/>
      <c r="I78" s="949"/>
      <c r="J78" s="949"/>
      <c r="L78" s="324"/>
    </row>
    <row r="79" spans="1:16" ht="69" hidden="1" x14ac:dyDescent="0.3">
      <c r="A79" s="949"/>
      <c r="B79" s="949"/>
      <c r="C79" s="949"/>
      <c r="D79" s="949"/>
      <c r="E79" s="590" t="s">
        <v>10</v>
      </c>
      <c r="F79" s="590" t="s">
        <v>11</v>
      </c>
      <c r="G79" s="590" t="s">
        <v>12</v>
      </c>
      <c r="H79" s="949"/>
      <c r="I79" s="949"/>
      <c r="J79" s="949"/>
      <c r="L79" s="324"/>
    </row>
    <row r="80" spans="1:16" hidden="1" x14ac:dyDescent="0.3">
      <c r="A80" s="594">
        <v>1</v>
      </c>
      <c r="B80" s="594">
        <v>2</v>
      </c>
      <c r="C80" s="594">
        <v>3</v>
      </c>
      <c r="D80" s="594">
        <v>4</v>
      </c>
      <c r="E80" s="594">
        <v>5</v>
      </c>
      <c r="F80" s="594">
        <v>6</v>
      </c>
      <c r="G80" s="594">
        <v>7</v>
      </c>
      <c r="H80" s="594">
        <v>8</v>
      </c>
      <c r="I80" s="594">
        <v>9</v>
      </c>
      <c r="J80" s="594">
        <v>10</v>
      </c>
      <c r="L80" s="324"/>
    </row>
    <row r="81" spans="1:12" hidden="1" x14ac:dyDescent="0.3">
      <c r="A81" s="952" t="s">
        <v>313</v>
      </c>
      <c r="B81" s="953"/>
      <c r="C81" s="953"/>
      <c r="D81" s="953"/>
      <c r="E81" s="953"/>
      <c r="F81" s="953"/>
      <c r="G81" s="953"/>
      <c r="H81" s="953"/>
      <c r="I81" s="953"/>
      <c r="J81" s="953"/>
      <c r="L81" s="324"/>
    </row>
    <row r="82" spans="1:12" ht="41.4" hidden="1" x14ac:dyDescent="0.3">
      <c r="A82" s="594">
        <v>1</v>
      </c>
      <c r="B82" s="383" t="s">
        <v>314</v>
      </c>
      <c r="C82" s="594"/>
      <c r="D82" s="398">
        <f>E82+F82+G82</f>
        <v>0</v>
      </c>
      <c r="E82" s="398"/>
      <c r="F82" s="398"/>
      <c r="G82" s="398">
        <f>(E82+F82)*20%</f>
        <v>0</v>
      </c>
      <c r="H82" s="385">
        <v>50</v>
      </c>
      <c r="I82" s="594">
        <v>1.7</v>
      </c>
      <c r="J82" s="399">
        <f>(C82*D82*(H82/100+I82))*12.5</f>
        <v>0</v>
      </c>
      <c r="L82" s="324"/>
    </row>
    <row r="83" spans="1:12" ht="15.75" hidden="1" customHeight="1" x14ac:dyDescent="0.3">
      <c r="A83" s="594">
        <v>2</v>
      </c>
      <c r="B83" s="383" t="s">
        <v>315</v>
      </c>
      <c r="C83" s="594"/>
      <c r="D83" s="398">
        <f t="shared" ref="D83:D84" si="20">E83+F83+G83</f>
        <v>0</v>
      </c>
      <c r="E83" s="398"/>
      <c r="F83" s="398"/>
      <c r="G83" s="398">
        <f>(E83+F83)*20%</f>
        <v>0</v>
      </c>
      <c r="H83" s="385">
        <v>50</v>
      </c>
      <c r="I83" s="594">
        <v>1.7</v>
      </c>
      <c r="J83" s="399">
        <f>(C83*D83*(H83/100+I83))*12.5</f>
        <v>0</v>
      </c>
      <c r="L83" s="324"/>
    </row>
    <row r="84" spans="1:12" ht="27.6" hidden="1" x14ac:dyDescent="0.3">
      <c r="A84" s="594">
        <v>3</v>
      </c>
      <c r="B84" s="383" t="s">
        <v>316</v>
      </c>
      <c r="C84" s="594"/>
      <c r="D84" s="398">
        <f t="shared" si="20"/>
        <v>0</v>
      </c>
      <c r="E84" s="398"/>
      <c r="F84" s="398"/>
      <c r="G84" s="398">
        <f>(E84+F84)*20%</f>
        <v>0</v>
      </c>
      <c r="H84" s="385">
        <v>50</v>
      </c>
      <c r="I84" s="594">
        <v>1.7</v>
      </c>
      <c r="J84" s="399">
        <f>(C84*D84*(H84/100+I84))*12.5</f>
        <v>0</v>
      </c>
      <c r="L84" s="324"/>
    </row>
    <row r="85" spans="1:12" hidden="1" x14ac:dyDescent="0.3">
      <c r="A85" s="594">
        <v>4</v>
      </c>
      <c r="B85" s="383" t="s">
        <v>317</v>
      </c>
      <c r="C85" s="594"/>
      <c r="D85" s="398">
        <f>E85+F85+G85</f>
        <v>0</v>
      </c>
      <c r="E85" s="398"/>
      <c r="F85" s="398"/>
      <c r="G85" s="398">
        <f>(E85+F85)*20%</f>
        <v>0</v>
      </c>
      <c r="H85" s="385">
        <v>50</v>
      </c>
      <c r="I85" s="594">
        <v>1.7</v>
      </c>
      <c r="J85" s="399">
        <f>(C85*D85*(H85/100+I85))*12.5</f>
        <v>0</v>
      </c>
      <c r="L85" s="324"/>
    </row>
    <row r="86" spans="1:12" ht="21.75" hidden="1" customHeight="1" x14ac:dyDescent="0.3">
      <c r="A86" s="594">
        <v>5</v>
      </c>
      <c r="B86" s="383" t="s">
        <v>318</v>
      </c>
      <c r="C86" s="594"/>
      <c r="D86" s="398">
        <f t="shared" ref="D86" si="21">E86+F86+G86</f>
        <v>0</v>
      </c>
      <c r="E86" s="398"/>
      <c r="F86" s="398"/>
      <c r="G86" s="398">
        <f t="shared" ref="G86" si="22">(E86+F86)*20%</f>
        <v>0</v>
      </c>
      <c r="H86" s="385">
        <v>50</v>
      </c>
      <c r="I86" s="594">
        <v>1.7</v>
      </c>
      <c r="J86" s="399">
        <f>(C86*D86*(H86/100+I86))*12.5</f>
        <v>0</v>
      </c>
      <c r="K86" s="339"/>
      <c r="L86" s="324"/>
    </row>
    <row r="87" spans="1:12" ht="16.5" hidden="1" customHeight="1" x14ac:dyDescent="0.3">
      <c r="A87" s="594"/>
      <c r="B87" s="596" t="s">
        <v>319</v>
      </c>
      <c r="C87" s="400">
        <f>SUM(C82:C86)</f>
        <v>0</v>
      </c>
      <c r="D87" s="401">
        <f>SUM(D82:D86)</f>
        <v>0</v>
      </c>
      <c r="E87" s="400" t="s">
        <v>14</v>
      </c>
      <c r="F87" s="400" t="s">
        <v>14</v>
      </c>
      <c r="G87" s="400" t="s">
        <v>14</v>
      </c>
      <c r="H87" s="400" t="s">
        <v>14</v>
      </c>
      <c r="I87" s="400" t="s">
        <v>14</v>
      </c>
      <c r="J87" s="399">
        <f>SUM(J82:J86)</f>
        <v>0</v>
      </c>
      <c r="L87" s="324"/>
    </row>
    <row r="88" spans="1:12" ht="15.75" hidden="1" customHeight="1" x14ac:dyDescent="0.3">
      <c r="A88" s="954" t="s">
        <v>343</v>
      </c>
      <c r="B88" s="955"/>
      <c r="C88" s="955"/>
      <c r="D88" s="955"/>
      <c r="E88" s="955"/>
      <c r="F88" s="955"/>
      <c r="G88" s="955"/>
      <c r="H88" s="955"/>
      <c r="I88" s="956"/>
      <c r="J88" s="399"/>
      <c r="L88" s="324"/>
    </row>
    <row r="89" spans="1:12" s="317" customFormat="1" hidden="1" x14ac:dyDescent="0.3">
      <c r="A89" s="954" t="s">
        <v>797</v>
      </c>
      <c r="B89" s="955"/>
      <c r="C89" s="955"/>
      <c r="D89" s="955"/>
      <c r="E89" s="955"/>
      <c r="F89" s="955"/>
      <c r="G89" s="955"/>
      <c r="H89" s="955"/>
      <c r="I89" s="956"/>
      <c r="J89" s="399">
        <v>0</v>
      </c>
      <c r="K89" s="334"/>
      <c r="L89" s="324"/>
    </row>
    <row r="90" spans="1:12" s="317" customFormat="1" x14ac:dyDescent="0.3">
      <c r="A90" s="1423" t="s">
        <v>379</v>
      </c>
      <c r="B90" s="1424"/>
      <c r="C90" s="1424"/>
      <c r="D90" s="1424"/>
      <c r="E90" s="1424"/>
      <c r="F90" s="1424"/>
      <c r="G90" s="1424"/>
      <c r="H90" s="1424"/>
      <c r="I90" s="1425"/>
      <c r="J90" s="392">
        <v>192000</v>
      </c>
      <c r="K90" s="334"/>
      <c r="L90" s="324"/>
    </row>
    <row r="91" spans="1:12" s="317" customFormat="1" x14ac:dyDescent="0.3">
      <c r="A91" s="966" t="s">
        <v>511</v>
      </c>
      <c r="B91" s="967"/>
      <c r="C91" s="967"/>
      <c r="D91" s="967"/>
      <c r="E91" s="967"/>
      <c r="F91" s="967"/>
      <c r="G91" s="967"/>
      <c r="H91" s="967"/>
      <c r="I91" s="967"/>
      <c r="J91" s="968"/>
      <c r="K91" s="334"/>
      <c r="L91" s="324"/>
    </row>
    <row r="92" spans="1:12" ht="31.5" customHeight="1" x14ac:dyDescent="0.3">
      <c r="A92" s="922" t="s">
        <v>959</v>
      </c>
      <c r="B92" s="923"/>
      <c r="C92" s="594">
        <v>2</v>
      </c>
      <c r="D92" s="398">
        <f>D87</f>
        <v>0</v>
      </c>
      <c r="E92" s="594" t="s">
        <v>14</v>
      </c>
      <c r="F92" s="594" t="s">
        <v>14</v>
      </c>
      <c r="G92" s="594" t="s">
        <v>14</v>
      </c>
      <c r="H92" s="594" t="s">
        <v>14</v>
      </c>
      <c r="I92" s="594" t="s">
        <v>14</v>
      </c>
      <c r="J92" s="399">
        <f>J90</f>
        <v>192000</v>
      </c>
      <c r="K92" s="339"/>
      <c r="L92" s="324"/>
    </row>
    <row r="93" spans="1:12" ht="21" customHeight="1" x14ac:dyDescent="0.3">
      <c r="A93" s="934" t="s">
        <v>510</v>
      </c>
      <c r="B93" s="935"/>
      <c r="C93" s="935"/>
      <c r="D93" s="935"/>
      <c r="E93" s="935"/>
      <c r="F93" s="935"/>
      <c r="G93" s="935"/>
      <c r="H93" s="935"/>
      <c r="I93" s="935"/>
      <c r="J93" s="725">
        <f>J92+J72+J75+J73+J74</f>
        <v>96016000.000000015</v>
      </c>
      <c r="K93" s="339"/>
      <c r="L93" s="324">
        <f>J72+J73+J74+J75+J92</f>
        <v>96016000.000000015</v>
      </c>
    </row>
    <row r="94" spans="1:12" ht="21" customHeight="1" x14ac:dyDescent="0.3">
      <c r="A94" s="599"/>
      <c r="B94" s="223"/>
      <c r="C94" s="593"/>
      <c r="D94" s="225"/>
      <c r="E94" s="601"/>
      <c r="F94" s="601"/>
      <c r="G94" s="601"/>
      <c r="H94" s="601"/>
      <c r="I94" s="601"/>
      <c r="J94" s="519"/>
      <c r="K94" s="339"/>
      <c r="L94" s="318"/>
    </row>
    <row r="95" spans="1:12" ht="20.25" customHeight="1" x14ac:dyDescent="0.3">
      <c r="A95" s="812" t="s">
        <v>602</v>
      </c>
      <c r="B95" s="925"/>
      <c r="C95" s="925"/>
      <c r="D95" s="925"/>
      <c r="E95" s="925"/>
      <c r="F95" s="925"/>
      <c r="G95" s="925"/>
      <c r="H95" s="925"/>
      <c r="I95" s="925"/>
      <c r="J95" s="926"/>
    </row>
    <row r="96" spans="1:12" ht="30" customHeight="1" x14ac:dyDescent="0.3">
      <c r="A96" s="591" t="s">
        <v>1</v>
      </c>
      <c r="B96" s="924" t="s">
        <v>44</v>
      </c>
      <c r="C96" s="924"/>
      <c r="D96" s="924"/>
      <c r="E96" s="924" t="s">
        <v>45</v>
      </c>
      <c r="F96" s="924"/>
      <c r="G96" s="924" t="s">
        <v>46</v>
      </c>
      <c r="H96" s="924"/>
      <c r="I96" s="924" t="s">
        <v>102</v>
      </c>
      <c r="J96" s="924"/>
    </row>
    <row r="97" spans="1:11" ht="16.5" customHeight="1" x14ac:dyDescent="0.3">
      <c r="A97" s="566">
        <v>1</v>
      </c>
      <c r="B97" s="778">
        <v>2</v>
      </c>
      <c r="C97" s="778"/>
      <c r="D97" s="778"/>
      <c r="E97" s="778">
        <v>3</v>
      </c>
      <c r="F97" s="778"/>
      <c r="G97" s="778">
        <v>4</v>
      </c>
      <c r="H97" s="778"/>
      <c r="I97" s="778">
        <v>5</v>
      </c>
      <c r="J97" s="778"/>
    </row>
    <row r="98" spans="1:11" ht="30.75" hidden="1" customHeight="1" x14ac:dyDescent="0.3">
      <c r="A98" s="574">
        <v>1</v>
      </c>
      <c r="B98" s="927" t="s">
        <v>603</v>
      </c>
      <c r="C98" s="928"/>
      <c r="D98" s="929"/>
      <c r="E98" s="930">
        <v>0</v>
      </c>
      <c r="F98" s="930"/>
      <c r="G98" s="826">
        <v>0</v>
      </c>
      <c r="H98" s="826"/>
      <c r="I98" s="931">
        <v>0</v>
      </c>
      <c r="J98" s="931"/>
    </row>
    <row r="99" spans="1:11" ht="47.25" customHeight="1" x14ac:dyDescent="0.3">
      <c r="A99" s="574">
        <v>1</v>
      </c>
      <c r="B99" s="927" t="s">
        <v>604</v>
      </c>
      <c r="C99" s="928"/>
      <c r="D99" s="929"/>
      <c r="E99" s="930">
        <f>I99/G99</f>
        <v>8333.3333333333339</v>
      </c>
      <c r="F99" s="930"/>
      <c r="G99" s="826">
        <v>72</v>
      </c>
      <c r="H99" s="826"/>
      <c r="I99" s="931">
        <v>600000</v>
      </c>
      <c r="J99" s="931"/>
    </row>
    <row r="100" spans="1:11" ht="22.5" customHeight="1" x14ac:dyDescent="0.3">
      <c r="A100" s="597"/>
      <c r="B100" s="934" t="s">
        <v>331</v>
      </c>
      <c r="C100" s="935"/>
      <c r="D100" s="936"/>
      <c r="E100" s="937" t="s">
        <v>14</v>
      </c>
      <c r="F100" s="938"/>
      <c r="G100" s="937" t="s">
        <v>14</v>
      </c>
      <c r="H100" s="943"/>
      <c r="I100" s="932">
        <f>I99+I98</f>
        <v>600000</v>
      </c>
      <c r="J100" s="933"/>
    </row>
    <row r="101" spans="1:11" s="317" customFormat="1" ht="40.5" customHeight="1" x14ac:dyDescent="0.3">
      <c r="A101" s="972" t="s">
        <v>360</v>
      </c>
      <c r="B101" s="972"/>
      <c r="C101" s="972"/>
      <c r="D101" s="972"/>
      <c r="E101" s="972"/>
      <c r="F101" s="972"/>
      <c r="G101" s="972"/>
      <c r="H101" s="972"/>
      <c r="I101" s="972"/>
      <c r="J101" s="972"/>
      <c r="K101" s="334"/>
    </row>
    <row r="102" spans="1:11" ht="39.6" x14ac:dyDescent="0.3">
      <c r="A102" s="566" t="s">
        <v>1</v>
      </c>
      <c r="B102" s="778" t="s">
        <v>15</v>
      </c>
      <c r="C102" s="778"/>
      <c r="D102" s="778"/>
      <c r="E102" s="778" t="s">
        <v>16</v>
      </c>
      <c r="F102" s="778"/>
      <c r="G102" s="566" t="s">
        <v>17</v>
      </c>
      <c r="H102" s="566" t="s">
        <v>18</v>
      </c>
      <c r="I102" s="778" t="s">
        <v>104</v>
      </c>
      <c r="J102" s="778"/>
    </row>
    <row r="103" spans="1:11" x14ac:dyDescent="0.3">
      <c r="A103" s="566">
        <v>1</v>
      </c>
      <c r="B103" s="778">
        <v>2</v>
      </c>
      <c r="C103" s="778"/>
      <c r="D103" s="778"/>
      <c r="E103" s="778">
        <v>3</v>
      </c>
      <c r="F103" s="778"/>
      <c r="G103" s="566">
        <v>4</v>
      </c>
      <c r="H103" s="566">
        <v>5</v>
      </c>
      <c r="I103" s="778">
        <v>6</v>
      </c>
      <c r="J103" s="778"/>
    </row>
    <row r="104" spans="1:11" ht="16.5" hidden="1" customHeight="1" x14ac:dyDescent="0.3">
      <c r="A104" s="812" t="s">
        <v>361</v>
      </c>
      <c r="B104" s="925"/>
      <c r="C104" s="925"/>
      <c r="D104" s="925"/>
      <c r="E104" s="925"/>
      <c r="F104" s="925"/>
      <c r="G104" s="925"/>
      <c r="H104" s="925"/>
      <c r="I104" s="925"/>
      <c r="J104" s="926"/>
    </row>
    <row r="105" spans="1:11" ht="48.75" hidden="1" customHeight="1" x14ac:dyDescent="0.3">
      <c r="A105" s="576" t="s">
        <v>70</v>
      </c>
      <c r="B105" s="809" t="s">
        <v>362</v>
      </c>
      <c r="C105" s="810"/>
      <c r="D105" s="811"/>
      <c r="E105" s="941">
        <v>0</v>
      </c>
      <c r="F105" s="942"/>
      <c r="G105" s="576">
        <v>0</v>
      </c>
      <c r="H105" s="576">
        <v>0</v>
      </c>
      <c r="I105" s="825">
        <f>E105*G105*H105</f>
        <v>0</v>
      </c>
      <c r="J105" s="825"/>
    </row>
    <row r="106" spans="1:11" ht="15" customHeight="1" x14ac:dyDescent="0.3">
      <c r="A106" s="812" t="s">
        <v>363</v>
      </c>
      <c r="B106" s="925"/>
      <c r="C106" s="925"/>
      <c r="D106" s="925"/>
      <c r="E106" s="925"/>
      <c r="F106" s="925"/>
      <c r="G106" s="925"/>
      <c r="H106" s="925"/>
      <c r="I106" s="925"/>
      <c r="J106" s="926"/>
    </row>
    <row r="107" spans="1:11" ht="53.25" customHeight="1" x14ac:dyDescent="0.3">
      <c r="A107" s="561" t="s">
        <v>70</v>
      </c>
      <c r="B107" s="973" t="s">
        <v>513</v>
      </c>
      <c r="C107" s="974"/>
      <c r="D107" s="975"/>
      <c r="E107" s="944">
        <v>22866.58</v>
      </c>
      <c r="F107" s="944"/>
      <c r="G107" s="509">
        <v>30</v>
      </c>
      <c r="H107" s="509">
        <v>1</v>
      </c>
      <c r="I107" s="976">
        <f>685000-34000-4500+10000</f>
        <v>656500</v>
      </c>
      <c r="J107" s="977"/>
      <c r="K107" s="346">
        <v>669000</v>
      </c>
    </row>
    <row r="108" spans="1:11" ht="48.75" customHeight="1" x14ac:dyDescent="0.3">
      <c r="A108" s="576" t="s">
        <v>75</v>
      </c>
      <c r="B108" s="973" t="s">
        <v>514</v>
      </c>
      <c r="C108" s="974"/>
      <c r="D108" s="975"/>
      <c r="E108" s="980">
        <v>17821.11</v>
      </c>
      <c r="F108" s="980"/>
      <c r="G108" s="403">
        <v>15</v>
      </c>
      <c r="H108" s="575">
        <v>1</v>
      </c>
      <c r="I108" s="981">
        <v>267000</v>
      </c>
      <c r="J108" s="981"/>
      <c r="K108" s="346">
        <v>185500</v>
      </c>
    </row>
    <row r="109" spans="1:11" x14ac:dyDescent="0.3">
      <c r="A109" s="812" t="s">
        <v>364</v>
      </c>
      <c r="B109" s="925"/>
      <c r="C109" s="925"/>
      <c r="D109" s="925"/>
      <c r="E109" s="925"/>
      <c r="F109" s="925"/>
      <c r="G109" s="925"/>
      <c r="H109" s="925"/>
      <c r="I109" s="925"/>
      <c r="J109" s="926"/>
    </row>
    <row r="110" spans="1:11" ht="35.25" customHeight="1" x14ac:dyDescent="0.3">
      <c r="A110" s="576">
        <v>3</v>
      </c>
      <c r="B110" s="809" t="s">
        <v>365</v>
      </c>
      <c r="C110" s="810"/>
      <c r="D110" s="811"/>
      <c r="E110" s="978">
        <v>6000</v>
      </c>
      <c r="F110" s="978"/>
      <c r="G110" s="576">
        <v>3</v>
      </c>
      <c r="H110" s="576">
        <v>1</v>
      </c>
      <c r="I110" s="979">
        <f>E110*G110</f>
        <v>18000</v>
      </c>
      <c r="J110" s="979"/>
      <c r="K110" s="346" t="s">
        <v>859</v>
      </c>
    </row>
    <row r="111" spans="1:11" ht="35.25" hidden="1" customHeight="1" x14ac:dyDescent="0.3">
      <c r="A111" s="812" t="s">
        <v>364</v>
      </c>
      <c r="B111" s="925"/>
      <c r="C111" s="925"/>
      <c r="D111" s="925"/>
      <c r="E111" s="925"/>
      <c r="F111" s="925"/>
      <c r="G111" s="925"/>
      <c r="H111" s="925"/>
      <c r="I111" s="925"/>
      <c r="J111" s="926"/>
    </row>
    <row r="112" spans="1:11" ht="35.25" hidden="1" customHeight="1" x14ac:dyDescent="0.3">
      <c r="A112" s="576">
        <v>4</v>
      </c>
      <c r="B112" s="820" t="s">
        <v>712</v>
      </c>
      <c r="C112" s="821"/>
      <c r="D112" s="822"/>
      <c r="E112" s="941"/>
      <c r="F112" s="942"/>
      <c r="G112" s="576"/>
      <c r="H112" s="576"/>
      <c r="I112" s="945">
        <v>0</v>
      </c>
      <c r="J112" s="946"/>
    </row>
    <row r="113" spans="1:13" ht="69" hidden="1" customHeight="1" x14ac:dyDescent="0.3">
      <c r="A113" s="576"/>
      <c r="B113" s="809" t="s">
        <v>534</v>
      </c>
      <c r="C113" s="810"/>
      <c r="D113" s="811"/>
      <c r="E113" s="858" t="s">
        <v>74</v>
      </c>
      <c r="F113" s="859"/>
      <c r="G113" s="590" t="s">
        <v>74</v>
      </c>
      <c r="H113" s="590" t="s">
        <v>74</v>
      </c>
      <c r="I113" s="939"/>
      <c r="J113" s="940"/>
    </row>
    <row r="114" spans="1:13" ht="35.25" hidden="1" customHeight="1" x14ac:dyDescent="0.3">
      <c r="A114" s="576">
        <v>5</v>
      </c>
      <c r="B114" s="809" t="s">
        <v>594</v>
      </c>
      <c r="C114" s="810"/>
      <c r="D114" s="811"/>
      <c r="E114" s="941"/>
      <c r="F114" s="942"/>
      <c r="G114" s="576"/>
      <c r="H114" s="576"/>
      <c r="I114" s="807">
        <v>0</v>
      </c>
      <c r="J114" s="808"/>
    </row>
    <row r="115" spans="1:13" ht="35.25" hidden="1" customHeight="1" x14ac:dyDescent="0.3">
      <c r="A115" s="576">
        <v>6</v>
      </c>
      <c r="B115" s="820" t="s">
        <v>706</v>
      </c>
      <c r="C115" s="821"/>
      <c r="D115" s="822"/>
      <c r="E115" s="941"/>
      <c r="F115" s="942"/>
      <c r="G115" s="576"/>
      <c r="H115" s="576"/>
      <c r="I115" s="807"/>
      <c r="J115" s="808"/>
    </row>
    <row r="116" spans="1:13" x14ac:dyDescent="0.3">
      <c r="A116" s="578"/>
      <c r="B116" s="847" t="s">
        <v>13</v>
      </c>
      <c r="C116" s="847"/>
      <c r="D116" s="847"/>
      <c r="E116" s="842" t="s">
        <v>14</v>
      </c>
      <c r="F116" s="842"/>
      <c r="G116" s="578" t="s">
        <v>14</v>
      </c>
      <c r="H116" s="578" t="s">
        <v>14</v>
      </c>
      <c r="I116" s="834">
        <f>I105+I108+I110+I107+I114+I115+I112</f>
        <v>941500</v>
      </c>
      <c r="J116" s="834"/>
    </row>
    <row r="117" spans="1:13" ht="19.5" hidden="1" customHeight="1" x14ac:dyDescent="0.3">
      <c r="A117" s="915" t="s">
        <v>366</v>
      </c>
      <c r="B117" s="915"/>
      <c r="C117" s="915"/>
      <c r="D117" s="915"/>
      <c r="E117" s="915"/>
      <c r="F117" s="915"/>
      <c r="G117" s="915"/>
      <c r="H117" s="915"/>
      <c r="I117" s="915"/>
      <c r="J117" s="915"/>
    </row>
    <row r="118" spans="1:13" ht="52.8" hidden="1" x14ac:dyDescent="0.3">
      <c r="A118" s="566" t="s">
        <v>1</v>
      </c>
      <c r="B118" s="778" t="s">
        <v>15</v>
      </c>
      <c r="C118" s="778"/>
      <c r="D118" s="778"/>
      <c r="E118" s="855" t="s">
        <v>20</v>
      </c>
      <c r="F118" s="857"/>
      <c r="G118" s="566" t="s">
        <v>21</v>
      </c>
      <c r="H118" s="566" t="s">
        <v>22</v>
      </c>
      <c r="I118" s="778" t="s">
        <v>19</v>
      </c>
      <c r="J118" s="778"/>
    </row>
    <row r="119" spans="1:13" hidden="1" x14ac:dyDescent="0.3">
      <c r="A119" s="566">
        <v>1</v>
      </c>
      <c r="B119" s="778">
        <v>2</v>
      </c>
      <c r="C119" s="778"/>
      <c r="D119" s="778"/>
      <c r="E119" s="855">
        <v>3</v>
      </c>
      <c r="F119" s="857"/>
      <c r="G119" s="566">
        <v>4</v>
      </c>
      <c r="H119" s="566">
        <v>5</v>
      </c>
      <c r="I119" s="778">
        <v>6</v>
      </c>
      <c r="J119" s="778"/>
    </row>
    <row r="120" spans="1:13" ht="47.25" hidden="1" customHeight="1" x14ac:dyDescent="0.3">
      <c r="A120" s="594" t="s">
        <v>70</v>
      </c>
      <c r="B120" s="969" t="s">
        <v>79</v>
      </c>
      <c r="C120" s="970"/>
      <c r="D120" s="971"/>
      <c r="E120" s="849"/>
      <c r="F120" s="850"/>
      <c r="G120" s="387">
        <v>12</v>
      </c>
      <c r="H120" s="387">
        <v>85</v>
      </c>
      <c r="I120" s="987">
        <v>0</v>
      </c>
      <c r="J120" s="987"/>
    </row>
    <row r="121" spans="1:13" ht="17.25" hidden="1" customHeight="1" x14ac:dyDescent="0.3">
      <c r="A121" s="594"/>
      <c r="B121" s="988" t="s">
        <v>13</v>
      </c>
      <c r="C121" s="988"/>
      <c r="D121" s="988"/>
      <c r="E121" s="820" t="s">
        <v>14</v>
      </c>
      <c r="F121" s="822"/>
      <c r="G121" s="576" t="s">
        <v>14</v>
      </c>
      <c r="H121" s="576" t="s">
        <v>14</v>
      </c>
      <c r="I121" s="834">
        <f>SUM(I120)</f>
        <v>0</v>
      </c>
      <c r="J121" s="842"/>
    </row>
    <row r="122" spans="1:13" s="317" customFormat="1" ht="42" customHeight="1" x14ac:dyDescent="0.3">
      <c r="A122" s="972" t="s">
        <v>295</v>
      </c>
      <c r="B122" s="972"/>
      <c r="C122" s="972"/>
      <c r="D122" s="972"/>
      <c r="E122" s="972"/>
      <c r="F122" s="972"/>
      <c r="G122" s="972"/>
      <c r="H122" s="972"/>
      <c r="I122" s="972"/>
      <c r="J122" s="972"/>
      <c r="K122" s="334"/>
    </row>
    <row r="123" spans="1:13" ht="25.5" customHeight="1" x14ac:dyDescent="0.3">
      <c r="A123" s="591" t="s">
        <v>1</v>
      </c>
      <c r="B123" s="924" t="s">
        <v>23</v>
      </c>
      <c r="C123" s="924"/>
      <c r="D123" s="924"/>
      <c r="E123" s="924"/>
      <c r="F123" s="924"/>
      <c r="G123" s="924" t="s">
        <v>24</v>
      </c>
      <c r="H123" s="924"/>
      <c r="I123" s="924" t="s">
        <v>25</v>
      </c>
      <c r="J123" s="924"/>
    </row>
    <row r="124" spans="1:13" ht="12" customHeight="1" x14ac:dyDescent="0.3">
      <c r="A124" s="566">
        <v>1</v>
      </c>
      <c r="B124" s="778">
        <v>2</v>
      </c>
      <c r="C124" s="778"/>
      <c r="D124" s="778"/>
      <c r="E124" s="778"/>
      <c r="F124" s="778"/>
      <c r="G124" s="778">
        <v>3</v>
      </c>
      <c r="H124" s="778"/>
      <c r="I124" s="778">
        <v>4</v>
      </c>
      <c r="J124" s="778"/>
    </row>
    <row r="125" spans="1:13" ht="17.25" customHeight="1" x14ac:dyDescent="0.3">
      <c r="A125" s="576" t="s">
        <v>70</v>
      </c>
      <c r="B125" s="900" t="s">
        <v>26</v>
      </c>
      <c r="C125" s="900"/>
      <c r="D125" s="900"/>
      <c r="E125" s="900"/>
      <c r="F125" s="900"/>
      <c r="G125" s="826" t="s">
        <v>14</v>
      </c>
      <c r="H125" s="826"/>
      <c r="I125" s="982">
        <f>SUM(I127:J129)</f>
        <v>21081280.000000004</v>
      </c>
      <c r="J125" s="982"/>
    </row>
    <row r="126" spans="1:13" ht="16.5" customHeight="1" x14ac:dyDescent="0.3">
      <c r="A126" s="405"/>
      <c r="B126" s="820" t="s">
        <v>9</v>
      </c>
      <c r="C126" s="821"/>
      <c r="D126" s="821"/>
      <c r="E126" s="821"/>
      <c r="F126" s="822"/>
      <c r="G126" s="901"/>
      <c r="H126" s="901"/>
      <c r="I126" s="982"/>
      <c r="J126" s="982"/>
    </row>
    <row r="127" spans="1:13" ht="17.25" customHeight="1" x14ac:dyDescent="0.3">
      <c r="A127" s="576" t="s">
        <v>27</v>
      </c>
      <c r="B127" s="989" t="s">
        <v>28</v>
      </c>
      <c r="C127" s="989"/>
      <c r="D127" s="989"/>
      <c r="E127" s="989"/>
      <c r="F127" s="989"/>
      <c r="G127" s="983">
        <f>J72</f>
        <v>95824000.000000015</v>
      </c>
      <c r="H127" s="983"/>
      <c r="I127" s="982">
        <f>G127*22%</f>
        <v>21081280.000000004</v>
      </c>
      <c r="J127" s="982"/>
      <c r="L127" s="983"/>
      <c r="M127" s="983"/>
    </row>
    <row r="128" spans="1:13" ht="15" customHeight="1" x14ac:dyDescent="0.3">
      <c r="A128" s="576" t="s">
        <v>29</v>
      </c>
      <c r="B128" s="835" t="s">
        <v>30</v>
      </c>
      <c r="C128" s="835"/>
      <c r="D128" s="835"/>
      <c r="E128" s="835"/>
      <c r="F128" s="835"/>
      <c r="G128" s="901">
        <v>0</v>
      </c>
      <c r="H128" s="901"/>
      <c r="I128" s="982">
        <f>G128*10%</f>
        <v>0</v>
      </c>
      <c r="J128" s="982"/>
      <c r="L128" s="901"/>
      <c r="M128" s="901"/>
    </row>
    <row r="129" spans="1:12" ht="29.4" customHeight="1" x14ac:dyDescent="0.3">
      <c r="A129" s="576" t="s">
        <v>31</v>
      </c>
      <c r="B129" s="900" t="s">
        <v>32</v>
      </c>
      <c r="C129" s="900"/>
      <c r="D129" s="900"/>
      <c r="E129" s="900"/>
      <c r="F129" s="900"/>
      <c r="G129" s="901"/>
      <c r="H129" s="901"/>
      <c r="I129" s="982"/>
      <c r="J129" s="982"/>
    </row>
    <row r="130" spans="1:12" ht="29.25" customHeight="1" x14ac:dyDescent="0.3">
      <c r="A130" s="576" t="s">
        <v>75</v>
      </c>
      <c r="B130" s="900" t="s">
        <v>33</v>
      </c>
      <c r="C130" s="900"/>
      <c r="D130" s="900"/>
      <c r="E130" s="900"/>
      <c r="F130" s="900"/>
      <c r="G130" s="826" t="s">
        <v>14</v>
      </c>
      <c r="H130" s="826"/>
      <c r="I130" s="982">
        <f>SUM(I132:J136)</f>
        <v>2969696.0000000005</v>
      </c>
      <c r="J130" s="982"/>
    </row>
    <row r="131" spans="1:12" ht="15.75" customHeight="1" x14ac:dyDescent="0.3">
      <c r="A131" s="405"/>
      <c r="B131" s="820" t="s">
        <v>9</v>
      </c>
      <c r="C131" s="821"/>
      <c r="D131" s="821"/>
      <c r="E131" s="821"/>
      <c r="F131" s="822"/>
      <c r="G131" s="901"/>
      <c r="H131" s="901"/>
      <c r="I131" s="982"/>
      <c r="J131" s="982"/>
    </row>
    <row r="132" spans="1:12" ht="27.75" customHeight="1" x14ac:dyDescent="0.3">
      <c r="A132" s="576" t="s">
        <v>34</v>
      </c>
      <c r="B132" s="900" t="s">
        <v>35</v>
      </c>
      <c r="C132" s="900"/>
      <c r="D132" s="900"/>
      <c r="E132" s="900"/>
      <c r="F132" s="900"/>
      <c r="G132" s="983">
        <f>G127+G128</f>
        <v>95824000.000000015</v>
      </c>
      <c r="H132" s="983"/>
      <c r="I132" s="982">
        <f>G132*2.9%-226-622</f>
        <v>2778048.0000000005</v>
      </c>
      <c r="J132" s="982"/>
    </row>
    <row r="133" spans="1:12" ht="15" customHeight="1" x14ac:dyDescent="0.3">
      <c r="A133" s="576" t="s">
        <v>36</v>
      </c>
      <c r="B133" s="900" t="s">
        <v>37</v>
      </c>
      <c r="C133" s="900"/>
      <c r="D133" s="900"/>
      <c r="E133" s="900"/>
      <c r="F133" s="900"/>
      <c r="G133" s="901"/>
      <c r="H133" s="901"/>
      <c r="I133" s="982"/>
      <c r="J133" s="982"/>
    </row>
    <row r="134" spans="1:12" ht="35.25" customHeight="1" x14ac:dyDescent="0.3">
      <c r="A134" s="576" t="s">
        <v>38</v>
      </c>
      <c r="B134" s="900" t="s">
        <v>39</v>
      </c>
      <c r="C134" s="900"/>
      <c r="D134" s="900"/>
      <c r="E134" s="900"/>
      <c r="F134" s="900"/>
      <c r="G134" s="983">
        <f>G127+G128</f>
        <v>95824000.000000015</v>
      </c>
      <c r="H134" s="983"/>
      <c r="I134" s="982">
        <f>G134*0.2%</f>
        <v>191648.00000000003</v>
      </c>
      <c r="J134" s="982"/>
    </row>
    <row r="135" spans="1:12" s="317" customFormat="1" ht="15" customHeight="1" x14ac:dyDescent="0.3">
      <c r="A135" s="576" t="s">
        <v>40</v>
      </c>
      <c r="B135" s="900" t="s">
        <v>41</v>
      </c>
      <c r="C135" s="900"/>
      <c r="D135" s="900"/>
      <c r="E135" s="900"/>
      <c r="F135" s="900"/>
      <c r="G135" s="901"/>
      <c r="H135" s="901"/>
      <c r="I135" s="982"/>
      <c r="J135" s="982"/>
      <c r="K135" s="334"/>
    </row>
    <row r="136" spans="1:12" ht="15" customHeight="1" x14ac:dyDescent="0.3">
      <c r="A136" s="576" t="s">
        <v>42</v>
      </c>
      <c r="B136" s="900" t="s">
        <v>41</v>
      </c>
      <c r="C136" s="900"/>
      <c r="D136" s="900"/>
      <c r="E136" s="900"/>
      <c r="F136" s="900"/>
      <c r="G136" s="901"/>
      <c r="H136" s="901"/>
      <c r="I136" s="982"/>
      <c r="J136" s="982"/>
    </row>
    <row r="137" spans="1:12" ht="30" customHeight="1" x14ac:dyDescent="0.3">
      <c r="A137" s="576" t="s">
        <v>77</v>
      </c>
      <c r="B137" s="900" t="s">
        <v>43</v>
      </c>
      <c r="C137" s="900"/>
      <c r="D137" s="900"/>
      <c r="E137" s="900"/>
      <c r="F137" s="900"/>
      <c r="G137" s="983">
        <f>G127+G128</f>
        <v>95824000.000000015</v>
      </c>
      <c r="H137" s="983"/>
      <c r="I137" s="982">
        <f>G137*5.1%</f>
        <v>4887024</v>
      </c>
      <c r="J137" s="982"/>
    </row>
    <row r="138" spans="1:12" ht="19.5" customHeight="1" x14ac:dyDescent="0.3">
      <c r="A138" s="576"/>
      <c r="B138" s="847" t="s">
        <v>331</v>
      </c>
      <c r="C138" s="847"/>
      <c r="D138" s="847"/>
      <c r="E138" s="847"/>
      <c r="F138" s="847"/>
      <c r="G138" s="842" t="s">
        <v>14</v>
      </c>
      <c r="H138" s="842"/>
      <c r="I138" s="920">
        <f>I125+I130+I137</f>
        <v>28938000.000000004</v>
      </c>
      <c r="J138" s="920"/>
      <c r="L138" s="323">
        <f>I138/J72</f>
        <v>0.30199115044247787</v>
      </c>
    </row>
    <row r="139" spans="1:12" ht="36" customHeight="1" x14ac:dyDescent="0.3">
      <c r="A139" s="591" t="s">
        <v>1</v>
      </c>
      <c r="B139" s="1013" t="s">
        <v>23</v>
      </c>
      <c r="C139" s="1014"/>
      <c r="D139" s="1014"/>
      <c r="E139" s="1014"/>
      <c r="F139" s="1015"/>
      <c r="G139" s="1013" t="s">
        <v>24</v>
      </c>
      <c r="H139" s="1015"/>
      <c r="I139" s="1013" t="s">
        <v>25</v>
      </c>
      <c r="J139" s="1015"/>
    </row>
    <row r="140" spans="1:12" ht="11.25" customHeight="1" x14ac:dyDescent="0.3">
      <c r="A140" s="566">
        <v>1</v>
      </c>
      <c r="B140" s="855">
        <v>2</v>
      </c>
      <c r="C140" s="856"/>
      <c r="D140" s="856"/>
      <c r="E140" s="856"/>
      <c r="F140" s="857"/>
      <c r="G140" s="855">
        <v>3</v>
      </c>
      <c r="H140" s="857"/>
      <c r="I140" s="855">
        <v>4</v>
      </c>
      <c r="J140" s="857"/>
    </row>
    <row r="141" spans="1:12" ht="20.25" customHeight="1" x14ac:dyDescent="0.3">
      <c r="A141" s="576" t="s">
        <v>70</v>
      </c>
      <c r="B141" s="902" t="s">
        <v>26</v>
      </c>
      <c r="C141" s="903"/>
      <c r="D141" s="903"/>
      <c r="E141" s="903"/>
      <c r="F141" s="904"/>
      <c r="G141" s="820" t="s">
        <v>14</v>
      </c>
      <c r="H141" s="822"/>
      <c r="I141" s="916">
        <f>SUM(I143:J145)</f>
        <v>42256</v>
      </c>
      <c r="J141" s="917"/>
    </row>
    <row r="142" spans="1:12" ht="18" customHeight="1" x14ac:dyDescent="0.3">
      <c r="A142" s="405"/>
      <c r="B142" s="820" t="s">
        <v>9</v>
      </c>
      <c r="C142" s="821"/>
      <c r="D142" s="821"/>
      <c r="E142" s="821"/>
      <c r="F142" s="822"/>
      <c r="G142" s="908"/>
      <c r="H142" s="909"/>
      <c r="I142" s="916"/>
      <c r="J142" s="917"/>
    </row>
    <row r="143" spans="1:12" s="317" customFormat="1" ht="20.25" customHeight="1" x14ac:dyDescent="0.3">
      <c r="A143" s="576" t="s">
        <v>27</v>
      </c>
      <c r="B143" s="1016" t="s">
        <v>28</v>
      </c>
      <c r="C143" s="1017"/>
      <c r="D143" s="1017"/>
      <c r="E143" s="1017"/>
      <c r="F143" s="1018"/>
      <c r="G143" s="1019">
        <f>J92</f>
        <v>192000</v>
      </c>
      <c r="H143" s="1020"/>
      <c r="I143" s="916">
        <f>G143*22%+16</f>
        <v>42256</v>
      </c>
      <c r="J143" s="917"/>
      <c r="K143" s="334"/>
    </row>
    <row r="144" spans="1:12" x14ac:dyDescent="0.3">
      <c r="A144" s="576" t="s">
        <v>29</v>
      </c>
      <c r="B144" s="809" t="s">
        <v>30</v>
      </c>
      <c r="C144" s="810"/>
      <c r="D144" s="810"/>
      <c r="E144" s="810"/>
      <c r="F144" s="811"/>
      <c r="G144" s="908"/>
      <c r="H144" s="909"/>
      <c r="I144" s="916"/>
      <c r="J144" s="917"/>
    </row>
    <row r="145" spans="1:13" ht="15" customHeight="1" x14ac:dyDescent="0.3">
      <c r="A145" s="576" t="s">
        <v>31</v>
      </c>
      <c r="B145" s="902" t="s">
        <v>32</v>
      </c>
      <c r="C145" s="903"/>
      <c r="D145" s="903"/>
      <c r="E145" s="903"/>
      <c r="F145" s="904"/>
      <c r="G145" s="908"/>
      <c r="H145" s="909"/>
      <c r="I145" s="916"/>
      <c r="J145" s="917"/>
    </row>
    <row r="146" spans="1:13" ht="15" customHeight="1" x14ac:dyDescent="0.3">
      <c r="A146" s="576" t="s">
        <v>75</v>
      </c>
      <c r="B146" s="902" t="s">
        <v>33</v>
      </c>
      <c r="C146" s="903"/>
      <c r="D146" s="903"/>
      <c r="E146" s="903"/>
      <c r="F146" s="904"/>
      <c r="G146" s="820" t="s">
        <v>14</v>
      </c>
      <c r="H146" s="822"/>
      <c r="I146" s="916">
        <f>SUM(I148:J152)</f>
        <v>5952</v>
      </c>
      <c r="J146" s="917"/>
    </row>
    <row r="147" spans="1:13" ht="15" customHeight="1" x14ac:dyDescent="0.3">
      <c r="A147" s="405"/>
      <c r="B147" s="820" t="s">
        <v>9</v>
      </c>
      <c r="C147" s="821"/>
      <c r="D147" s="821"/>
      <c r="E147" s="821"/>
      <c r="F147" s="822"/>
      <c r="G147" s="908"/>
      <c r="H147" s="909"/>
      <c r="I147" s="916"/>
      <c r="J147" s="917"/>
    </row>
    <row r="148" spans="1:13" ht="26.25" customHeight="1" x14ac:dyDescent="0.3">
      <c r="A148" s="576" t="s">
        <v>34</v>
      </c>
      <c r="B148" s="902" t="s">
        <v>35</v>
      </c>
      <c r="C148" s="903"/>
      <c r="D148" s="903"/>
      <c r="E148" s="903"/>
      <c r="F148" s="904"/>
      <c r="G148" s="1019">
        <f>G143</f>
        <v>192000</v>
      </c>
      <c r="H148" s="1020"/>
      <c r="I148" s="916">
        <f>G148*2.9%</f>
        <v>5568</v>
      </c>
      <c r="J148" s="917"/>
    </row>
    <row r="149" spans="1:13" x14ac:dyDescent="0.3">
      <c r="A149" s="576" t="s">
        <v>36</v>
      </c>
      <c r="B149" s="902" t="s">
        <v>37</v>
      </c>
      <c r="C149" s="903"/>
      <c r="D149" s="903"/>
      <c r="E149" s="903"/>
      <c r="F149" s="904"/>
      <c r="G149" s="908"/>
      <c r="H149" s="909"/>
      <c r="I149" s="916"/>
      <c r="J149" s="917"/>
    </row>
    <row r="150" spans="1:13" ht="26.25" customHeight="1" x14ac:dyDescent="0.3">
      <c r="A150" s="576" t="s">
        <v>38</v>
      </c>
      <c r="B150" s="902" t="s">
        <v>39</v>
      </c>
      <c r="C150" s="903"/>
      <c r="D150" s="903"/>
      <c r="E150" s="903"/>
      <c r="F150" s="904"/>
      <c r="G150" s="1019">
        <f>G143</f>
        <v>192000</v>
      </c>
      <c r="H150" s="1020"/>
      <c r="I150" s="916">
        <f>G150*0.2%</f>
        <v>384</v>
      </c>
      <c r="J150" s="917"/>
    </row>
    <row r="151" spans="1:13" s="317" customFormat="1" ht="14.25" customHeight="1" x14ac:dyDescent="0.3">
      <c r="A151" s="576" t="s">
        <v>40</v>
      </c>
      <c r="B151" s="902" t="s">
        <v>41</v>
      </c>
      <c r="C151" s="903"/>
      <c r="D151" s="903"/>
      <c r="E151" s="903"/>
      <c r="F151" s="904"/>
      <c r="G151" s="908"/>
      <c r="H151" s="909"/>
      <c r="I151" s="916"/>
      <c r="J151" s="917"/>
      <c r="K151" s="334"/>
    </row>
    <row r="152" spans="1:13" ht="15" customHeight="1" x14ac:dyDescent="0.3">
      <c r="A152" s="576" t="s">
        <v>42</v>
      </c>
      <c r="B152" s="902" t="s">
        <v>41</v>
      </c>
      <c r="C152" s="903"/>
      <c r="D152" s="903"/>
      <c r="E152" s="903"/>
      <c r="F152" s="904"/>
      <c r="G152" s="908"/>
      <c r="H152" s="909"/>
      <c r="I152" s="916"/>
      <c r="J152" s="917"/>
    </row>
    <row r="153" spans="1:13" x14ac:dyDescent="0.3">
      <c r="A153" s="576" t="s">
        <v>77</v>
      </c>
      <c r="B153" s="902" t="s">
        <v>43</v>
      </c>
      <c r="C153" s="903"/>
      <c r="D153" s="903"/>
      <c r="E153" s="903"/>
      <c r="F153" s="904"/>
      <c r="G153" s="1019">
        <f>G143</f>
        <v>192000</v>
      </c>
      <c r="H153" s="1020"/>
      <c r="I153" s="916">
        <f>G153*5.1%</f>
        <v>9792</v>
      </c>
      <c r="J153" s="917"/>
    </row>
    <row r="154" spans="1:13" x14ac:dyDescent="0.3">
      <c r="A154" s="576"/>
      <c r="B154" s="905" t="s">
        <v>380</v>
      </c>
      <c r="C154" s="906"/>
      <c r="D154" s="906"/>
      <c r="E154" s="906"/>
      <c r="F154" s="907"/>
      <c r="G154" s="812" t="s">
        <v>14</v>
      </c>
      <c r="H154" s="814"/>
      <c r="I154" s="1036">
        <f>I141+I146+I153</f>
        <v>58000</v>
      </c>
      <c r="J154" s="1037"/>
    </row>
    <row r="155" spans="1:13" x14ac:dyDescent="0.3">
      <c r="A155" s="576"/>
      <c r="B155" s="905" t="s">
        <v>567</v>
      </c>
      <c r="C155" s="906"/>
      <c r="D155" s="906"/>
      <c r="E155" s="906"/>
      <c r="F155" s="907"/>
      <c r="G155" s="582"/>
      <c r="H155" s="583"/>
      <c r="I155" s="1036">
        <v>0</v>
      </c>
      <c r="J155" s="1037"/>
    </row>
    <row r="156" spans="1:13" x14ac:dyDescent="0.3">
      <c r="A156" s="576"/>
      <c r="B156" s="812" t="s">
        <v>606</v>
      </c>
      <c r="C156" s="813"/>
      <c r="D156" s="813"/>
      <c r="E156" s="813"/>
      <c r="F156" s="814"/>
      <c r="G156" s="582"/>
      <c r="H156" s="583"/>
      <c r="I156" s="1032">
        <v>0</v>
      </c>
      <c r="J156" s="1033"/>
    </row>
    <row r="157" spans="1:13" s="317" customFormat="1" ht="18" customHeight="1" x14ac:dyDescent="0.3">
      <c r="A157" s="576"/>
      <c r="B157" s="847" t="s">
        <v>332</v>
      </c>
      <c r="C157" s="847"/>
      <c r="D157" s="847"/>
      <c r="E157" s="847"/>
      <c r="F157" s="847"/>
      <c r="G157" s="842" t="s">
        <v>14</v>
      </c>
      <c r="H157" s="842"/>
      <c r="I157" s="920">
        <f>I138+I154+I155+I156</f>
        <v>28996000.000000004</v>
      </c>
      <c r="J157" s="920"/>
      <c r="K157" s="522"/>
      <c r="L157" s="522"/>
      <c r="M157" s="325"/>
    </row>
    <row r="158" spans="1:13" s="317" customFormat="1" ht="3" hidden="1" customHeight="1" x14ac:dyDescent="0.3">
      <c r="A158" s="914" t="s">
        <v>468</v>
      </c>
      <c r="B158" s="914"/>
      <c r="C158" s="914"/>
      <c r="D158" s="914"/>
      <c r="E158" s="914"/>
      <c r="F158" s="914"/>
      <c r="G158" s="914"/>
      <c r="H158" s="914"/>
      <c r="I158" s="914"/>
      <c r="J158" s="914"/>
      <c r="K158" s="334"/>
    </row>
    <row r="159" spans="1:13" ht="19.5" hidden="1" customHeight="1" x14ac:dyDescent="0.3">
      <c r="A159" s="915" t="s">
        <v>377</v>
      </c>
      <c r="B159" s="915"/>
      <c r="C159" s="915"/>
      <c r="D159" s="915"/>
      <c r="E159" s="915"/>
      <c r="F159" s="915"/>
      <c r="G159" s="915"/>
      <c r="H159" s="915"/>
      <c r="I159" s="915"/>
      <c r="J159" s="915"/>
      <c r="K159" s="342"/>
      <c r="L159" s="320"/>
    </row>
    <row r="160" spans="1:13" ht="15" hidden="1" customHeight="1" x14ac:dyDescent="0.3">
      <c r="A160" s="372" t="s">
        <v>80</v>
      </c>
      <c r="B160" s="373"/>
      <c r="C160" s="377">
        <v>321</v>
      </c>
      <c r="D160" s="377"/>
      <c r="E160" s="377"/>
      <c r="F160" s="378"/>
      <c r="G160" s="378"/>
      <c r="H160" s="378"/>
      <c r="I160" s="378"/>
      <c r="J160" s="579"/>
      <c r="K160" s="342"/>
      <c r="L160" s="320"/>
    </row>
    <row r="161" spans="1:12" ht="16.5" hidden="1" customHeight="1" x14ac:dyDescent="0.3">
      <c r="A161" s="372" t="s">
        <v>81</v>
      </c>
      <c r="B161" s="373"/>
      <c r="C161" s="373"/>
      <c r="D161" s="373"/>
      <c r="E161" s="379"/>
      <c r="F161" s="380"/>
      <c r="G161" s="380"/>
      <c r="H161" s="380"/>
      <c r="I161" s="380"/>
      <c r="J161" s="257"/>
      <c r="K161" s="342"/>
      <c r="L161" s="320"/>
    </row>
    <row r="162" spans="1:12" ht="36" hidden="1" customHeight="1" x14ac:dyDescent="0.3">
      <c r="A162" s="566" t="s">
        <v>1</v>
      </c>
      <c r="B162" s="855" t="s">
        <v>44</v>
      </c>
      <c r="C162" s="856"/>
      <c r="D162" s="857"/>
      <c r="E162" s="855" t="s">
        <v>45</v>
      </c>
      <c r="F162" s="857"/>
      <c r="G162" s="855" t="s">
        <v>46</v>
      </c>
      <c r="H162" s="857"/>
      <c r="I162" s="855" t="s">
        <v>102</v>
      </c>
      <c r="J162" s="857"/>
      <c r="K162" s="342"/>
      <c r="L162" s="320"/>
    </row>
    <row r="163" spans="1:12" ht="16.5" hidden="1" customHeight="1" x14ac:dyDescent="0.3">
      <c r="A163" s="566">
        <v>1</v>
      </c>
      <c r="B163" s="855">
        <v>2</v>
      </c>
      <c r="C163" s="856"/>
      <c r="D163" s="857"/>
      <c r="E163" s="855">
        <v>3</v>
      </c>
      <c r="F163" s="857"/>
      <c r="G163" s="855">
        <v>4</v>
      </c>
      <c r="H163" s="857"/>
      <c r="I163" s="855">
        <v>5</v>
      </c>
      <c r="J163" s="857"/>
      <c r="K163" s="342"/>
      <c r="L163" s="320"/>
    </row>
    <row r="164" spans="1:12" ht="89.25" hidden="1" customHeight="1" x14ac:dyDescent="0.3">
      <c r="A164" s="590" t="s">
        <v>70</v>
      </c>
      <c r="B164" s="809" t="s">
        <v>368</v>
      </c>
      <c r="C164" s="810"/>
      <c r="D164" s="811"/>
      <c r="E164" s="820"/>
      <c r="F164" s="822"/>
      <c r="G164" s="820"/>
      <c r="H164" s="822"/>
      <c r="I164" s="820"/>
      <c r="J164" s="822"/>
    </row>
    <row r="165" spans="1:12" ht="28.5" hidden="1" customHeight="1" x14ac:dyDescent="0.3">
      <c r="A165" s="576" t="s">
        <v>75</v>
      </c>
      <c r="B165" s="809" t="s">
        <v>367</v>
      </c>
      <c r="C165" s="810"/>
      <c r="D165" s="811"/>
      <c r="E165" s="820"/>
      <c r="F165" s="822"/>
      <c r="G165" s="820"/>
      <c r="H165" s="822"/>
      <c r="I165" s="820"/>
      <c r="J165" s="822"/>
    </row>
    <row r="166" spans="1:12" ht="28.5" hidden="1" customHeight="1" x14ac:dyDescent="0.3">
      <c r="A166" s="576" t="s">
        <v>70</v>
      </c>
      <c r="B166" s="969" t="s">
        <v>373</v>
      </c>
      <c r="C166" s="970"/>
      <c r="D166" s="971"/>
      <c r="E166" s="820"/>
      <c r="F166" s="874"/>
      <c r="G166" s="820"/>
      <c r="H166" s="874"/>
      <c r="I166" s="820"/>
      <c r="J166" s="874"/>
    </row>
    <row r="167" spans="1:12" hidden="1" x14ac:dyDescent="0.3">
      <c r="A167" s="578"/>
      <c r="B167" s="905" t="s">
        <v>13</v>
      </c>
      <c r="C167" s="906"/>
      <c r="D167" s="907"/>
      <c r="E167" s="812" t="s">
        <v>14</v>
      </c>
      <c r="F167" s="814"/>
      <c r="G167" s="812" t="s">
        <v>14</v>
      </c>
      <c r="H167" s="814"/>
      <c r="I167" s="812">
        <f>SUM(I166)</f>
        <v>0</v>
      </c>
      <c r="J167" s="814"/>
    </row>
    <row r="168" spans="1:12" s="317" customFormat="1" ht="19.5" customHeight="1" x14ac:dyDescent="0.3">
      <c r="A168" s="915" t="s">
        <v>601</v>
      </c>
      <c r="B168" s="915"/>
      <c r="C168" s="915"/>
      <c r="D168" s="915"/>
      <c r="E168" s="915"/>
      <c r="F168" s="915"/>
      <c r="G168" s="915"/>
      <c r="H168" s="915"/>
      <c r="I168" s="915"/>
      <c r="J168" s="915"/>
      <c r="K168" s="334"/>
    </row>
    <row r="169" spans="1:12" s="317" customFormat="1" ht="21.75" customHeight="1" x14ac:dyDescent="0.3">
      <c r="A169" s="372" t="s">
        <v>80</v>
      </c>
      <c r="B169" s="373"/>
      <c r="C169" s="377">
        <v>321</v>
      </c>
      <c r="D169" s="377"/>
      <c r="E169" s="377"/>
      <c r="F169" s="378"/>
      <c r="G169" s="378"/>
      <c r="H169" s="378"/>
      <c r="I169" s="378"/>
      <c r="J169" s="579"/>
      <c r="K169" s="334"/>
    </row>
    <row r="170" spans="1:12" s="317" customFormat="1" ht="23.25" customHeight="1" x14ac:dyDescent="0.3">
      <c r="A170" s="372" t="s">
        <v>81</v>
      </c>
      <c r="B170" s="373"/>
      <c r="C170" s="373"/>
      <c r="D170" s="913" t="s">
        <v>195</v>
      </c>
      <c r="E170" s="913"/>
      <c r="F170" s="913"/>
      <c r="G170" s="913"/>
      <c r="H170" s="913"/>
      <c r="I170" s="913"/>
      <c r="J170" s="913"/>
      <c r="K170" s="334"/>
    </row>
    <row r="171" spans="1:12" s="317" customFormat="1" ht="19.5" customHeight="1" x14ac:dyDescent="0.3">
      <c r="A171" s="566" t="s">
        <v>1</v>
      </c>
      <c r="B171" s="855" t="s">
        <v>44</v>
      </c>
      <c r="C171" s="856"/>
      <c r="D171" s="857"/>
      <c r="E171" s="855" t="s">
        <v>45</v>
      </c>
      <c r="F171" s="857"/>
      <c r="G171" s="855" t="s">
        <v>46</v>
      </c>
      <c r="H171" s="857"/>
      <c r="I171" s="855" t="s">
        <v>102</v>
      </c>
      <c r="J171" s="857"/>
      <c r="K171" s="334"/>
    </row>
    <row r="172" spans="1:12" s="317" customFormat="1" ht="14.25" customHeight="1" x14ac:dyDescent="0.3">
      <c r="A172" s="566">
        <v>1</v>
      </c>
      <c r="B172" s="855">
        <v>2</v>
      </c>
      <c r="C172" s="856"/>
      <c r="D172" s="857"/>
      <c r="E172" s="855">
        <v>3</v>
      </c>
      <c r="F172" s="857"/>
      <c r="G172" s="855">
        <v>4</v>
      </c>
      <c r="H172" s="857"/>
      <c r="I172" s="855">
        <v>5</v>
      </c>
      <c r="J172" s="857"/>
      <c r="K172" s="334"/>
    </row>
    <row r="173" spans="1:12" s="317" customFormat="1" ht="45.75" customHeight="1" x14ac:dyDescent="0.3">
      <c r="A173" s="590" t="s">
        <v>70</v>
      </c>
      <c r="B173" s="809" t="s">
        <v>932</v>
      </c>
      <c r="C173" s="810"/>
      <c r="D173" s="811"/>
      <c r="E173" s="820">
        <v>189</v>
      </c>
      <c r="F173" s="822"/>
      <c r="G173" s="820">
        <v>160</v>
      </c>
      <c r="H173" s="822"/>
      <c r="I173" s="911">
        <f>60000*9</f>
        <v>540000</v>
      </c>
      <c r="J173" s="912"/>
      <c r="K173" s="334"/>
    </row>
    <row r="174" spans="1:12" s="317" customFormat="1" ht="0.75" hidden="1" customHeight="1" x14ac:dyDescent="0.3">
      <c r="A174" s="576" t="s">
        <v>75</v>
      </c>
      <c r="B174" s="820" t="s">
        <v>367</v>
      </c>
      <c r="C174" s="821"/>
      <c r="D174" s="822"/>
      <c r="E174" s="561"/>
      <c r="F174" s="562"/>
      <c r="G174" s="561"/>
      <c r="H174" s="562"/>
      <c r="I174" s="588"/>
      <c r="J174" s="589"/>
      <c r="K174" s="334"/>
    </row>
    <row r="175" spans="1:12" s="317" customFormat="1" ht="38.25" hidden="1" customHeight="1" x14ac:dyDescent="0.3">
      <c r="A175" s="576" t="s">
        <v>75</v>
      </c>
      <c r="B175" s="969" t="s">
        <v>960</v>
      </c>
      <c r="C175" s="970"/>
      <c r="D175" s="971"/>
      <c r="E175" s="820"/>
      <c r="F175" s="822"/>
      <c r="G175" s="820"/>
      <c r="H175" s="822"/>
      <c r="I175" s="911"/>
      <c r="J175" s="912"/>
      <c r="K175" s="334"/>
    </row>
    <row r="176" spans="1:12" s="317" customFormat="1" ht="18" customHeight="1" x14ac:dyDescent="0.3">
      <c r="A176" s="578"/>
      <c r="B176" s="812" t="s">
        <v>13</v>
      </c>
      <c r="C176" s="813"/>
      <c r="D176" s="814"/>
      <c r="E176" s="812" t="s">
        <v>14</v>
      </c>
      <c r="F176" s="814"/>
      <c r="G176" s="812" t="s">
        <v>14</v>
      </c>
      <c r="H176" s="814"/>
      <c r="I176" s="918">
        <f>I173</f>
        <v>540000</v>
      </c>
      <c r="J176" s="919"/>
      <c r="K176" s="334"/>
    </row>
    <row r="177" spans="1:12" s="317" customFormat="1" ht="18" customHeight="1" x14ac:dyDescent="0.3">
      <c r="A177" s="915" t="s">
        <v>369</v>
      </c>
      <c r="B177" s="915"/>
      <c r="C177" s="915"/>
      <c r="D177" s="915"/>
      <c r="E177" s="915"/>
      <c r="F177" s="915"/>
      <c r="G177" s="915"/>
      <c r="H177" s="915"/>
      <c r="I177" s="915"/>
      <c r="J177" s="915"/>
      <c r="K177" s="334"/>
    </row>
    <row r="178" spans="1:12" s="317" customFormat="1" ht="18" customHeight="1" x14ac:dyDescent="0.3">
      <c r="A178" s="372" t="s">
        <v>80</v>
      </c>
      <c r="B178" s="373"/>
      <c r="C178" s="377">
        <v>851</v>
      </c>
      <c r="D178" s="377">
        <v>852</v>
      </c>
      <c r="E178" s="377">
        <v>853</v>
      </c>
      <c r="F178" s="378"/>
      <c r="G178" s="378"/>
      <c r="H178" s="378"/>
      <c r="I178" s="378"/>
      <c r="J178" s="579"/>
      <c r="K178" s="334"/>
    </row>
    <row r="179" spans="1:12" s="317" customFormat="1" ht="18" customHeight="1" x14ac:dyDescent="0.3">
      <c r="A179" s="372" t="s">
        <v>81</v>
      </c>
      <c r="B179" s="373"/>
      <c r="C179" s="373"/>
      <c r="D179" s="913" t="s">
        <v>82</v>
      </c>
      <c r="E179" s="913"/>
      <c r="F179" s="913"/>
      <c r="G179" s="913"/>
      <c r="H179" s="913"/>
      <c r="I179" s="380"/>
      <c r="J179" s="257"/>
      <c r="K179" s="334"/>
    </row>
    <row r="180" spans="1:12" s="317" customFormat="1" ht="30.75" customHeight="1" x14ac:dyDescent="0.3">
      <c r="A180" s="566" t="s">
        <v>1</v>
      </c>
      <c r="B180" s="778" t="s">
        <v>15</v>
      </c>
      <c r="C180" s="778"/>
      <c r="D180" s="778"/>
      <c r="E180" s="778" t="s">
        <v>47</v>
      </c>
      <c r="F180" s="778"/>
      <c r="G180" s="778" t="s">
        <v>48</v>
      </c>
      <c r="H180" s="778"/>
      <c r="I180" s="778" t="s">
        <v>103</v>
      </c>
      <c r="J180" s="778"/>
      <c r="K180" s="334"/>
    </row>
    <row r="181" spans="1:12" s="317" customFormat="1" ht="18" customHeight="1" x14ac:dyDescent="0.3">
      <c r="A181" s="566">
        <v>1</v>
      </c>
      <c r="B181" s="778">
        <v>2</v>
      </c>
      <c r="C181" s="778"/>
      <c r="D181" s="778"/>
      <c r="E181" s="778">
        <v>3</v>
      </c>
      <c r="F181" s="778"/>
      <c r="G181" s="778">
        <v>4</v>
      </c>
      <c r="H181" s="778"/>
      <c r="I181" s="778">
        <v>5</v>
      </c>
      <c r="J181" s="778"/>
      <c r="K181" s="346" t="s">
        <v>728</v>
      </c>
    </row>
    <row r="182" spans="1:12" s="317" customFormat="1" ht="29.25" customHeight="1" x14ac:dyDescent="0.3">
      <c r="A182" s="872" t="s">
        <v>70</v>
      </c>
      <c r="B182" s="1034" t="s">
        <v>296</v>
      </c>
      <c r="C182" s="1035"/>
      <c r="D182" s="580" t="s">
        <v>813</v>
      </c>
      <c r="E182" s="993"/>
      <c r="F182" s="993"/>
      <c r="G182" s="994">
        <v>2.1999999999999999E-2</v>
      </c>
      <c r="H182" s="994"/>
      <c r="I182" s="876">
        <v>70000</v>
      </c>
      <c r="J182" s="876"/>
      <c r="K182" s="990">
        <f>I183+I182</f>
        <v>262000</v>
      </c>
    </row>
    <row r="183" spans="1:12" s="317" customFormat="1" ht="36" customHeight="1" x14ac:dyDescent="0.3">
      <c r="A183" s="884"/>
      <c r="B183" s="1035"/>
      <c r="C183" s="1035"/>
      <c r="D183" s="581" t="s">
        <v>814</v>
      </c>
      <c r="E183" s="993"/>
      <c r="F183" s="993"/>
      <c r="G183" s="994">
        <v>2.1999999999999999E-2</v>
      </c>
      <c r="H183" s="994"/>
      <c r="I183" s="876">
        <v>192000</v>
      </c>
      <c r="J183" s="876"/>
      <c r="K183" s="990"/>
    </row>
    <row r="184" spans="1:12" s="317" customFormat="1" ht="31.5" hidden="1" customHeight="1" x14ac:dyDescent="0.3">
      <c r="A184" s="576" t="s">
        <v>75</v>
      </c>
      <c r="B184" s="809" t="s">
        <v>298</v>
      </c>
      <c r="C184" s="810"/>
      <c r="D184" s="811"/>
      <c r="E184" s="826">
        <v>0</v>
      </c>
      <c r="F184" s="826"/>
      <c r="G184" s="826">
        <v>0</v>
      </c>
      <c r="H184" s="826"/>
      <c r="I184" s="876">
        <v>0</v>
      </c>
      <c r="J184" s="876"/>
      <c r="K184" s="334"/>
    </row>
    <row r="185" spans="1:12" s="317" customFormat="1" ht="46.5" hidden="1" customHeight="1" x14ac:dyDescent="0.3">
      <c r="A185" s="576" t="s">
        <v>77</v>
      </c>
      <c r="B185" s="809" t="s">
        <v>299</v>
      </c>
      <c r="C185" s="810"/>
      <c r="D185" s="811"/>
      <c r="E185" s="826">
        <v>0</v>
      </c>
      <c r="F185" s="826"/>
      <c r="G185" s="826">
        <v>0</v>
      </c>
      <c r="H185" s="826"/>
      <c r="I185" s="876">
        <v>0</v>
      </c>
      <c r="J185" s="876"/>
      <c r="K185" s="334"/>
    </row>
    <row r="186" spans="1:12" s="317" customFormat="1" ht="18" customHeight="1" x14ac:dyDescent="0.3">
      <c r="A186" s="576" t="s">
        <v>75</v>
      </c>
      <c r="B186" s="809" t="s">
        <v>297</v>
      </c>
      <c r="C186" s="810"/>
      <c r="D186" s="811"/>
      <c r="E186" s="820">
        <v>0</v>
      </c>
      <c r="F186" s="822"/>
      <c r="G186" s="820">
        <v>0</v>
      </c>
      <c r="H186" s="822"/>
      <c r="I186" s="1052">
        <v>4500</v>
      </c>
      <c r="J186" s="1053"/>
      <c r="K186" s="334"/>
    </row>
    <row r="187" spans="1:12" s="317" customFormat="1" ht="18" customHeight="1" x14ac:dyDescent="0.3">
      <c r="A187" s="578"/>
      <c r="B187" s="847" t="s">
        <v>13</v>
      </c>
      <c r="C187" s="847"/>
      <c r="D187" s="847"/>
      <c r="E187" s="842" t="s">
        <v>74</v>
      </c>
      <c r="F187" s="842"/>
      <c r="G187" s="842" t="s">
        <v>14</v>
      </c>
      <c r="H187" s="842"/>
      <c r="I187" s="834">
        <f>SUM(I182:J186)</f>
        <v>266500</v>
      </c>
      <c r="J187" s="842"/>
      <c r="K187" s="334"/>
    </row>
    <row r="188" spans="1:12" s="317" customFormat="1" ht="18" hidden="1" customHeight="1" x14ac:dyDescent="0.3">
      <c r="A188" s="1054"/>
      <c r="B188" s="1054"/>
      <c r="C188" s="1054"/>
      <c r="D188" s="1054"/>
      <c r="E188" s="1054"/>
      <c r="F188" s="1054"/>
      <c r="G188" s="1054"/>
      <c r="H188" s="1054"/>
      <c r="I188" s="1054"/>
      <c r="J188" s="1054"/>
      <c r="K188" s="334"/>
    </row>
    <row r="189" spans="1:12" ht="27" hidden="1" customHeight="1" x14ac:dyDescent="0.3">
      <c r="A189" s="915" t="s">
        <v>85</v>
      </c>
      <c r="B189" s="915"/>
      <c r="C189" s="915"/>
      <c r="D189" s="915"/>
      <c r="E189" s="915"/>
      <c r="F189" s="915"/>
      <c r="G189" s="915"/>
      <c r="H189" s="915"/>
      <c r="I189" s="915"/>
      <c r="J189" s="915"/>
      <c r="K189" s="522"/>
      <c r="L189" s="522"/>
    </row>
    <row r="190" spans="1:12" s="317" customFormat="1" ht="15.75" hidden="1" customHeight="1" x14ac:dyDescent="0.3">
      <c r="A190" s="372" t="s">
        <v>80</v>
      </c>
      <c r="B190" s="373"/>
      <c r="C190" s="377"/>
      <c r="D190" s="377"/>
      <c r="E190" s="377"/>
      <c r="F190" s="378"/>
      <c r="G190" s="378"/>
      <c r="H190" s="378"/>
      <c r="I190" s="378"/>
      <c r="J190" s="579"/>
      <c r="K190" s="336"/>
      <c r="L190" s="326"/>
    </row>
    <row r="191" spans="1:12" s="317" customFormat="1" hidden="1" x14ac:dyDescent="0.3">
      <c r="A191" s="372" t="s">
        <v>81</v>
      </c>
      <c r="B191" s="373"/>
      <c r="C191" s="373"/>
      <c r="D191" s="373"/>
      <c r="E191" s="379"/>
      <c r="F191" s="380"/>
      <c r="G191" s="380"/>
      <c r="H191" s="380"/>
      <c r="I191" s="380"/>
      <c r="J191" s="257"/>
      <c r="K191" s="334"/>
    </row>
    <row r="192" spans="1:12" ht="24.75" hidden="1" customHeight="1" x14ac:dyDescent="0.3">
      <c r="A192" s="566" t="s">
        <v>1</v>
      </c>
      <c r="B192" s="778" t="s">
        <v>44</v>
      </c>
      <c r="C192" s="778"/>
      <c r="D192" s="778"/>
      <c r="E192" s="778" t="s">
        <v>45</v>
      </c>
      <c r="F192" s="778"/>
      <c r="G192" s="778" t="s">
        <v>46</v>
      </c>
      <c r="H192" s="778"/>
      <c r="I192" s="778" t="s">
        <v>102</v>
      </c>
      <c r="J192" s="778"/>
      <c r="K192" s="342"/>
      <c r="L192" s="320"/>
    </row>
    <row r="193" spans="1:13" ht="14.25" hidden="1" customHeight="1" x14ac:dyDescent="0.3">
      <c r="A193" s="566">
        <v>1</v>
      </c>
      <c r="B193" s="778">
        <v>2</v>
      </c>
      <c r="C193" s="778"/>
      <c r="D193" s="778"/>
      <c r="E193" s="778">
        <v>3</v>
      </c>
      <c r="F193" s="778"/>
      <c r="G193" s="778">
        <v>4</v>
      </c>
      <c r="H193" s="778"/>
      <c r="I193" s="778">
        <v>5</v>
      </c>
      <c r="J193" s="778"/>
      <c r="K193" s="343"/>
      <c r="L193" s="327"/>
    </row>
    <row r="194" spans="1:13" ht="15" hidden="1" customHeight="1" x14ac:dyDescent="0.3">
      <c r="A194" s="576"/>
      <c r="B194" s="820"/>
      <c r="C194" s="821"/>
      <c r="D194" s="822"/>
      <c r="E194" s="820"/>
      <c r="F194" s="822"/>
      <c r="G194" s="820"/>
      <c r="H194" s="822"/>
      <c r="I194" s="820"/>
      <c r="J194" s="822"/>
      <c r="K194" s="342"/>
      <c r="L194" s="320"/>
    </row>
    <row r="195" spans="1:13" ht="17.25" hidden="1" customHeight="1" x14ac:dyDescent="0.3">
      <c r="A195" s="578"/>
      <c r="B195" s="847" t="s">
        <v>13</v>
      </c>
      <c r="C195" s="847"/>
      <c r="D195" s="847"/>
      <c r="E195" s="842" t="s">
        <v>14</v>
      </c>
      <c r="F195" s="842"/>
      <c r="G195" s="842" t="s">
        <v>14</v>
      </c>
      <c r="H195" s="842"/>
      <c r="I195" s="842"/>
      <c r="J195" s="842"/>
      <c r="K195" s="342"/>
      <c r="L195" s="320"/>
    </row>
    <row r="196" spans="1:13" ht="16.5" customHeight="1" x14ac:dyDescent="0.3">
      <c r="A196" s="893" t="s">
        <v>91</v>
      </c>
      <c r="B196" s="893"/>
      <c r="C196" s="893"/>
      <c r="D196" s="893"/>
      <c r="E196" s="893"/>
      <c r="F196" s="893"/>
      <c r="G196" s="893"/>
      <c r="H196" s="893"/>
      <c r="I196" s="893"/>
      <c r="J196" s="893"/>
      <c r="K196" s="342"/>
      <c r="L196" s="320"/>
    </row>
    <row r="197" spans="1:13" ht="18" customHeight="1" x14ac:dyDescent="0.3">
      <c r="A197" s="372" t="s">
        <v>80</v>
      </c>
      <c r="B197" s="373"/>
      <c r="C197" s="377">
        <v>244</v>
      </c>
      <c r="D197" s="377"/>
      <c r="E197" s="377"/>
      <c r="F197" s="378"/>
      <c r="G197" s="378"/>
      <c r="H197" s="378"/>
      <c r="I197" s="378"/>
      <c r="J197" s="579"/>
      <c r="K197" s="342"/>
      <c r="L197" s="320"/>
    </row>
    <row r="198" spans="1:13" ht="18" customHeight="1" x14ac:dyDescent="0.3">
      <c r="A198" s="372" t="s">
        <v>81</v>
      </c>
      <c r="B198" s="373"/>
      <c r="C198" s="373"/>
      <c r="D198" s="373"/>
      <c r="E198" s="379" t="s">
        <v>82</v>
      </c>
      <c r="F198" s="380"/>
      <c r="G198" s="379"/>
      <c r="H198" s="380"/>
      <c r="I198" s="380"/>
      <c r="J198" s="257"/>
      <c r="K198" s="342"/>
      <c r="L198" s="320"/>
    </row>
    <row r="199" spans="1:13" ht="18" customHeight="1" x14ac:dyDescent="0.3">
      <c r="A199" s="871" t="s">
        <v>568</v>
      </c>
      <c r="B199" s="871"/>
      <c r="C199" s="871"/>
      <c r="D199" s="871"/>
      <c r="E199" s="871"/>
      <c r="F199" s="871"/>
      <c r="G199" s="871"/>
      <c r="H199" s="871"/>
      <c r="I199" s="871"/>
      <c r="J199" s="871"/>
      <c r="K199" s="342"/>
      <c r="L199" s="320"/>
    </row>
    <row r="200" spans="1:13" ht="15.75" customHeight="1" x14ac:dyDescent="0.3">
      <c r="A200" s="566" t="s">
        <v>1</v>
      </c>
      <c r="B200" s="778" t="s">
        <v>44</v>
      </c>
      <c r="C200" s="778"/>
      <c r="D200" s="778"/>
      <c r="E200" s="778" t="s">
        <v>45</v>
      </c>
      <c r="F200" s="778"/>
      <c r="G200" s="778" t="s">
        <v>46</v>
      </c>
      <c r="H200" s="778"/>
      <c r="I200" s="778" t="s">
        <v>102</v>
      </c>
      <c r="J200" s="778"/>
      <c r="K200" s="333"/>
      <c r="L200" s="320"/>
    </row>
    <row r="201" spans="1:13" ht="12.75" customHeight="1" x14ac:dyDescent="0.3">
      <c r="A201" s="566">
        <v>1</v>
      </c>
      <c r="B201" s="778">
        <v>2</v>
      </c>
      <c r="C201" s="778"/>
      <c r="D201" s="778"/>
      <c r="E201" s="778">
        <v>3</v>
      </c>
      <c r="F201" s="778"/>
      <c r="G201" s="778">
        <v>4</v>
      </c>
      <c r="H201" s="778"/>
      <c r="I201" s="778">
        <v>5</v>
      </c>
      <c r="J201" s="778"/>
      <c r="K201" s="342"/>
      <c r="L201" s="320"/>
    </row>
    <row r="202" spans="1:13" ht="21.75" customHeight="1" x14ac:dyDescent="0.3">
      <c r="A202" s="576" t="s">
        <v>70</v>
      </c>
      <c r="B202" s="809" t="s">
        <v>569</v>
      </c>
      <c r="C202" s="810"/>
      <c r="D202" s="811"/>
      <c r="E202" s="820">
        <v>8500</v>
      </c>
      <c r="F202" s="822"/>
      <c r="G202" s="820">
        <v>1</v>
      </c>
      <c r="H202" s="822"/>
      <c r="I202" s="897">
        <v>8500</v>
      </c>
      <c r="J202" s="898"/>
      <c r="K202" s="342"/>
      <c r="L202" s="328"/>
    </row>
    <row r="203" spans="1:13" ht="38.25" hidden="1" customHeight="1" x14ac:dyDescent="0.3">
      <c r="A203" s="576" t="s">
        <v>75</v>
      </c>
      <c r="B203" s="999" t="s">
        <v>542</v>
      </c>
      <c r="C203" s="1000"/>
      <c r="D203" s="1001"/>
      <c r="E203" s="820">
        <f>1625-1625</f>
        <v>0</v>
      </c>
      <c r="F203" s="822"/>
      <c r="G203" s="820">
        <v>2</v>
      </c>
      <c r="H203" s="822"/>
      <c r="I203" s="897">
        <f>E203*G203</f>
        <v>0</v>
      </c>
      <c r="J203" s="898"/>
      <c r="K203" s="342"/>
      <c r="L203" s="328"/>
    </row>
    <row r="204" spans="1:13" ht="15" customHeight="1" x14ac:dyDescent="0.3">
      <c r="A204" s="576"/>
      <c r="B204" s="847" t="s">
        <v>13</v>
      </c>
      <c r="C204" s="847"/>
      <c r="D204" s="847"/>
      <c r="E204" s="842" t="s">
        <v>14</v>
      </c>
      <c r="F204" s="842"/>
      <c r="G204" s="842" t="s">
        <v>14</v>
      </c>
      <c r="H204" s="842"/>
      <c r="I204" s="896">
        <f>I202+I203</f>
        <v>8500</v>
      </c>
      <c r="J204" s="896"/>
      <c r="K204" s="342"/>
      <c r="L204" s="320"/>
      <c r="M204" s="322"/>
    </row>
    <row r="205" spans="1:13" ht="29.25" customHeight="1" x14ac:dyDescent="0.3">
      <c r="A205" s="893" t="s">
        <v>49</v>
      </c>
      <c r="B205" s="893"/>
      <c r="C205" s="893"/>
      <c r="D205" s="893"/>
      <c r="E205" s="893"/>
      <c r="F205" s="893"/>
      <c r="G205" s="893"/>
      <c r="H205" s="893"/>
      <c r="I205" s="893"/>
      <c r="J205" s="893"/>
      <c r="K205" s="342"/>
      <c r="L205" s="320"/>
      <c r="M205" s="322"/>
    </row>
    <row r="206" spans="1:13" ht="19.5" customHeight="1" x14ac:dyDescent="0.3">
      <c r="A206" s="372" t="s">
        <v>80</v>
      </c>
      <c r="B206" s="373"/>
      <c r="C206" s="377" t="s">
        <v>996</v>
      </c>
      <c r="D206" s="377"/>
      <c r="E206" s="377"/>
      <c r="F206" s="378"/>
      <c r="G206" s="378"/>
      <c r="H206" s="378"/>
      <c r="I206" s="378"/>
      <c r="J206" s="579"/>
      <c r="K206" s="342"/>
      <c r="L206" s="320"/>
      <c r="M206" s="322"/>
    </row>
    <row r="207" spans="1:13" ht="17.25" customHeight="1" x14ac:dyDescent="0.3">
      <c r="A207" s="372" t="s">
        <v>81</v>
      </c>
      <c r="B207" s="373"/>
      <c r="C207" s="373"/>
      <c r="D207" s="373"/>
      <c r="E207" s="379" t="s">
        <v>82</v>
      </c>
      <c r="F207" s="380"/>
      <c r="G207" s="379" t="s">
        <v>195</v>
      </c>
      <c r="H207" s="380"/>
      <c r="I207" s="379" t="s">
        <v>989</v>
      </c>
      <c r="J207" s="257"/>
      <c r="K207" s="342"/>
      <c r="L207" s="320"/>
      <c r="M207" s="322"/>
    </row>
    <row r="208" spans="1:13" ht="17.25" customHeight="1" x14ac:dyDescent="0.3">
      <c r="A208" s="893" t="s">
        <v>301</v>
      </c>
      <c r="B208" s="893"/>
      <c r="C208" s="893"/>
      <c r="D208" s="893"/>
      <c r="E208" s="893"/>
      <c r="F208" s="893"/>
      <c r="G208" s="893"/>
      <c r="H208" s="893"/>
      <c r="I208" s="893"/>
      <c r="J208" s="893"/>
      <c r="K208" s="342"/>
      <c r="L208" s="320"/>
      <c r="M208" s="322"/>
    </row>
    <row r="209" spans="1:14" ht="38.25" customHeight="1" x14ac:dyDescent="0.3">
      <c r="A209" s="566" t="s">
        <v>1</v>
      </c>
      <c r="B209" s="778" t="s">
        <v>15</v>
      </c>
      <c r="C209" s="778"/>
      <c r="D209" s="778"/>
      <c r="E209" s="566" t="s">
        <v>50</v>
      </c>
      <c r="F209" s="566" t="s">
        <v>51</v>
      </c>
      <c r="G209" s="778" t="s">
        <v>52</v>
      </c>
      <c r="H209" s="778"/>
      <c r="I209" s="778" t="s">
        <v>104</v>
      </c>
      <c r="J209" s="778"/>
      <c r="K209" s="342"/>
      <c r="L209" s="320"/>
      <c r="M209" s="322"/>
    </row>
    <row r="210" spans="1:14" ht="15" customHeight="1" x14ac:dyDescent="0.3">
      <c r="A210" s="566">
        <v>1</v>
      </c>
      <c r="B210" s="778">
        <v>2</v>
      </c>
      <c r="C210" s="778"/>
      <c r="D210" s="778"/>
      <c r="E210" s="566">
        <v>3</v>
      </c>
      <c r="F210" s="566">
        <v>4</v>
      </c>
      <c r="G210" s="778">
        <v>5</v>
      </c>
      <c r="H210" s="778"/>
      <c r="I210" s="778">
        <v>6</v>
      </c>
      <c r="J210" s="778"/>
      <c r="K210" s="342"/>
      <c r="L210" s="320"/>
      <c r="M210" s="322"/>
    </row>
    <row r="211" spans="1:14" ht="14.25" customHeight="1" x14ac:dyDescent="0.3">
      <c r="A211" s="578">
        <v>1</v>
      </c>
      <c r="B211" s="827" t="s">
        <v>348</v>
      </c>
      <c r="C211" s="828"/>
      <c r="D211" s="829"/>
      <c r="E211" s="387" t="s">
        <v>74</v>
      </c>
      <c r="F211" s="387" t="s">
        <v>74</v>
      </c>
      <c r="G211" s="1043" t="s">
        <v>74</v>
      </c>
      <c r="H211" s="1043"/>
      <c r="I211" s="1044">
        <f>I212+I213+I214+I215</f>
        <v>50000</v>
      </c>
      <c r="J211" s="1044"/>
      <c r="K211" s="342"/>
      <c r="L211" s="320"/>
      <c r="M211" s="322"/>
    </row>
    <row r="212" spans="1:14" ht="15" customHeight="1" x14ac:dyDescent="0.3">
      <c r="A212" s="576" t="s">
        <v>349</v>
      </c>
      <c r="B212" s="835" t="s">
        <v>93</v>
      </c>
      <c r="C212" s="835"/>
      <c r="D212" s="835"/>
      <c r="E212" s="576">
        <v>6</v>
      </c>
      <c r="F212" s="576">
        <v>12</v>
      </c>
      <c r="G212" s="1050">
        <v>3867</v>
      </c>
      <c r="H212" s="1050"/>
      <c r="I212" s="876">
        <v>46000</v>
      </c>
      <c r="J212" s="876"/>
      <c r="K212" s="344"/>
      <c r="L212" s="321"/>
      <c r="M212" s="322"/>
    </row>
    <row r="213" spans="1:14" x14ac:dyDescent="0.3">
      <c r="A213" s="576" t="s">
        <v>350</v>
      </c>
      <c r="B213" s="835" t="s">
        <v>791</v>
      </c>
      <c r="C213" s="835"/>
      <c r="D213" s="835"/>
      <c r="E213" s="578"/>
      <c r="F213" s="578"/>
      <c r="G213" s="1051"/>
      <c r="H213" s="1051"/>
      <c r="I213" s="876">
        <v>3000</v>
      </c>
      <c r="J213" s="876"/>
      <c r="M213" s="322"/>
    </row>
    <row r="214" spans="1:14" ht="30" customHeight="1" x14ac:dyDescent="0.3">
      <c r="A214" s="576" t="s">
        <v>351</v>
      </c>
      <c r="B214" s="835" t="s">
        <v>96</v>
      </c>
      <c r="C214" s="835"/>
      <c r="D214" s="835"/>
      <c r="E214" s="576">
        <v>1</v>
      </c>
      <c r="F214" s="576">
        <v>1</v>
      </c>
      <c r="G214" s="875">
        <v>1000</v>
      </c>
      <c r="H214" s="875"/>
      <c r="I214" s="876">
        <v>1000</v>
      </c>
      <c r="J214" s="876"/>
      <c r="M214" s="322"/>
    </row>
    <row r="215" spans="1:14" hidden="1" x14ac:dyDescent="0.3">
      <c r="A215" s="576" t="s">
        <v>268</v>
      </c>
      <c r="B215" s="835" t="s">
        <v>199</v>
      </c>
      <c r="C215" s="835"/>
      <c r="D215" s="835"/>
      <c r="E215" s="576"/>
      <c r="F215" s="576"/>
      <c r="G215" s="875"/>
      <c r="H215" s="875"/>
      <c r="I215" s="876"/>
      <c r="J215" s="876"/>
      <c r="M215" s="322"/>
    </row>
    <row r="216" spans="1:14" hidden="1" x14ac:dyDescent="0.3">
      <c r="A216" s="578">
        <v>2</v>
      </c>
      <c r="B216" s="827" t="s">
        <v>352</v>
      </c>
      <c r="C216" s="828"/>
      <c r="D216" s="829"/>
      <c r="E216" s="387" t="s">
        <v>74</v>
      </c>
      <c r="F216" s="387" t="s">
        <v>74</v>
      </c>
      <c r="G216" s="1043" t="s">
        <v>74</v>
      </c>
      <c r="H216" s="1043"/>
      <c r="I216" s="1044">
        <f>I217</f>
        <v>0</v>
      </c>
      <c r="J216" s="1044"/>
      <c r="M216" s="322"/>
    </row>
    <row r="217" spans="1:14" s="317" customFormat="1" ht="19.5" hidden="1" customHeight="1" x14ac:dyDescent="0.3">
      <c r="A217" s="576" t="s">
        <v>353</v>
      </c>
      <c r="B217" s="835" t="s">
        <v>199</v>
      </c>
      <c r="C217" s="835"/>
      <c r="D217" s="835"/>
      <c r="E217" s="576">
        <v>1</v>
      </c>
      <c r="F217" s="576">
        <v>10</v>
      </c>
      <c r="G217" s="875">
        <v>0</v>
      </c>
      <c r="H217" s="875"/>
      <c r="I217" s="876">
        <v>0</v>
      </c>
      <c r="J217" s="876"/>
      <c r="K217" s="334"/>
    </row>
    <row r="218" spans="1:14" ht="16.5" customHeight="1" x14ac:dyDescent="0.3">
      <c r="A218" s="576"/>
      <c r="B218" s="847" t="s">
        <v>332</v>
      </c>
      <c r="C218" s="847"/>
      <c r="D218" s="847"/>
      <c r="E218" s="578" t="s">
        <v>14</v>
      </c>
      <c r="F218" s="578" t="s">
        <v>14</v>
      </c>
      <c r="G218" s="842" t="s">
        <v>14</v>
      </c>
      <c r="H218" s="842"/>
      <c r="I218" s="848">
        <f>I211+I216</f>
        <v>50000</v>
      </c>
      <c r="J218" s="1007"/>
      <c r="K218" s="345"/>
      <c r="N218" s="408"/>
    </row>
    <row r="219" spans="1:14" ht="12" hidden="1" customHeight="1" x14ac:dyDescent="0.3">
      <c r="A219" s="409"/>
      <c r="B219" s="373"/>
      <c r="C219" s="373"/>
      <c r="D219" s="373"/>
      <c r="E219" s="373"/>
      <c r="F219" s="373"/>
      <c r="G219" s="373"/>
      <c r="H219" s="373"/>
      <c r="I219" s="373"/>
      <c r="J219" s="587"/>
      <c r="M219" s="329"/>
    </row>
    <row r="220" spans="1:14" ht="18.75" hidden="1" customHeight="1" x14ac:dyDescent="0.3">
      <c r="A220" s="893" t="s">
        <v>285</v>
      </c>
      <c r="B220" s="893"/>
      <c r="C220" s="893"/>
      <c r="D220" s="893"/>
      <c r="E220" s="893"/>
      <c r="F220" s="893"/>
      <c r="G220" s="893"/>
      <c r="H220" s="893"/>
      <c r="I220" s="893"/>
      <c r="J220" s="893"/>
      <c r="M220" s="329"/>
    </row>
    <row r="221" spans="1:14" ht="12.75" hidden="1" customHeight="1" x14ac:dyDescent="0.3">
      <c r="A221" s="566" t="s">
        <v>1</v>
      </c>
      <c r="B221" s="778" t="s">
        <v>15</v>
      </c>
      <c r="C221" s="778"/>
      <c r="D221" s="778"/>
      <c r="E221" s="778" t="s">
        <v>53</v>
      </c>
      <c r="F221" s="778"/>
      <c r="G221" s="778" t="s">
        <v>54</v>
      </c>
      <c r="H221" s="778"/>
      <c r="I221" s="778" t="s">
        <v>264</v>
      </c>
      <c r="J221" s="778"/>
      <c r="M221" s="329"/>
    </row>
    <row r="222" spans="1:14" ht="15" hidden="1" customHeight="1" x14ac:dyDescent="0.3">
      <c r="A222" s="566">
        <v>1</v>
      </c>
      <c r="B222" s="778">
        <v>2</v>
      </c>
      <c r="C222" s="778"/>
      <c r="D222" s="778"/>
      <c r="E222" s="778">
        <v>3</v>
      </c>
      <c r="F222" s="778"/>
      <c r="G222" s="778">
        <v>4</v>
      </c>
      <c r="H222" s="778"/>
      <c r="I222" s="778">
        <v>5</v>
      </c>
      <c r="J222" s="778"/>
      <c r="M222" s="329"/>
    </row>
    <row r="223" spans="1:14" ht="16.5" hidden="1" customHeight="1" x14ac:dyDescent="0.3">
      <c r="A223" s="576">
        <v>1</v>
      </c>
      <c r="B223" s="927" t="s">
        <v>715</v>
      </c>
      <c r="C223" s="928"/>
      <c r="D223" s="929"/>
      <c r="E223" s="826"/>
      <c r="F223" s="826"/>
      <c r="G223" s="860"/>
      <c r="H223" s="860"/>
      <c r="I223" s="860">
        <f>E223*G223</f>
        <v>0</v>
      </c>
      <c r="J223" s="860"/>
      <c r="M223" s="329"/>
    </row>
    <row r="224" spans="1:14" hidden="1" x14ac:dyDescent="0.3">
      <c r="A224" s="576"/>
      <c r="B224" s="847" t="s">
        <v>13</v>
      </c>
      <c r="C224" s="847"/>
      <c r="D224" s="847"/>
      <c r="E224" s="842" t="s">
        <v>74</v>
      </c>
      <c r="F224" s="842"/>
      <c r="G224" s="842" t="s">
        <v>74</v>
      </c>
      <c r="H224" s="842"/>
      <c r="I224" s="1055">
        <f>I223</f>
        <v>0</v>
      </c>
      <c r="J224" s="842"/>
    </row>
    <row r="225" spans="1:17" ht="24" customHeight="1" x14ac:dyDescent="0.3">
      <c r="A225" s="410" t="s">
        <v>806</v>
      </c>
      <c r="B225" s="410"/>
      <c r="C225" s="410"/>
      <c r="D225" s="410"/>
      <c r="E225" s="410"/>
      <c r="F225" s="410"/>
      <c r="G225" s="410"/>
      <c r="H225" s="410"/>
      <c r="I225" s="410"/>
      <c r="J225" s="520"/>
    </row>
    <row r="226" spans="1:17" s="317" customFormat="1" ht="25.5" customHeight="1" x14ac:dyDescent="0.3">
      <c r="A226" s="566" t="s">
        <v>1</v>
      </c>
      <c r="B226" s="778" t="s">
        <v>44</v>
      </c>
      <c r="C226" s="778"/>
      <c r="D226" s="778"/>
      <c r="E226" s="566" t="s">
        <v>55</v>
      </c>
      <c r="F226" s="778" t="s">
        <v>56</v>
      </c>
      <c r="G226" s="778"/>
      <c r="H226" s="566" t="s">
        <v>57</v>
      </c>
      <c r="I226" s="778" t="s">
        <v>104</v>
      </c>
      <c r="J226" s="778"/>
      <c r="K226" s="867" t="s">
        <v>776</v>
      </c>
    </row>
    <row r="227" spans="1:17" s="317" customFormat="1" ht="15.75" customHeight="1" x14ac:dyDescent="0.3">
      <c r="A227" s="566">
        <v>1</v>
      </c>
      <c r="B227" s="778">
        <v>2</v>
      </c>
      <c r="C227" s="778"/>
      <c r="D227" s="778"/>
      <c r="E227" s="566">
        <v>3</v>
      </c>
      <c r="F227" s="778">
        <v>4</v>
      </c>
      <c r="G227" s="778"/>
      <c r="H227" s="566">
        <v>5</v>
      </c>
      <c r="I227" s="778">
        <v>6</v>
      </c>
      <c r="J227" s="778"/>
      <c r="K227" s="867"/>
    </row>
    <row r="228" spans="1:17" s="445" customFormat="1" ht="30" customHeight="1" x14ac:dyDescent="0.3">
      <c r="A228" s="578">
        <v>1</v>
      </c>
      <c r="B228" s="827" t="s">
        <v>588</v>
      </c>
      <c r="C228" s="828"/>
      <c r="D228" s="829"/>
      <c r="E228" s="444">
        <f>SUM(E229:E231)</f>
        <v>808</v>
      </c>
      <c r="F228" s="830"/>
      <c r="G228" s="831"/>
      <c r="H228" s="497">
        <f>F230/F229-100%</f>
        <v>0</v>
      </c>
      <c r="I228" s="834">
        <f>I229+I230+I231</f>
        <v>51012</v>
      </c>
      <c r="J228" s="834"/>
      <c r="K228" s="846" t="s">
        <v>848</v>
      </c>
      <c r="L228" s="541">
        <v>772</v>
      </c>
    </row>
    <row r="229" spans="1:17" ht="17.25" customHeight="1" x14ac:dyDescent="0.3">
      <c r="A229" s="817"/>
      <c r="B229" s="826" t="s">
        <v>945</v>
      </c>
      <c r="C229" s="826"/>
      <c r="D229" s="826"/>
      <c r="E229" s="577">
        <v>472</v>
      </c>
      <c r="F229" s="823">
        <v>63.18</v>
      </c>
      <c r="G229" s="824"/>
      <c r="H229" s="497">
        <f t="shared" ref="H229:H231" si="23">F231/F230-100%</f>
        <v>0</v>
      </c>
      <c r="I229" s="825">
        <f>E229*F229</f>
        <v>29820.959999999999</v>
      </c>
      <c r="J229" s="825"/>
      <c r="K229" s="846"/>
      <c r="L229" s="323">
        <f>I229+I230+I233+I234</f>
        <v>127758.68</v>
      </c>
      <c r="O229" s="173">
        <v>57.21</v>
      </c>
      <c r="Q229" s="173">
        <v>55.33</v>
      </c>
    </row>
    <row r="230" spans="1:17" ht="17.25" customHeight="1" x14ac:dyDescent="0.3">
      <c r="A230" s="818"/>
      <c r="B230" s="826" t="s">
        <v>946</v>
      </c>
      <c r="C230" s="826"/>
      <c r="D230" s="826"/>
      <c r="E230" s="577">
        <v>273</v>
      </c>
      <c r="F230" s="823">
        <v>63.18</v>
      </c>
      <c r="G230" s="824"/>
      <c r="H230" s="497">
        <f t="shared" si="23"/>
        <v>-1</v>
      </c>
      <c r="I230" s="825">
        <f>E230*F230-0.42</f>
        <v>17247.72</v>
      </c>
      <c r="J230" s="825"/>
      <c r="K230" s="846"/>
      <c r="O230" s="173">
        <f>O229*E228</f>
        <v>46225.68</v>
      </c>
    </row>
    <row r="231" spans="1:17" ht="15.75" customHeight="1" x14ac:dyDescent="0.3">
      <c r="A231" s="819"/>
      <c r="B231" s="812" t="s">
        <v>719</v>
      </c>
      <c r="C231" s="813"/>
      <c r="D231" s="814"/>
      <c r="E231" s="577">
        <v>63</v>
      </c>
      <c r="F231" s="823">
        <v>63.18</v>
      </c>
      <c r="G231" s="824"/>
      <c r="H231" s="497" t="e">
        <f t="shared" si="23"/>
        <v>#DIV/0!</v>
      </c>
      <c r="I231" s="825">
        <f>E231*F231-0.08-36.94</f>
        <v>3943.32</v>
      </c>
      <c r="J231" s="825"/>
      <c r="K231" s="560"/>
    </row>
    <row r="232" spans="1:17" s="445" customFormat="1" ht="31.95" customHeight="1" x14ac:dyDescent="0.3">
      <c r="A232" s="578">
        <v>2</v>
      </c>
      <c r="B232" s="827" t="s">
        <v>589</v>
      </c>
      <c r="C232" s="828"/>
      <c r="D232" s="829"/>
      <c r="E232" s="444">
        <f>SUM(E233:E235)</f>
        <v>39</v>
      </c>
      <c r="F232" s="830"/>
      <c r="G232" s="831"/>
      <c r="H232" s="497">
        <f>F234/F233-100%</f>
        <v>0</v>
      </c>
      <c r="I232" s="832">
        <f>I233+I234+I235</f>
        <v>89911</v>
      </c>
      <c r="J232" s="833"/>
      <c r="K232" s="846" t="s">
        <v>849</v>
      </c>
      <c r="L232" s="539">
        <v>33</v>
      </c>
    </row>
    <row r="233" spans="1:17" ht="17.25" customHeight="1" x14ac:dyDescent="0.3">
      <c r="A233" s="817"/>
      <c r="B233" s="820" t="s">
        <v>947</v>
      </c>
      <c r="C233" s="821"/>
      <c r="D233" s="822"/>
      <c r="E233" s="577">
        <v>21</v>
      </c>
      <c r="F233" s="823">
        <v>2305.4499999999998</v>
      </c>
      <c r="G233" s="824"/>
      <c r="H233" s="498"/>
      <c r="I233" s="825">
        <f>E233*F233</f>
        <v>48414.45</v>
      </c>
      <c r="J233" s="825"/>
      <c r="K233" s="846"/>
      <c r="O233" s="173">
        <v>2108.31</v>
      </c>
    </row>
    <row r="234" spans="1:17" ht="16.5" customHeight="1" x14ac:dyDescent="0.3">
      <c r="A234" s="818"/>
      <c r="B234" s="826" t="s">
        <v>948</v>
      </c>
      <c r="C234" s="826"/>
      <c r="D234" s="826"/>
      <c r="E234" s="577">
        <v>14</v>
      </c>
      <c r="F234" s="823">
        <v>2305.4499999999998</v>
      </c>
      <c r="G234" s="824"/>
      <c r="H234" s="498"/>
      <c r="I234" s="825">
        <f>E234*F234-0.75</f>
        <v>32275.549999999996</v>
      </c>
      <c r="J234" s="825"/>
      <c r="K234" s="846"/>
      <c r="O234" s="173">
        <f>O233*E232</f>
        <v>82224.09</v>
      </c>
    </row>
    <row r="235" spans="1:17" ht="19.5" customHeight="1" x14ac:dyDescent="0.3">
      <c r="A235" s="819"/>
      <c r="B235" s="812" t="s">
        <v>719</v>
      </c>
      <c r="C235" s="813"/>
      <c r="D235" s="814"/>
      <c r="E235" s="577">
        <v>4</v>
      </c>
      <c r="F235" s="823">
        <v>2305.4499999999998</v>
      </c>
      <c r="G235" s="824"/>
      <c r="H235" s="498"/>
      <c r="I235" s="825">
        <f>E235*F235-0.8</f>
        <v>9221</v>
      </c>
      <c r="J235" s="825"/>
      <c r="K235" s="560"/>
    </row>
    <row r="236" spans="1:17" s="445" customFormat="1" ht="22.5" customHeight="1" x14ac:dyDescent="0.3">
      <c r="A236" s="578">
        <v>3</v>
      </c>
      <c r="B236" s="827" t="s">
        <v>153</v>
      </c>
      <c r="C236" s="828"/>
      <c r="D236" s="829"/>
      <c r="E236" s="444">
        <f>SUM(E237:E239)</f>
        <v>1389</v>
      </c>
      <c r="F236" s="830"/>
      <c r="G236" s="831"/>
      <c r="H236" s="497">
        <f>F238/F237-100%</f>
        <v>0</v>
      </c>
      <c r="I236" s="834">
        <f>I237+I238+I239</f>
        <v>87756</v>
      </c>
      <c r="J236" s="834"/>
      <c r="K236" s="846" t="s">
        <v>850</v>
      </c>
      <c r="L236" s="540">
        <v>1068</v>
      </c>
      <c r="M236" s="447"/>
    </row>
    <row r="237" spans="1:17" ht="22.5" customHeight="1" x14ac:dyDescent="0.3">
      <c r="A237" s="817"/>
      <c r="B237" s="820" t="s">
        <v>955</v>
      </c>
      <c r="C237" s="821"/>
      <c r="D237" s="822"/>
      <c r="E237" s="577">
        <v>833</v>
      </c>
      <c r="F237" s="823">
        <v>63.18</v>
      </c>
      <c r="G237" s="824"/>
      <c r="H237" s="498"/>
      <c r="I237" s="825">
        <f>E237*F237</f>
        <v>52628.94</v>
      </c>
      <c r="J237" s="825"/>
      <c r="K237" s="846"/>
      <c r="L237" s="323">
        <f>I237+I238+I241+I242</f>
        <v>227021.62</v>
      </c>
      <c r="O237" s="173">
        <v>57.21</v>
      </c>
      <c r="Q237" s="173">
        <v>55.33</v>
      </c>
    </row>
    <row r="238" spans="1:17" ht="25.5" customHeight="1" x14ac:dyDescent="0.3">
      <c r="A238" s="818"/>
      <c r="B238" s="826" t="s">
        <v>949</v>
      </c>
      <c r="C238" s="826"/>
      <c r="D238" s="826"/>
      <c r="E238" s="577">
        <v>421</v>
      </c>
      <c r="F238" s="823">
        <v>63.18</v>
      </c>
      <c r="G238" s="824"/>
      <c r="H238" s="498"/>
      <c r="I238" s="825">
        <f>E238*F238-0.29</f>
        <v>26598.489999999998</v>
      </c>
      <c r="J238" s="825"/>
      <c r="K238" s="846"/>
      <c r="O238" s="173">
        <f>O237*E236</f>
        <v>79464.69</v>
      </c>
    </row>
    <row r="239" spans="1:17" ht="16.5" customHeight="1" x14ac:dyDescent="0.3">
      <c r="A239" s="819"/>
      <c r="B239" s="812" t="s">
        <v>719</v>
      </c>
      <c r="C239" s="813"/>
      <c r="D239" s="814"/>
      <c r="E239" s="577">
        <v>135</v>
      </c>
      <c r="F239" s="823">
        <v>63.18</v>
      </c>
      <c r="G239" s="824"/>
      <c r="H239" s="498"/>
      <c r="I239" s="807">
        <f>E239*F239-0.73</f>
        <v>8528.57</v>
      </c>
      <c r="J239" s="808"/>
      <c r="K239" s="560"/>
    </row>
    <row r="240" spans="1:17" s="445" customFormat="1" ht="17.25" customHeight="1" x14ac:dyDescent="0.3">
      <c r="A240" s="578">
        <v>4</v>
      </c>
      <c r="B240" s="827" t="s">
        <v>154</v>
      </c>
      <c r="C240" s="828"/>
      <c r="D240" s="829"/>
      <c r="E240" s="444">
        <f>SUM(E241:E243)</f>
        <v>2146</v>
      </c>
      <c r="F240" s="830"/>
      <c r="G240" s="831"/>
      <c r="H240" s="497">
        <f>F242/F241-100%</f>
        <v>0</v>
      </c>
      <c r="I240" s="834">
        <f>I241+I242+I243</f>
        <v>163825</v>
      </c>
      <c r="J240" s="834"/>
      <c r="K240" s="846" t="s">
        <v>851</v>
      </c>
      <c r="L240" s="539">
        <v>1825</v>
      </c>
    </row>
    <row r="241" spans="1:17" ht="15.75" customHeight="1" x14ac:dyDescent="0.3">
      <c r="A241" s="817"/>
      <c r="B241" s="820" t="s">
        <v>956</v>
      </c>
      <c r="C241" s="821"/>
      <c r="D241" s="822"/>
      <c r="E241" s="577">
        <v>1269</v>
      </c>
      <c r="F241" s="823">
        <v>76.34</v>
      </c>
      <c r="G241" s="824"/>
      <c r="H241" s="498"/>
      <c r="I241" s="825">
        <f>E241*F241</f>
        <v>96875.46</v>
      </c>
      <c r="J241" s="825"/>
      <c r="K241" s="846"/>
      <c r="O241" s="173">
        <v>69.12</v>
      </c>
      <c r="Q241" s="173">
        <v>66.94</v>
      </c>
    </row>
    <row r="242" spans="1:17" ht="15" customHeight="1" x14ac:dyDescent="0.3">
      <c r="A242" s="818"/>
      <c r="B242" s="826" t="s">
        <v>950</v>
      </c>
      <c r="C242" s="826"/>
      <c r="D242" s="826"/>
      <c r="E242" s="577">
        <v>667</v>
      </c>
      <c r="F242" s="823">
        <v>76.34</v>
      </c>
      <c r="G242" s="824"/>
      <c r="H242" s="498"/>
      <c r="I242" s="825">
        <f>E242*F242-0.05</f>
        <v>50918.729999999996</v>
      </c>
      <c r="J242" s="825"/>
      <c r="K242" s="846"/>
      <c r="O242" s="173">
        <f>O241*E240</f>
        <v>148331.52000000002</v>
      </c>
    </row>
    <row r="243" spans="1:17" ht="16.5" customHeight="1" x14ac:dyDescent="0.3">
      <c r="A243" s="819"/>
      <c r="B243" s="812" t="s">
        <v>719</v>
      </c>
      <c r="C243" s="813"/>
      <c r="D243" s="814"/>
      <c r="E243" s="577">
        <v>210</v>
      </c>
      <c r="F243" s="823">
        <v>76.34</v>
      </c>
      <c r="G243" s="824"/>
      <c r="H243" s="498"/>
      <c r="I243" s="807">
        <f>E243*F243-0.15-0.44</f>
        <v>16030.810000000001</v>
      </c>
      <c r="J243" s="808"/>
      <c r="K243" s="560"/>
    </row>
    <row r="244" spans="1:17" ht="0.75" hidden="1" customHeight="1" x14ac:dyDescent="0.3">
      <c r="A244" s="576"/>
      <c r="B244" s="820"/>
      <c r="C244" s="821"/>
      <c r="D244" s="822"/>
      <c r="E244" s="564"/>
      <c r="F244" s="823"/>
      <c r="G244" s="824"/>
      <c r="H244" s="498"/>
      <c r="I244" s="870">
        <f>E244*F244</f>
        <v>0</v>
      </c>
      <c r="J244" s="870"/>
      <c r="K244" s="560"/>
    </row>
    <row r="245" spans="1:17" s="445" customFormat="1" ht="15" customHeight="1" x14ac:dyDescent="0.3">
      <c r="A245" s="578">
        <v>5</v>
      </c>
      <c r="B245" s="827" t="s">
        <v>378</v>
      </c>
      <c r="C245" s="828"/>
      <c r="D245" s="829"/>
      <c r="E245" s="570">
        <f>E246+E247+E248</f>
        <v>157</v>
      </c>
      <c r="F245" s="830"/>
      <c r="G245" s="831"/>
      <c r="H245" s="497">
        <v>0</v>
      </c>
      <c r="I245" s="834">
        <f>I246+I247+I248</f>
        <v>178495.995</v>
      </c>
      <c r="J245" s="834"/>
      <c r="K245" s="846" t="s">
        <v>852</v>
      </c>
      <c r="L245" s="539">
        <v>157</v>
      </c>
      <c r="N245" s="445">
        <v>121163.26</v>
      </c>
      <c r="O245" s="445">
        <v>735.9</v>
      </c>
    </row>
    <row r="246" spans="1:17" ht="15" customHeight="1" x14ac:dyDescent="0.3">
      <c r="A246" s="576"/>
      <c r="B246" s="820" t="s">
        <v>100</v>
      </c>
      <c r="C246" s="821"/>
      <c r="D246" s="822"/>
      <c r="E246" s="564">
        <v>78.5</v>
      </c>
      <c r="F246" s="823">
        <v>1043.81</v>
      </c>
      <c r="G246" s="824"/>
      <c r="H246" s="498"/>
      <c r="I246" s="825">
        <f>E246*F246</f>
        <v>81939.084999999992</v>
      </c>
      <c r="J246" s="825"/>
      <c r="K246" s="846"/>
      <c r="O246" s="173">
        <f>O245*E245</f>
        <v>115536.3</v>
      </c>
    </row>
    <row r="247" spans="1:17" ht="15" customHeight="1" x14ac:dyDescent="0.3">
      <c r="A247" s="576"/>
      <c r="B247" s="826" t="s">
        <v>101</v>
      </c>
      <c r="C247" s="826"/>
      <c r="D247" s="826"/>
      <c r="E247" s="564">
        <f>78.5-15.75</f>
        <v>62.75</v>
      </c>
      <c r="F247" s="823">
        <v>1230.04</v>
      </c>
      <c r="G247" s="824"/>
      <c r="H247" s="498"/>
      <c r="I247" s="825">
        <f>E247*F247-0.18</f>
        <v>77184.83</v>
      </c>
      <c r="J247" s="825"/>
      <c r="K247" s="846"/>
    </row>
    <row r="248" spans="1:17" ht="15" customHeight="1" x14ac:dyDescent="0.3">
      <c r="A248" s="576"/>
      <c r="B248" s="812" t="s">
        <v>719</v>
      </c>
      <c r="C248" s="813"/>
      <c r="D248" s="814"/>
      <c r="E248" s="564">
        <v>15.75</v>
      </c>
      <c r="F248" s="823">
        <v>1230.04</v>
      </c>
      <c r="G248" s="824"/>
      <c r="H248" s="576"/>
      <c r="I248" s="825">
        <f>E248*F248-0.18-0.87</f>
        <v>19372.080000000002</v>
      </c>
      <c r="J248" s="825"/>
    </row>
    <row r="249" spans="1:17" ht="15" customHeight="1" x14ac:dyDescent="0.3">
      <c r="A249" s="576"/>
      <c r="B249" s="847" t="s">
        <v>13</v>
      </c>
      <c r="C249" s="847"/>
      <c r="D249" s="847"/>
      <c r="E249" s="578" t="s">
        <v>14</v>
      </c>
      <c r="F249" s="842" t="s">
        <v>14</v>
      </c>
      <c r="G249" s="842"/>
      <c r="H249" s="578" t="s">
        <v>14</v>
      </c>
      <c r="I249" s="848">
        <f>I228+I232+I236+I240+I245</f>
        <v>570999.995</v>
      </c>
      <c r="J249" s="848"/>
      <c r="M249" s="323"/>
      <c r="O249" s="173" t="e">
        <f>#REF!+O230+O234+O238+O242+#REF!+O246</f>
        <v>#REF!</v>
      </c>
    </row>
    <row r="250" spans="1:17" ht="24" customHeight="1" x14ac:dyDescent="0.3">
      <c r="A250" s="410" t="s">
        <v>805</v>
      </c>
      <c r="B250" s="410"/>
      <c r="C250" s="410"/>
      <c r="D250" s="410"/>
      <c r="E250" s="410"/>
      <c r="F250" s="410"/>
      <c r="G250" s="410"/>
      <c r="H250" s="410"/>
      <c r="I250" s="410"/>
      <c r="J250" s="520"/>
    </row>
    <row r="251" spans="1:17" s="317" customFormat="1" ht="25.5" customHeight="1" x14ac:dyDescent="0.3">
      <c r="A251" s="566" t="s">
        <v>1</v>
      </c>
      <c r="B251" s="778" t="s">
        <v>44</v>
      </c>
      <c r="C251" s="778"/>
      <c r="D251" s="778"/>
      <c r="E251" s="566" t="s">
        <v>55</v>
      </c>
      <c r="F251" s="778" t="s">
        <v>56</v>
      </c>
      <c r="G251" s="778"/>
      <c r="H251" s="566" t="s">
        <v>57</v>
      </c>
      <c r="I251" s="778" t="s">
        <v>104</v>
      </c>
      <c r="J251" s="778"/>
      <c r="K251" s="867" t="s">
        <v>776</v>
      </c>
    </row>
    <row r="252" spans="1:17" s="317" customFormat="1" ht="15.75" customHeight="1" x14ac:dyDescent="0.3">
      <c r="A252" s="566">
        <v>1</v>
      </c>
      <c r="B252" s="778">
        <v>2</v>
      </c>
      <c r="C252" s="778"/>
      <c r="D252" s="778"/>
      <c r="E252" s="566">
        <v>3</v>
      </c>
      <c r="F252" s="778">
        <v>4</v>
      </c>
      <c r="G252" s="778"/>
      <c r="H252" s="566">
        <v>5</v>
      </c>
      <c r="I252" s="778">
        <v>6</v>
      </c>
      <c r="J252" s="778"/>
      <c r="K252" s="867"/>
    </row>
    <row r="253" spans="1:17" s="445" customFormat="1" ht="16.5" customHeight="1" x14ac:dyDescent="0.3">
      <c r="A253" s="578">
        <v>1</v>
      </c>
      <c r="B253" s="827" t="s">
        <v>151</v>
      </c>
      <c r="C253" s="828"/>
      <c r="D253" s="829"/>
      <c r="E253" s="444">
        <f>E254+E255+E256</f>
        <v>1079</v>
      </c>
      <c r="F253" s="830"/>
      <c r="G253" s="831"/>
      <c r="H253" s="497">
        <f>F255/F254-100%</f>
        <v>0</v>
      </c>
      <c r="I253" s="834">
        <f>I254+I255+I256</f>
        <v>2488000</v>
      </c>
      <c r="J253" s="834"/>
      <c r="K253" s="846" t="s">
        <v>853</v>
      </c>
      <c r="L253" s="539">
        <v>1159.0999999999999</v>
      </c>
      <c r="O253" s="445">
        <v>2108.31</v>
      </c>
    </row>
    <row r="254" spans="1:17" ht="15" customHeight="1" x14ac:dyDescent="0.3">
      <c r="A254" s="817"/>
      <c r="B254" s="826" t="s">
        <v>951</v>
      </c>
      <c r="C254" s="826"/>
      <c r="D254" s="826"/>
      <c r="E254" s="577">
        <v>651</v>
      </c>
      <c r="F254" s="823">
        <v>2305.4499999999998</v>
      </c>
      <c r="G254" s="824"/>
      <c r="H254" s="498"/>
      <c r="I254" s="825">
        <f>E254*F254</f>
        <v>1500847.95</v>
      </c>
      <c r="J254" s="825"/>
      <c r="K254" s="846"/>
      <c r="M254" s="323">
        <f>I254/E254</f>
        <v>2305.4499999999998</v>
      </c>
      <c r="O254" s="173">
        <f>O253*E253</f>
        <v>2274866.4899999998</v>
      </c>
      <c r="Q254" s="173">
        <v>2039.6</v>
      </c>
    </row>
    <row r="255" spans="1:17" ht="15.75" customHeight="1" x14ac:dyDescent="0.3">
      <c r="A255" s="819"/>
      <c r="B255" s="826" t="s">
        <v>952</v>
      </c>
      <c r="C255" s="826"/>
      <c r="D255" s="826"/>
      <c r="E255" s="577">
        <v>284</v>
      </c>
      <c r="F255" s="823">
        <v>2305.4499999999998</v>
      </c>
      <c r="G255" s="824"/>
      <c r="H255" s="498"/>
      <c r="I255" s="825">
        <f>E255*F255</f>
        <v>654747.79999999993</v>
      </c>
      <c r="J255" s="825"/>
      <c r="K255" s="846"/>
    </row>
    <row r="256" spans="1:17" ht="18" customHeight="1" x14ac:dyDescent="0.3">
      <c r="A256" s="575"/>
      <c r="B256" s="812" t="s">
        <v>719</v>
      </c>
      <c r="C256" s="813"/>
      <c r="D256" s="814"/>
      <c r="E256" s="577">
        <v>144</v>
      </c>
      <c r="F256" s="823">
        <v>2305.4499999999998</v>
      </c>
      <c r="G256" s="824"/>
      <c r="H256" s="498"/>
      <c r="I256" s="825">
        <f>E256*F256+419.45</f>
        <v>332404.25</v>
      </c>
      <c r="J256" s="825"/>
      <c r="K256" s="560"/>
    </row>
    <row r="257" spans="1:17" s="445" customFormat="1" ht="19.5" customHeight="1" x14ac:dyDescent="0.3">
      <c r="A257" s="578">
        <v>2</v>
      </c>
      <c r="B257" s="827" t="s">
        <v>155</v>
      </c>
      <c r="C257" s="828"/>
      <c r="D257" s="829"/>
      <c r="E257" s="570">
        <f>E258+E259+E260</f>
        <v>128903</v>
      </c>
      <c r="F257" s="830"/>
      <c r="G257" s="831"/>
      <c r="H257" s="497">
        <f>F259/F258-100%</f>
        <v>0</v>
      </c>
      <c r="I257" s="834">
        <f>I258+I259+I260</f>
        <v>1078000</v>
      </c>
      <c r="J257" s="834"/>
      <c r="K257" s="846" t="s">
        <v>854</v>
      </c>
      <c r="L257" s="539">
        <v>135301</v>
      </c>
      <c r="O257" s="445">
        <v>7.57</v>
      </c>
    </row>
    <row r="258" spans="1:17" ht="28.5" customHeight="1" x14ac:dyDescent="0.3">
      <c r="A258" s="576"/>
      <c r="B258" s="826" t="s">
        <v>953</v>
      </c>
      <c r="C258" s="826"/>
      <c r="D258" s="826"/>
      <c r="E258" s="564">
        <v>69373</v>
      </c>
      <c r="F258" s="823">
        <v>8.36</v>
      </c>
      <c r="G258" s="824"/>
      <c r="H258" s="498"/>
      <c r="I258" s="877">
        <f>E258*F258+370.92</f>
        <v>580329.19999999995</v>
      </c>
      <c r="J258" s="877"/>
      <c r="K258" s="846"/>
      <c r="M258" s="173">
        <v>1088991.56</v>
      </c>
      <c r="O258" s="173">
        <f>O257*E257</f>
        <v>975795.71000000008</v>
      </c>
      <c r="Q258" s="173" t="s">
        <v>987</v>
      </c>
    </row>
    <row r="259" spans="1:17" ht="14.25" customHeight="1" x14ac:dyDescent="0.3">
      <c r="A259" s="576"/>
      <c r="B259" s="826" t="s">
        <v>954</v>
      </c>
      <c r="C259" s="826"/>
      <c r="D259" s="826"/>
      <c r="E259" s="564">
        <v>46219</v>
      </c>
      <c r="F259" s="823">
        <v>8.36</v>
      </c>
      <c r="G259" s="824"/>
      <c r="H259" s="576"/>
      <c r="I259" s="825">
        <f>E259*F259</f>
        <v>386390.83999999997</v>
      </c>
      <c r="J259" s="825"/>
      <c r="K259" s="846"/>
    </row>
    <row r="260" spans="1:17" ht="18" customHeight="1" x14ac:dyDescent="0.3">
      <c r="A260" s="576"/>
      <c r="B260" s="812" t="s">
        <v>719</v>
      </c>
      <c r="C260" s="813"/>
      <c r="D260" s="814"/>
      <c r="E260" s="564">
        <v>13311</v>
      </c>
      <c r="F260" s="823">
        <v>8.36</v>
      </c>
      <c r="G260" s="824"/>
      <c r="H260" s="576"/>
      <c r="I260" s="825">
        <f>E260*F260</f>
        <v>111279.95999999999</v>
      </c>
      <c r="J260" s="825"/>
      <c r="K260" s="846"/>
    </row>
    <row r="261" spans="1:17" ht="15" customHeight="1" x14ac:dyDescent="0.3">
      <c r="A261" s="576"/>
      <c r="B261" s="847" t="s">
        <v>13</v>
      </c>
      <c r="C261" s="847"/>
      <c r="D261" s="847"/>
      <c r="E261" s="578" t="s">
        <v>14</v>
      </c>
      <c r="F261" s="842" t="s">
        <v>14</v>
      </c>
      <c r="G261" s="842"/>
      <c r="H261" s="578" t="s">
        <v>14</v>
      </c>
      <c r="I261" s="848">
        <f>I253+I257</f>
        <v>3566000</v>
      </c>
      <c r="J261" s="848"/>
      <c r="K261" s="501"/>
      <c r="M261" s="323"/>
      <c r="O261" s="173" t="e">
        <f>O254+#REF!+#REF!+#REF!+#REF!+O258+#REF!</f>
        <v>#REF!</v>
      </c>
    </row>
    <row r="262" spans="1:17" ht="16.5" customHeight="1" x14ac:dyDescent="0.3">
      <c r="A262" s="576"/>
      <c r="B262" s="812" t="s">
        <v>807</v>
      </c>
      <c r="C262" s="813"/>
      <c r="D262" s="814"/>
      <c r="E262" s="578"/>
      <c r="F262" s="812"/>
      <c r="G262" s="814"/>
      <c r="H262" s="578"/>
      <c r="I262" s="865">
        <f>I261+I249</f>
        <v>4136999.9950000001</v>
      </c>
      <c r="J262" s="866"/>
      <c r="M262" s="323"/>
    </row>
    <row r="263" spans="1:17" s="317" customFormat="1" ht="19.5" hidden="1" customHeight="1" x14ac:dyDescent="0.3">
      <c r="A263" s="893" t="s">
        <v>286</v>
      </c>
      <c r="B263" s="893"/>
      <c r="C263" s="893"/>
      <c r="D263" s="893"/>
      <c r="E263" s="893"/>
      <c r="F263" s="893"/>
      <c r="G263" s="893"/>
      <c r="H263" s="893"/>
      <c r="I263" s="893"/>
      <c r="J263" s="893"/>
      <c r="K263" s="334"/>
    </row>
    <row r="264" spans="1:17" s="317" customFormat="1" ht="15" hidden="1" customHeight="1" x14ac:dyDescent="0.3">
      <c r="A264" s="566" t="s">
        <v>1</v>
      </c>
      <c r="B264" s="778" t="s">
        <v>44</v>
      </c>
      <c r="C264" s="778"/>
      <c r="D264" s="778"/>
      <c r="E264" s="778" t="s">
        <v>58</v>
      </c>
      <c r="F264" s="778"/>
      <c r="G264" s="778" t="s">
        <v>59</v>
      </c>
      <c r="H264" s="778"/>
      <c r="I264" s="778" t="s">
        <v>60</v>
      </c>
      <c r="J264" s="778"/>
      <c r="K264" s="334"/>
    </row>
    <row r="265" spans="1:17" ht="15" hidden="1" customHeight="1" x14ac:dyDescent="0.3">
      <c r="A265" s="566">
        <v>1</v>
      </c>
      <c r="B265" s="778">
        <v>2</v>
      </c>
      <c r="C265" s="778"/>
      <c r="D265" s="778"/>
      <c r="E265" s="778">
        <v>3</v>
      </c>
      <c r="F265" s="778"/>
      <c r="G265" s="778">
        <v>4</v>
      </c>
      <c r="H265" s="778"/>
      <c r="I265" s="778">
        <v>5</v>
      </c>
      <c r="J265" s="778"/>
    </row>
    <row r="266" spans="1:17" ht="15" hidden="1" customHeight="1" x14ac:dyDescent="0.3">
      <c r="A266" s="576"/>
      <c r="B266" s="820"/>
      <c r="C266" s="821"/>
      <c r="D266" s="822"/>
      <c r="E266" s="826"/>
      <c r="F266" s="826"/>
      <c r="G266" s="826"/>
      <c r="H266" s="826"/>
      <c r="I266" s="826"/>
      <c r="J266" s="826"/>
    </row>
    <row r="267" spans="1:17" ht="15" hidden="1" customHeight="1" x14ac:dyDescent="0.3">
      <c r="A267" s="578"/>
      <c r="B267" s="847" t="s">
        <v>13</v>
      </c>
      <c r="C267" s="847"/>
      <c r="D267" s="847"/>
      <c r="E267" s="842" t="s">
        <v>14</v>
      </c>
      <c r="F267" s="842"/>
      <c r="G267" s="842" t="s">
        <v>14</v>
      </c>
      <c r="H267" s="842"/>
      <c r="I267" s="842"/>
      <c r="J267" s="842"/>
    </row>
    <row r="268" spans="1:17" ht="15" customHeight="1" x14ac:dyDescent="0.3">
      <c r="A268" s="443"/>
      <c r="B268" s="442"/>
      <c r="C268" s="442"/>
      <c r="D268" s="442"/>
      <c r="E268" s="443"/>
      <c r="F268" s="443"/>
      <c r="G268" s="443"/>
      <c r="H268" s="443"/>
      <c r="I268" s="443"/>
      <c r="J268" s="521"/>
    </row>
    <row r="269" spans="1:17" ht="16.5" customHeight="1" x14ac:dyDescent="0.3">
      <c r="A269" s="410" t="s">
        <v>282</v>
      </c>
      <c r="B269" s="410"/>
      <c r="C269" s="410"/>
      <c r="D269" s="410"/>
      <c r="E269" s="410"/>
      <c r="F269" s="410"/>
      <c r="G269" s="410"/>
      <c r="H269" s="410"/>
      <c r="I269" s="410"/>
      <c r="J269" s="520"/>
    </row>
    <row r="270" spans="1:17" ht="15" customHeight="1" x14ac:dyDescent="0.3">
      <c r="A270" s="894" t="s">
        <v>1</v>
      </c>
      <c r="B270" s="885" t="s">
        <v>15</v>
      </c>
      <c r="C270" s="886"/>
      <c r="D270" s="887"/>
      <c r="E270" s="894" t="s">
        <v>812</v>
      </c>
      <c r="F270" s="894" t="s">
        <v>62</v>
      </c>
      <c r="G270" s="778" t="s">
        <v>63</v>
      </c>
      <c r="H270" s="778"/>
      <c r="I270" s="778"/>
      <c r="J270" s="778"/>
      <c r="K270" s="867" t="s">
        <v>777</v>
      </c>
    </row>
    <row r="271" spans="1:17" ht="24" customHeight="1" x14ac:dyDescent="0.3">
      <c r="A271" s="895"/>
      <c r="B271" s="888"/>
      <c r="C271" s="889"/>
      <c r="D271" s="890"/>
      <c r="E271" s="895"/>
      <c r="F271" s="895"/>
      <c r="G271" s="566" t="s">
        <v>305</v>
      </c>
      <c r="H271" s="566" t="s">
        <v>302</v>
      </c>
      <c r="I271" s="567" t="s">
        <v>303</v>
      </c>
      <c r="J271" s="566" t="s">
        <v>304</v>
      </c>
      <c r="K271" s="867"/>
    </row>
    <row r="272" spans="1:17" ht="11.25" customHeight="1" x14ac:dyDescent="0.3">
      <c r="A272" s="566">
        <v>1</v>
      </c>
      <c r="B272" s="778">
        <v>2</v>
      </c>
      <c r="C272" s="778"/>
      <c r="D272" s="778"/>
      <c r="E272" s="566">
        <v>3</v>
      </c>
      <c r="F272" s="566">
        <v>4</v>
      </c>
      <c r="G272" s="855">
        <v>5</v>
      </c>
      <c r="H272" s="856"/>
      <c r="I272" s="856"/>
      <c r="J272" s="857"/>
      <c r="K272" s="867"/>
    </row>
    <row r="273" spans="1:14" ht="49.5" customHeight="1" x14ac:dyDescent="0.35">
      <c r="A273" s="576">
        <v>1</v>
      </c>
      <c r="B273" s="835" t="s">
        <v>339</v>
      </c>
      <c r="C273" s="835"/>
      <c r="D273" s="835"/>
      <c r="E273" s="576" t="s">
        <v>160</v>
      </c>
      <c r="F273" s="576">
        <v>12</v>
      </c>
      <c r="G273" s="576" t="s">
        <v>306</v>
      </c>
      <c r="H273" s="576">
        <v>12</v>
      </c>
      <c r="I273" s="172">
        <v>4000</v>
      </c>
      <c r="J273" s="646">
        <f>H273*I273</f>
        <v>48000</v>
      </c>
      <c r="K273" s="639" t="s">
        <v>860</v>
      </c>
      <c r="L273" s="411">
        <v>36000</v>
      </c>
    </row>
    <row r="274" spans="1:14" ht="28.5" hidden="1" customHeight="1" x14ac:dyDescent="0.3">
      <c r="A274" s="576"/>
      <c r="B274" s="835" t="s">
        <v>340</v>
      </c>
      <c r="C274" s="835"/>
      <c r="D274" s="835"/>
      <c r="E274" s="576" t="s">
        <v>160</v>
      </c>
      <c r="F274" s="576"/>
      <c r="G274" s="576"/>
      <c r="H274" s="576"/>
      <c r="I274" s="172"/>
      <c r="J274" s="646"/>
      <c r="K274" s="346"/>
    </row>
    <row r="275" spans="1:14" ht="19.5" customHeight="1" x14ac:dyDescent="0.3">
      <c r="A275" s="872">
        <v>2</v>
      </c>
      <c r="B275" s="878" t="s">
        <v>336</v>
      </c>
      <c r="C275" s="879"/>
      <c r="D275" s="880"/>
      <c r="E275" s="817" t="s">
        <v>160</v>
      </c>
      <c r="F275" s="817">
        <v>12</v>
      </c>
      <c r="G275" s="817" t="s">
        <v>306</v>
      </c>
      <c r="H275" s="817">
        <v>12</v>
      </c>
      <c r="I275" s="815">
        <v>8483</v>
      </c>
      <c r="J275" s="1430">
        <v>101800</v>
      </c>
      <c r="K275" s="1083" t="s">
        <v>861</v>
      </c>
    </row>
    <row r="276" spans="1:14" ht="17.25" customHeight="1" x14ac:dyDescent="0.4">
      <c r="A276" s="873"/>
      <c r="B276" s="881"/>
      <c r="C276" s="882"/>
      <c r="D276" s="883"/>
      <c r="E276" s="819"/>
      <c r="F276" s="819"/>
      <c r="G276" s="819"/>
      <c r="H276" s="819"/>
      <c r="I276" s="816"/>
      <c r="J276" s="873"/>
      <c r="K276" s="1084"/>
      <c r="L276" s="352" t="s">
        <v>790</v>
      </c>
    </row>
    <row r="277" spans="1:14" ht="100.5" customHeight="1" x14ac:dyDescent="0.3">
      <c r="A277" s="576">
        <v>3</v>
      </c>
      <c r="B277" s="835" t="s">
        <v>337</v>
      </c>
      <c r="C277" s="835"/>
      <c r="D277" s="835"/>
      <c r="E277" s="576" t="s">
        <v>865</v>
      </c>
      <c r="F277" s="576">
        <v>12</v>
      </c>
      <c r="G277" s="576" t="s">
        <v>306</v>
      </c>
      <c r="H277" s="576">
        <v>12</v>
      </c>
      <c r="I277" s="172">
        <f>7801.6*5</f>
        <v>39008</v>
      </c>
      <c r="J277" s="646">
        <f>H277*I277</f>
        <v>468096</v>
      </c>
      <c r="K277" s="346" t="s">
        <v>931</v>
      </c>
      <c r="N277" s="173">
        <v>-18900</v>
      </c>
    </row>
    <row r="278" spans="1:14" ht="81.75" customHeight="1" x14ac:dyDescent="0.3">
      <c r="A278" s="576">
        <v>4</v>
      </c>
      <c r="B278" s="835" t="s">
        <v>105</v>
      </c>
      <c r="C278" s="835"/>
      <c r="D278" s="835"/>
      <c r="E278" s="576" t="s">
        <v>866</v>
      </c>
      <c r="F278" s="576">
        <v>12</v>
      </c>
      <c r="G278" s="576" t="s">
        <v>306</v>
      </c>
      <c r="H278" s="576">
        <v>12</v>
      </c>
      <c r="I278" s="172">
        <f>6464*3.2</f>
        <v>20684.800000000003</v>
      </c>
      <c r="J278" s="646">
        <f>I278*12</f>
        <v>248217.60000000003</v>
      </c>
      <c r="K278" s="346" t="s">
        <v>907</v>
      </c>
      <c r="L278" s="330"/>
    </row>
    <row r="279" spans="1:14" ht="64.5" customHeight="1" x14ac:dyDescent="0.3">
      <c r="A279" s="576">
        <v>5</v>
      </c>
      <c r="B279" s="835" t="s">
        <v>252</v>
      </c>
      <c r="C279" s="835"/>
      <c r="D279" s="835"/>
      <c r="E279" s="576" t="s">
        <v>160</v>
      </c>
      <c r="F279" s="576">
        <v>12</v>
      </c>
      <c r="G279" s="576" t="s">
        <v>306</v>
      </c>
      <c r="H279" s="576">
        <v>12</v>
      </c>
      <c r="I279" s="172">
        <v>6000</v>
      </c>
      <c r="J279" s="646">
        <f>H279*I279</f>
        <v>72000</v>
      </c>
      <c r="K279" s="630" t="s">
        <v>862</v>
      </c>
      <c r="L279" s="412">
        <v>66000</v>
      </c>
    </row>
    <row r="280" spans="1:14" ht="17.25" hidden="1" customHeight="1" x14ac:dyDescent="0.3">
      <c r="A280" s="817">
        <v>6</v>
      </c>
      <c r="B280" s="836" t="s">
        <v>115</v>
      </c>
      <c r="C280" s="837"/>
      <c r="D280" s="838"/>
      <c r="E280" s="817" t="s">
        <v>882</v>
      </c>
      <c r="F280" s="817">
        <v>1</v>
      </c>
      <c r="G280" s="817" t="s">
        <v>306</v>
      </c>
      <c r="H280" s="817">
        <v>1</v>
      </c>
      <c r="I280" s="815">
        <v>0</v>
      </c>
      <c r="J280" s="1431">
        <f>H280*I280</f>
        <v>0</v>
      </c>
      <c r="K280" s="1085" t="s">
        <v>879</v>
      </c>
    </row>
    <row r="281" spans="1:14" ht="15.75" hidden="1" customHeight="1" x14ac:dyDescent="0.3">
      <c r="A281" s="899"/>
      <c r="B281" s="839"/>
      <c r="C281" s="840"/>
      <c r="D281" s="841"/>
      <c r="E281" s="819"/>
      <c r="F281" s="819"/>
      <c r="G281" s="819"/>
      <c r="H281" s="819"/>
      <c r="I281" s="816"/>
      <c r="J281" s="1432"/>
      <c r="K281" s="1086"/>
    </row>
    <row r="282" spans="1:14" ht="24" customHeight="1" x14ac:dyDescent="0.3">
      <c r="A282" s="576">
        <v>6</v>
      </c>
      <c r="B282" s="835" t="s">
        <v>517</v>
      </c>
      <c r="C282" s="835"/>
      <c r="D282" s="835"/>
      <c r="E282" s="576" t="s">
        <v>160</v>
      </c>
      <c r="F282" s="576">
        <v>12</v>
      </c>
      <c r="G282" s="576" t="s">
        <v>306</v>
      </c>
      <c r="H282" s="576">
        <v>12</v>
      </c>
      <c r="I282" s="172">
        <v>1122</v>
      </c>
      <c r="J282" s="646">
        <f>H282*I282</f>
        <v>13464</v>
      </c>
      <c r="K282" s="639" t="s">
        <v>888</v>
      </c>
      <c r="L282" s="173" t="s">
        <v>789</v>
      </c>
    </row>
    <row r="283" spans="1:14" ht="21" customHeight="1" x14ac:dyDescent="0.3">
      <c r="A283" s="576">
        <v>7</v>
      </c>
      <c r="B283" s="809" t="s">
        <v>902</v>
      </c>
      <c r="C283" s="810"/>
      <c r="D283" s="811"/>
      <c r="E283" s="576" t="s">
        <v>811</v>
      </c>
      <c r="F283" s="576">
        <v>1</v>
      </c>
      <c r="G283" s="576" t="s">
        <v>751</v>
      </c>
      <c r="H283" s="576">
        <v>1</v>
      </c>
      <c r="I283" s="172">
        <f>70000-918</f>
        <v>69082</v>
      </c>
      <c r="J283" s="646">
        <f>H283*I283</f>
        <v>69082</v>
      </c>
      <c r="K283" s="347"/>
      <c r="L283" s="320"/>
    </row>
    <row r="284" spans="1:14" ht="22.5" customHeight="1" x14ac:dyDescent="0.3">
      <c r="A284" s="576">
        <v>8</v>
      </c>
      <c r="B284" s="835" t="s">
        <v>786</v>
      </c>
      <c r="C284" s="835"/>
      <c r="D284" s="835"/>
      <c r="E284" s="576" t="s">
        <v>811</v>
      </c>
      <c r="F284" s="576">
        <v>1</v>
      </c>
      <c r="G284" s="576" t="s">
        <v>787</v>
      </c>
      <c r="H284" s="576">
        <v>1</v>
      </c>
      <c r="I284" s="172">
        <v>0</v>
      </c>
      <c r="J284" s="646">
        <f>I284</f>
        <v>0</v>
      </c>
      <c r="K284" s="347" t="s">
        <v>957</v>
      </c>
      <c r="L284" s="320"/>
    </row>
    <row r="285" spans="1:14" ht="35.25" customHeight="1" x14ac:dyDescent="0.3">
      <c r="A285" s="576">
        <v>9</v>
      </c>
      <c r="B285" s="835" t="s">
        <v>128</v>
      </c>
      <c r="C285" s="835"/>
      <c r="D285" s="835"/>
      <c r="E285" s="576" t="s">
        <v>811</v>
      </c>
      <c r="F285" s="576">
        <v>1</v>
      </c>
      <c r="G285" s="576" t="s">
        <v>306</v>
      </c>
      <c r="H285" s="576">
        <v>1</v>
      </c>
      <c r="I285" s="172">
        <v>7000</v>
      </c>
      <c r="J285" s="646">
        <f>H285*I285</f>
        <v>7000</v>
      </c>
      <c r="K285" s="346" t="s">
        <v>885</v>
      </c>
      <c r="L285" s="320"/>
    </row>
    <row r="286" spans="1:14" ht="9" hidden="1" customHeight="1" x14ac:dyDescent="0.3">
      <c r="A286" s="576">
        <v>11</v>
      </c>
      <c r="B286" s="835" t="s">
        <v>344</v>
      </c>
      <c r="C286" s="835"/>
      <c r="D286" s="835"/>
      <c r="E286" s="576"/>
      <c r="F286" s="576">
        <v>0</v>
      </c>
      <c r="G286" s="576" t="s">
        <v>306</v>
      </c>
      <c r="H286" s="576">
        <v>0</v>
      </c>
      <c r="I286" s="172">
        <v>0</v>
      </c>
      <c r="J286" s="646">
        <v>0</v>
      </c>
      <c r="K286" s="346"/>
    </row>
    <row r="287" spans="1:14" ht="25.5" customHeight="1" x14ac:dyDescent="0.3">
      <c r="A287" s="576">
        <v>10</v>
      </c>
      <c r="B287" s="809" t="s">
        <v>129</v>
      </c>
      <c r="C287" s="863"/>
      <c r="D287" s="864"/>
      <c r="E287" s="576" t="s">
        <v>811</v>
      </c>
      <c r="F287" s="576">
        <v>1</v>
      </c>
      <c r="G287" s="576" t="s">
        <v>306</v>
      </c>
      <c r="H287" s="576">
        <v>1</v>
      </c>
      <c r="I287" s="172">
        <v>15000</v>
      </c>
      <c r="J287" s="646">
        <f t="shared" ref="J287:J291" si="24">H287*I287</f>
        <v>15000</v>
      </c>
      <c r="K287" s="346" t="s">
        <v>885</v>
      </c>
    </row>
    <row r="288" spans="1:14" ht="36.75" customHeight="1" x14ac:dyDescent="0.3">
      <c r="A288" s="576">
        <v>11</v>
      </c>
      <c r="B288" s="835" t="s">
        <v>703</v>
      </c>
      <c r="C288" s="835"/>
      <c r="D288" s="835"/>
      <c r="E288" s="576" t="s">
        <v>811</v>
      </c>
      <c r="F288" s="576">
        <v>1</v>
      </c>
      <c r="G288" s="576" t="s">
        <v>306</v>
      </c>
      <c r="H288" s="576">
        <v>1</v>
      </c>
      <c r="I288" s="172">
        <v>10000</v>
      </c>
      <c r="J288" s="646">
        <f t="shared" si="24"/>
        <v>10000</v>
      </c>
      <c r="K288" s="346" t="s">
        <v>885</v>
      </c>
    </row>
    <row r="289" spans="1:14" ht="55.5" customHeight="1" x14ac:dyDescent="0.3">
      <c r="A289" s="576">
        <v>12</v>
      </c>
      <c r="B289" s="809" t="s">
        <v>958</v>
      </c>
      <c r="C289" s="810"/>
      <c r="D289" s="811"/>
      <c r="E289" s="576" t="s">
        <v>943</v>
      </c>
      <c r="F289" s="576">
        <v>1</v>
      </c>
      <c r="G289" s="576" t="s">
        <v>306</v>
      </c>
      <c r="H289" s="576">
        <v>1</v>
      </c>
      <c r="I289" s="172">
        <v>6000</v>
      </c>
      <c r="J289" s="646">
        <f>I289*12</f>
        <v>72000</v>
      </c>
      <c r="K289" s="346"/>
    </row>
    <row r="290" spans="1:14" ht="38.25" customHeight="1" x14ac:dyDescent="0.3">
      <c r="A290" s="576">
        <v>13</v>
      </c>
      <c r="B290" s="809" t="s">
        <v>518</v>
      </c>
      <c r="C290" s="810"/>
      <c r="D290" s="811"/>
      <c r="E290" s="576" t="s">
        <v>811</v>
      </c>
      <c r="F290" s="576">
        <v>1</v>
      </c>
      <c r="G290" s="576" t="s">
        <v>306</v>
      </c>
      <c r="H290" s="576">
        <v>1</v>
      </c>
      <c r="I290" s="172">
        <v>2000.4</v>
      </c>
      <c r="J290" s="646">
        <f t="shared" si="24"/>
        <v>2000.4</v>
      </c>
      <c r="K290" s="630" t="s">
        <v>881</v>
      </c>
    </row>
    <row r="291" spans="1:14" ht="38.25" hidden="1" customHeight="1" x14ac:dyDescent="0.3">
      <c r="A291" s="576">
        <v>14</v>
      </c>
      <c r="B291" s="809" t="s">
        <v>113</v>
      </c>
      <c r="C291" s="810"/>
      <c r="D291" s="811"/>
      <c r="E291" s="576" t="s">
        <v>811</v>
      </c>
      <c r="F291" s="576">
        <v>1</v>
      </c>
      <c r="G291" s="576" t="s">
        <v>306</v>
      </c>
      <c r="H291" s="576">
        <v>1</v>
      </c>
      <c r="I291" s="172">
        <v>0</v>
      </c>
      <c r="J291" s="646">
        <f t="shared" si="24"/>
        <v>0</v>
      </c>
      <c r="K291" s="630" t="s">
        <v>884</v>
      </c>
    </row>
    <row r="292" spans="1:14" ht="36" customHeight="1" x14ac:dyDescent="0.3">
      <c r="A292" s="576">
        <v>14</v>
      </c>
      <c r="B292" s="809" t="s">
        <v>711</v>
      </c>
      <c r="C292" s="810"/>
      <c r="D292" s="811"/>
      <c r="E292" s="576" t="s">
        <v>710</v>
      </c>
      <c r="F292" s="576">
        <v>4</v>
      </c>
      <c r="G292" s="576" t="s">
        <v>306</v>
      </c>
      <c r="H292" s="576">
        <v>4</v>
      </c>
      <c r="I292" s="172">
        <v>10000</v>
      </c>
      <c r="J292" s="646">
        <v>40000</v>
      </c>
      <c r="K292" s="630" t="s">
        <v>863</v>
      </c>
      <c r="N292" s="173" t="s">
        <v>708</v>
      </c>
    </row>
    <row r="293" spans="1:14" ht="47.25" hidden="1" customHeight="1" x14ac:dyDescent="0.3">
      <c r="A293" s="576">
        <v>18</v>
      </c>
      <c r="B293" s="809" t="s">
        <v>747</v>
      </c>
      <c r="C293" s="810"/>
      <c r="D293" s="811"/>
      <c r="E293" s="576" t="s">
        <v>160</v>
      </c>
      <c r="F293" s="576">
        <v>12</v>
      </c>
      <c r="G293" s="576" t="s">
        <v>306</v>
      </c>
      <c r="H293" s="576">
        <v>12</v>
      </c>
      <c r="I293" s="172">
        <v>0</v>
      </c>
      <c r="J293" s="646">
        <f t="shared" ref="J293:J298" si="25">H293*I293</f>
        <v>0</v>
      </c>
      <c r="K293" s="335"/>
      <c r="N293" s="173" t="s">
        <v>709</v>
      </c>
    </row>
    <row r="294" spans="1:14" ht="36.75" customHeight="1" x14ac:dyDescent="0.3">
      <c r="A294" s="576">
        <v>15</v>
      </c>
      <c r="B294" s="809" t="s">
        <v>748</v>
      </c>
      <c r="C294" s="810"/>
      <c r="D294" s="811"/>
      <c r="E294" s="576" t="s">
        <v>810</v>
      </c>
      <c r="F294" s="576">
        <v>2</v>
      </c>
      <c r="G294" s="576" t="s">
        <v>306</v>
      </c>
      <c r="H294" s="576">
        <v>3</v>
      </c>
      <c r="I294" s="172">
        <v>2670</v>
      </c>
      <c r="J294" s="646">
        <f>I294*F294</f>
        <v>5340</v>
      </c>
      <c r="K294" s="630" t="s">
        <v>864</v>
      </c>
      <c r="L294" s="351"/>
    </row>
    <row r="295" spans="1:14" ht="53.25" hidden="1" customHeight="1" x14ac:dyDescent="0.3">
      <c r="A295" s="576">
        <v>20</v>
      </c>
      <c r="B295" s="809" t="s">
        <v>883</v>
      </c>
      <c r="C295" s="810"/>
      <c r="D295" s="811"/>
      <c r="E295" s="576" t="s">
        <v>887</v>
      </c>
      <c r="F295" s="576">
        <v>7</v>
      </c>
      <c r="G295" s="576" t="s">
        <v>306</v>
      </c>
      <c r="H295" s="576">
        <v>7</v>
      </c>
      <c r="I295" s="172">
        <v>0</v>
      </c>
      <c r="J295" s="646">
        <f t="shared" si="25"/>
        <v>0</v>
      </c>
      <c r="K295" s="630" t="s">
        <v>746</v>
      </c>
    </row>
    <row r="296" spans="1:14" ht="52.5" hidden="1" customHeight="1" x14ac:dyDescent="0.3">
      <c r="A296" s="576">
        <v>21</v>
      </c>
      <c r="B296" s="809" t="s">
        <v>749</v>
      </c>
      <c r="C296" s="810"/>
      <c r="D296" s="811"/>
      <c r="E296" s="576" t="s">
        <v>160</v>
      </c>
      <c r="F296" s="576">
        <v>12</v>
      </c>
      <c r="G296" s="576" t="s">
        <v>306</v>
      </c>
      <c r="H296" s="576">
        <v>12</v>
      </c>
      <c r="I296" s="172">
        <v>0</v>
      </c>
      <c r="J296" s="646">
        <f t="shared" si="25"/>
        <v>0</v>
      </c>
      <c r="K296" s="630"/>
    </row>
    <row r="297" spans="1:14" ht="48" hidden="1" customHeight="1" x14ac:dyDescent="0.3">
      <c r="A297" s="576">
        <v>22</v>
      </c>
      <c r="B297" s="809" t="s">
        <v>750</v>
      </c>
      <c r="C297" s="810"/>
      <c r="D297" s="811"/>
      <c r="E297" s="576" t="s">
        <v>160</v>
      </c>
      <c r="F297" s="576">
        <v>12</v>
      </c>
      <c r="G297" s="576" t="s">
        <v>306</v>
      </c>
      <c r="H297" s="576">
        <v>12</v>
      </c>
      <c r="I297" s="172">
        <v>0</v>
      </c>
      <c r="J297" s="646">
        <f t="shared" si="25"/>
        <v>0</v>
      </c>
      <c r="K297" s="630"/>
    </row>
    <row r="298" spans="1:14" ht="38.25" hidden="1" customHeight="1" x14ac:dyDescent="0.3">
      <c r="A298" s="576">
        <v>23</v>
      </c>
      <c r="B298" s="809" t="s">
        <v>892</v>
      </c>
      <c r="C298" s="810"/>
      <c r="D298" s="811"/>
      <c r="E298" s="576" t="s">
        <v>910</v>
      </c>
      <c r="F298" s="576">
        <v>1</v>
      </c>
      <c r="G298" s="576" t="s">
        <v>306</v>
      </c>
      <c r="H298" s="576">
        <v>1</v>
      </c>
      <c r="I298" s="172">
        <v>0</v>
      </c>
      <c r="J298" s="646">
        <f t="shared" si="25"/>
        <v>0</v>
      </c>
      <c r="K298" s="630" t="s">
        <v>911</v>
      </c>
    </row>
    <row r="299" spans="1:14" ht="38.25" hidden="1" customHeight="1" x14ac:dyDescent="0.3">
      <c r="A299" s="576">
        <v>24</v>
      </c>
      <c r="B299" s="571"/>
      <c r="C299" s="572"/>
      <c r="D299" s="573"/>
      <c r="E299" s="576"/>
      <c r="F299" s="576"/>
      <c r="G299" s="576"/>
      <c r="H299" s="576"/>
      <c r="I299" s="172"/>
      <c r="J299" s="646"/>
      <c r="K299" s="630"/>
    </row>
    <row r="300" spans="1:14" ht="38.25" hidden="1" customHeight="1" x14ac:dyDescent="0.3">
      <c r="A300" s="576">
        <v>25</v>
      </c>
      <c r="B300" s="809"/>
      <c r="C300" s="810"/>
      <c r="D300" s="811"/>
      <c r="E300" s="576"/>
      <c r="F300" s="576"/>
      <c r="G300" s="576"/>
      <c r="H300" s="576"/>
      <c r="I300" s="172"/>
      <c r="J300" s="646">
        <f>I300</f>
        <v>0</v>
      </c>
      <c r="K300" s="346"/>
    </row>
    <row r="301" spans="1:14" x14ac:dyDescent="0.3">
      <c r="A301" s="578"/>
      <c r="B301" s="847" t="s">
        <v>13</v>
      </c>
      <c r="C301" s="847"/>
      <c r="D301" s="847"/>
      <c r="E301" s="578" t="s">
        <v>14</v>
      </c>
      <c r="F301" s="578" t="s">
        <v>14</v>
      </c>
      <c r="G301" s="891">
        <f>SUM(J273:J300)</f>
        <v>1172000</v>
      </c>
      <c r="H301" s="892"/>
      <c r="I301" s="892"/>
      <c r="J301" s="892"/>
    </row>
    <row r="302" spans="1:14" ht="17.25" customHeight="1" x14ac:dyDescent="0.3">
      <c r="A302" s="410" t="s">
        <v>287</v>
      </c>
      <c r="B302" s="410"/>
      <c r="C302" s="410"/>
      <c r="D302" s="410"/>
      <c r="E302" s="410"/>
      <c r="F302" s="410"/>
      <c r="G302" s="410"/>
      <c r="H302" s="410"/>
      <c r="I302" s="410"/>
      <c r="J302" s="520"/>
    </row>
    <row r="303" spans="1:14" ht="17.25" customHeight="1" x14ac:dyDescent="0.3">
      <c r="A303" s="894" t="s">
        <v>1</v>
      </c>
      <c r="B303" s="885" t="s">
        <v>15</v>
      </c>
      <c r="C303" s="886"/>
      <c r="D303" s="887"/>
      <c r="E303" s="885" t="s">
        <v>64</v>
      </c>
      <c r="F303" s="887"/>
      <c r="G303" s="778" t="s">
        <v>65</v>
      </c>
      <c r="H303" s="778"/>
      <c r="I303" s="778"/>
      <c r="J303" s="778"/>
      <c r="K303" s="867" t="s">
        <v>778</v>
      </c>
    </row>
    <row r="304" spans="1:14" ht="27.75" customHeight="1" x14ac:dyDescent="0.3">
      <c r="A304" s="895"/>
      <c r="B304" s="888"/>
      <c r="C304" s="889"/>
      <c r="D304" s="890"/>
      <c r="E304" s="888"/>
      <c r="F304" s="890"/>
      <c r="G304" s="566" t="s">
        <v>305</v>
      </c>
      <c r="H304" s="566" t="s">
        <v>302</v>
      </c>
      <c r="I304" s="566" t="s">
        <v>303</v>
      </c>
      <c r="J304" s="566" t="s">
        <v>304</v>
      </c>
      <c r="K304" s="867"/>
    </row>
    <row r="305" spans="1:14" ht="14.25" customHeight="1" x14ac:dyDescent="0.3">
      <c r="A305" s="566">
        <v>1</v>
      </c>
      <c r="B305" s="778">
        <v>2</v>
      </c>
      <c r="C305" s="778"/>
      <c r="D305" s="778"/>
      <c r="E305" s="855">
        <v>3</v>
      </c>
      <c r="F305" s="857"/>
      <c r="G305" s="778">
        <v>4</v>
      </c>
      <c r="H305" s="778"/>
      <c r="I305" s="778"/>
      <c r="J305" s="778"/>
      <c r="K305" s="867"/>
    </row>
    <row r="306" spans="1:14" ht="30" customHeight="1" x14ac:dyDescent="0.3">
      <c r="A306" s="578" t="s">
        <v>70</v>
      </c>
      <c r="B306" s="827" t="s">
        <v>354</v>
      </c>
      <c r="C306" s="828"/>
      <c r="D306" s="829"/>
      <c r="E306" s="849" t="s">
        <v>74</v>
      </c>
      <c r="F306" s="850"/>
      <c r="G306" s="387" t="s">
        <v>74</v>
      </c>
      <c r="H306" s="387" t="s">
        <v>74</v>
      </c>
      <c r="I306" s="453" t="s">
        <v>74</v>
      </c>
      <c r="J306" s="647">
        <f>SUM(J307:J327)</f>
        <v>1487000</v>
      </c>
      <c r="K306" s="867"/>
    </row>
    <row r="307" spans="1:14" ht="21.75" customHeight="1" x14ac:dyDescent="0.3">
      <c r="A307" s="576" t="s">
        <v>27</v>
      </c>
      <c r="B307" s="835" t="s">
        <v>519</v>
      </c>
      <c r="C307" s="835"/>
      <c r="D307" s="835"/>
      <c r="E307" s="820">
        <v>1</v>
      </c>
      <c r="F307" s="822"/>
      <c r="G307" s="576" t="s">
        <v>306</v>
      </c>
      <c r="H307" s="576">
        <v>10</v>
      </c>
      <c r="I307" s="170">
        <v>54090</v>
      </c>
      <c r="J307" s="646">
        <f>540900+0.8-315</f>
        <v>540585.80000000005</v>
      </c>
      <c r="K307" s="346" t="s">
        <v>855</v>
      </c>
      <c r="L307" s="173">
        <v>482370</v>
      </c>
    </row>
    <row r="308" spans="1:14" s="317" customFormat="1" ht="30" customHeight="1" x14ac:dyDescent="0.45">
      <c r="A308" s="574" t="s">
        <v>29</v>
      </c>
      <c r="B308" s="809" t="s">
        <v>330</v>
      </c>
      <c r="C308" s="863"/>
      <c r="D308" s="864"/>
      <c r="E308" s="1058">
        <v>1</v>
      </c>
      <c r="F308" s="1059"/>
      <c r="G308" s="576" t="s">
        <v>306</v>
      </c>
      <c r="H308" s="576">
        <v>12</v>
      </c>
      <c r="I308" s="170">
        <v>6196</v>
      </c>
      <c r="J308" s="646">
        <f>H308*I308+0.2</f>
        <v>74352.2</v>
      </c>
      <c r="K308" s="639" t="s">
        <v>889</v>
      </c>
      <c r="L308" s="413">
        <v>77784.2</v>
      </c>
    </row>
    <row r="309" spans="1:14" ht="61.5" customHeight="1" x14ac:dyDescent="0.45">
      <c r="A309" s="576" t="s">
        <v>31</v>
      </c>
      <c r="B309" s="835" t="s">
        <v>961</v>
      </c>
      <c r="C309" s="835"/>
      <c r="D309" s="835"/>
      <c r="E309" s="820">
        <v>1</v>
      </c>
      <c r="F309" s="822"/>
      <c r="G309" s="576" t="s">
        <v>306</v>
      </c>
      <c r="H309" s="576">
        <v>12</v>
      </c>
      <c r="I309" s="170">
        <v>5684</v>
      </c>
      <c r="J309" s="646">
        <f>H309*I309</f>
        <v>68208</v>
      </c>
      <c r="K309" s="346" t="s">
        <v>890</v>
      </c>
      <c r="L309" s="413">
        <v>68200</v>
      </c>
    </row>
    <row r="310" spans="1:14" ht="33" customHeight="1" x14ac:dyDescent="0.45">
      <c r="A310" s="576" t="s">
        <v>268</v>
      </c>
      <c r="B310" s="835" t="s">
        <v>962</v>
      </c>
      <c r="C310" s="835"/>
      <c r="D310" s="835"/>
      <c r="E310" s="820">
        <v>1</v>
      </c>
      <c r="F310" s="822"/>
      <c r="G310" s="576" t="s">
        <v>306</v>
      </c>
      <c r="H310" s="576">
        <v>12</v>
      </c>
      <c r="I310" s="170">
        <v>3600</v>
      </c>
      <c r="J310" s="646">
        <f>H310*I310</f>
        <v>43200</v>
      </c>
      <c r="K310" s="346" t="s">
        <v>891</v>
      </c>
      <c r="L310" s="413">
        <v>36000</v>
      </c>
    </row>
    <row r="311" spans="1:14" ht="19.5" customHeight="1" x14ac:dyDescent="0.3">
      <c r="A311" s="576" t="s">
        <v>269</v>
      </c>
      <c r="B311" s="835" t="s">
        <v>137</v>
      </c>
      <c r="C311" s="835"/>
      <c r="D311" s="835"/>
      <c r="E311" s="820">
        <v>1</v>
      </c>
      <c r="F311" s="822"/>
      <c r="G311" s="576" t="s">
        <v>149</v>
      </c>
      <c r="H311" s="576">
        <v>110</v>
      </c>
      <c r="I311" s="170">
        <v>5550</v>
      </c>
      <c r="J311" s="646">
        <v>555000</v>
      </c>
      <c r="K311" s="346" t="s">
        <v>886</v>
      </c>
      <c r="L311" s="323"/>
      <c r="N311" s="173">
        <v>373</v>
      </c>
    </row>
    <row r="312" spans="1:14" ht="27.75" customHeight="1" x14ac:dyDescent="0.3">
      <c r="A312" s="576" t="s">
        <v>283</v>
      </c>
      <c r="B312" s="835" t="s">
        <v>520</v>
      </c>
      <c r="C312" s="835"/>
      <c r="D312" s="835"/>
      <c r="E312" s="820">
        <v>1</v>
      </c>
      <c r="F312" s="822"/>
      <c r="G312" s="576" t="s">
        <v>306</v>
      </c>
      <c r="H312" s="576">
        <v>11</v>
      </c>
      <c r="I312" s="170">
        <v>3370</v>
      </c>
      <c r="J312" s="646">
        <v>37080</v>
      </c>
      <c r="K312" s="346" t="s">
        <v>903</v>
      </c>
    </row>
    <row r="313" spans="1:14" ht="51.75" customHeight="1" x14ac:dyDescent="0.3">
      <c r="A313" s="576" t="s">
        <v>284</v>
      </c>
      <c r="B313" s="835" t="s">
        <v>333</v>
      </c>
      <c r="C313" s="835"/>
      <c r="D313" s="835"/>
      <c r="E313" s="820">
        <v>1</v>
      </c>
      <c r="F313" s="822"/>
      <c r="G313" s="576" t="s">
        <v>149</v>
      </c>
      <c r="H313" s="576">
        <v>100</v>
      </c>
      <c r="I313" s="170">
        <v>300</v>
      </c>
      <c r="J313" s="646">
        <f t="shared" ref="J313:J322" si="26">H313*I313</f>
        <v>30000</v>
      </c>
      <c r="K313" s="346" t="s">
        <v>877</v>
      </c>
    </row>
    <row r="314" spans="1:14" ht="41.25" customHeight="1" x14ac:dyDescent="0.3">
      <c r="A314" s="576" t="s">
        <v>341</v>
      </c>
      <c r="B314" s="835" t="s">
        <v>345</v>
      </c>
      <c r="C314" s="835"/>
      <c r="D314" s="835"/>
      <c r="E314" s="820">
        <v>1</v>
      </c>
      <c r="F314" s="822"/>
      <c r="G314" s="576" t="s">
        <v>149</v>
      </c>
      <c r="H314" s="576">
        <v>3</v>
      </c>
      <c r="I314" s="170">
        <v>0</v>
      </c>
      <c r="J314" s="646">
        <f t="shared" si="26"/>
        <v>0</v>
      </c>
      <c r="K314" s="346" t="s">
        <v>811</v>
      </c>
    </row>
    <row r="315" spans="1:14" ht="32.25" customHeight="1" x14ac:dyDescent="0.3">
      <c r="A315" s="576" t="s">
        <v>355</v>
      </c>
      <c r="B315" s="809" t="s">
        <v>740</v>
      </c>
      <c r="C315" s="810"/>
      <c r="D315" s="811"/>
      <c r="E315" s="820">
        <v>1</v>
      </c>
      <c r="F315" s="822"/>
      <c r="G315" s="576" t="s">
        <v>149</v>
      </c>
      <c r="H315" s="576">
        <v>3</v>
      </c>
      <c r="I315" s="170">
        <v>1500</v>
      </c>
      <c r="J315" s="646">
        <f t="shared" si="26"/>
        <v>4500</v>
      </c>
      <c r="K315" s="346" t="s">
        <v>876</v>
      </c>
    </row>
    <row r="316" spans="1:14" ht="51.75" customHeight="1" x14ac:dyDescent="0.3">
      <c r="A316" s="576" t="s">
        <v>374</v>
      </c>
      <c r="B316" s="809" t="s">
        <v>741</v>
      </c>
      <c r="C316" s="810"/>
      <c r="D316" s="811"/>
      <c r="E316" s="820">
        <v>1</v>
      </c>
      <c r="F316" s="822"/>
      <c r="G316" s="576" t="s">
        <v>742</v>
      </c>
      <c r="H316" s="576">
        <v>17</v>
      </c>
      <c r="I316" s="170">
        <v>250</v>
      </c>
      <c r="J316" s="646">
        <f t="shared" si="26"/>
        <v>4250</v>
      </c>
      <c r="K316" s="346" t="s">
        <v>875</v>
      </c>
    </row>
    <row r="317" spans="1:14" ht="51.75" customHeight="1" x14ac:dyDescent="0.3">
      <c r="A317" s="576" t="s">
        <v>375</v>
      </c>
      <c r="B317" s="809" t="s">
        <v>868</v>
      </c>
      <c r="C317" s="810"/>
      <c r="D317" s="811"/>
      <c r="E317" s="820">
        <v>1</v>
      </c>
      <c r="F317" s="822"/>
      <c r="G317" s="576" t="s">
        <v>742</v>
      </c>
      <c r="H317" s="576">
        <v>10</v>
      </c>
      <c r="I317" s="170">
        <v>1500</v>
      </c>
      <c r="J317" s="646">
        <f t="shared" si="26"/>
        <v>15000</v>
      </c>
      <c r="K317" s="346" t="s">
        <v>874</v>
      </c>
    </row>
    <row r="318" spans="1:14" ht="51.75" hidden="1" customHeight="1" x14ac:dyDescent="0.3">
      <c r="A318" s="576" t="s">
        <v>376</v>
      </c>
      <c r="B318" s="809" t="s">
        <v>869</v>
      </c>
      <c r="C318" s="810"/>
      <c r="D318" s="811"/>
      <c r="E318" s="820">
        <v>1</v>
      </c>
      <c r="F318" s="822"/>
      <c r="G318" s="576" t="s">
        <v>742</v>
      </c>
      <c r="H318" s="576">
        <v>0</v>
      </c>
      <c r="I318" s="170">
        <v>0</v>
      </c>
      <c r="J318" s="646">
        <f t="shared" si="26"/>
        <v>0</v>
      </c>
      <c r="K318" s="346" t="s">
        <v>873</v>
      </c>
    </row>
    <row r="319" spans="1:14" ht="51.75" hidden="1" customHeight="1" x14ac:dyDescent="0.3">
      <c r="A319" s="576" t="s">
        <v>743</v>
      </c>
      <c r="B319" s="809" t="s">
        <v>870</v>
      </c>
      <c r="C319" s="810"/>
      <c r="D319" s="811"/>
      <c r="E319" s="820">
        <v>1</v>
      </c>
      <c r="F319" s="822"/>
      <c r="G319" s="576" t="s">
        <v>742</v>
      </c>
      <c r="H319" s="576">
        <v>0</v>
      </c>
      <c r="I319" s="170">
        <v>0</v>
      </c>
      <c r="J319" s="646">
        <f t="shared" si="26"/>
        <v>0</v>
      </c>
      <c r="K319" s="346" t="s">
        <v>872</v>
      </c>
    </row>
    <row r="320" spans="1:14" ht="51.75" customHeight="1" x14ac:dyDescent="0.3">
      <c r="A320" s="576" t="s">
        <v>376</v>
      </c>
      <c r="B320" s="809" t="s">
        <v>871</v>
      </c>
      <c r="C320" s="810"/>
      <c r="D320" s="811"/>
      <c r="E320" s="820">
        <v>1</v>
      </c>
      <c r="F320" s="822"/>
      <c r="G320" s="576" t="s">
        <v>742</v>
      </c>
      <c r="H320" s="576">
        <v>4</v>
      </c>
      <c r="I320" s="170">
        <v>1200</v>
      </c>
      <c r="J320" s="646">
        <f t="shared" si="26"/>
        <v>4800</v>
      </c>
      <c r="K320" s="346" t="s">
        <v>872</v>
      </c>
    </row>
    <row r="321" spans="1:14" ht="43.5" customHeight="1" x14ac:dyDescent="0.3">
      <c r="A321" s="576" t="s">
        <v>743</v>
      </c>
      <c r="B321" s="835" t="s">
        <v>521</v>
      </c>
      <c r="C321" s="835"/>
      <c r="D321" s="835"/>
      <c r="E321" s="820">
        <v>1</v>
      </c>
      <c r="F321" s="822"/>
      <c r="G321" s="576" t="s">
        <v>306</v>
      </c>
      <c r="H321" s="576">
        <v>1</v>
      </c>
      <c r="I321" s="170">
        <v>12400</v>
      </c>
      <c r="J321" s="646">
        <f t="shared" si="26"/>
        <v>12400</v>
      </c>
      <c r="K321" s="346" t="s">
        <v>811</v>
      </c>
    </row>
    <row r="322" spans="1:14" ht="30" customHeight="1" x14ac:dyDescent="0.3">
      <c r="A322" s="576" t="s">
        <v>744</v>
      </c>
      <c r="B322" s="835" t="s">
        <v>523</v>
      </c>
      <c r="C322" s="835"/>
      <c r="D322" s="835"/>
      <c r="E322" s="820">
        <v>1</v>
      </c>
      <c r="F322" s="822"/>
      <c r="G322" s="576" t="s">
        <v>306</v>
      </c>
      <c r="H322" s="577">
        <v>1</v>
      </c>
      <c r="I322" s="170">
        <v>5000</v>
      </c>
      <c r="J322" s="646">
        <f t="shared" si="26"/>
        <v>5000</v>
      </c>
      <c r="K322" s="346" t="s">
        <v>811</v>
      </c>
    </row>
    <row r="323" spans="1:14" ht="29.25" customHeight="1" x14ac:dyDescent="0.3">
      <c r="A323" s="576" t="s">
        <v>745</v>
      </c>
      <c r="B323" s="809" t="s">
        <v>657</v>
      </c>
      <c r="C323" s="810"/>
      <c r="D323" s="811"/>
      <c r="E323" s="820">
        <v>1</v>
      </c>
      <c r="F323" s="822"/>
      <c r="G323" s="576" t="s">
        <v>306</v>
      </c>
      <c r="H323" s="576">
        <v>1</v>
      </c>
      <c r="I323" s="170">
        <v>5000</v>
      </c>
      <c r="J323" s="646">
        <f>I323</f>
        <v>5000</v>
      </c>
      <c r="K323" s="346" t="s">
        <v>811</v>
      </c>
    </row>
    <row r="324" spans="1:14" ht="47.25" hidden="1" customHeight="1" x14ac:dyDescent="0.3">
      <c r="A324" s="576" t="s">
        <v>753</v>
      </c>
      <c r="B324" s="835" t="s">
        <v>522</v>
      </c>
      <c r="C324" s="835"/>
      <c r="D324" s="835"/>
      <c r="E324" s="820">
        <v>1</v>
      </c>
      <c r="F324" s="822"/>
      <c r="G324" s="576" t="s">
        <v>306</v>
      </c>
      <c r="H324" s="576">
        <v>1</v>
      </c>
      <c r="I324" s="170">
        <v>0</v>
      </c>
      <c r="J324" s="646">
        <f>I324</f>
        <v>0</v>
      </c>
      <c r="K324" s="346" t="s">
        <v>811</v>
      </c>
    </row>
    <row r="325" spans="1:14" ht="47.25" customHeight="1" x14ac:dyDescent="0.3">
      <c r="A325" s="576" t="s">
        <v>753</v>
      </c>
      <c r="B325" s="809" t="s">
        <v>939</v>
      </c>
      <c r="C325" s="810"/>
      <c r="D325" s="811"/>
      <c r="E325" s="820">
        <v>1</v>
      </c>
      <c r="F325" s="822"/>
      <c r="G325" s="576" t="s">
        <v>306</v>
      </c>
      <c r="H325" s="576">
        <v>72</v>
      </c>
      <c r="I325" s="170">
        <v>1217</v>
      </c>
      <c r="J325" s="646">
        <f>H325*I325</f>
        <v>87624</v>
      </c>
      <c r="K325" s="346"/>
    </row>
    <row r="326" spans="1:14" ht="51" hidden="1" customHeight="1" x14ac:dyDescent="0.3">
      <c r="A326" s="576" t="s">
        <v>867</v>
      </c>
      <c r="B326" s="809" t="s">
        <v>782</v>
      </c>
      <c r="C326" s="810"/>
      <c r="D326" s="811"/>
      <c r="E326" s="820">
        <v>1</v>
      </c>
      <c r="F326" s="822"/>
      <c r="G326" s="576" t="s">
        <v>306</v>
      </c>
      <c r="H326" s="576">
        <v>1</v>
      </c>
      <c r="I326" s="170">
        <v>0</v>
      </c>
      <c r="J326" s="646">
        <f>H326*I326</f>
        <v>0</v>
      </c>
      <c r="K326" s="346" t="s">
        <v>785</v>
      </c>
    </row>
    <row r="327" spans="1:14" ht="35.25" hidden="1" customHeight="1" x14ac:dyDescent="0.3">
      <c r="A327" s="576" t="s">
        <v>880</v>
      </c>
      <c r="B327" s="809" t="s">
        <v>754</v>
      </c>
      <c r="C327" s="810"/>
      <c r="D327" s="811"/>
      <c r="E327" s="820">
        <v>1</v>
      </c>
      <c r="F327" s="822"/>
      <c r="G327" s="576" t="s">
        <v>306</v>
      </c>
      <c r="H327" s="576">
        <v>1</v>
      </c>
      <c r="I327" s="170">
        <v>0</v>
      </c>
      <c r="J327" s="646">
        <f>H327*I327</f>
        <v>0</v>
      </c>
      <c r="K327" s="346" t="s">
        <v>784</v>
      </c>
    </row>
    <row r="328" spans="1:14" ht="30" customHeight="1" x14ac:dyDescent="0.3">
      <c r="A328" s="578" t="s">
        <v>75</v>
      </c>
      <c r="B328" s="827" t="s">
        <v>354</v>
      </c>
      <c r="C328" s="828"/>
      <c r="D328" s="829"/>
      <c r="E328" s="849" t="s">
        <v>74</v>
      </c>
      <c r="F328" s="850"/>
      <c r="G328" s="387" t="s">
        <v>74</v>
      </c>
      <c r="H328" s="387" t="s">
        <v>74</v>
      </c>
      <c r="I328" s="453" t="s">
        <v>74</v>
      </c>
      <c r="J328" s="647">
        <f>J329+J330+J331</f>
        <v>5774212</v>
      </c>
      <c r="L328" s="323">
        <f>J328+J332+950000</f>
        <v>28980512</v>
      </c>
    </row>
    <row r="329" spans="1:14" ht="115.5" customHeight="1" x14ac:dyDescent="0.3">
      <c r="A329" s="576" t="s">
        <v>34</v>
      </c>
      <c r="B329" s="835" t="s">
        <v>525</v>
      </c>
      <c r="C329" s="835"/>
      <c r="D329" s="835"/>
      <c r="E329" s="820">
        <v>2</v>
      </c>
      <c r="F329" s="822"/>
      <c r="G329" s="576" t="s">
        <v>149</v>
      </c>
      <c r="H329" s="576" t="s">
        <v>937</v>
      </c>
      <c r="I329" s="454" t="s">
        <v>972</v>
      </c>
      <c r="J329" s="646">
        <f>5774212-1028200</f>
        <v>4746012</v>
      </c>
    </row>
    <row r="330" spans="1:14" ht="44.25" customHeight="1" x14ac:dyDescent="0.3">
      <c r="A330" s="576" t="s">
        <v>36</v>
      </c>
      <c r="B330" s="835" t="s">
        <v>608</v>
      </c>
      <c r="C330" s="835"/>
      <c r="D330" s="835"/>
      <c r="E330" s="820">
        <v>2</v>
      </c>
      <c r="F330" s="822"/>
      <c r="G330" s="576" t="s">
        <v>149</v>
      </c>
      <c r="H330" s="576" t="s">
        <v>936</v>
      </c>
      <c r="I330" s="172" t="s">
        <v>975</v>
      </c>
      <c r="J330" s="646">
        <v>1028200</v>
      </c>
    </row>
    <row r="331" spans="1:14" ht="0.75" hidden="1" customHeight="1" x14ac:dyDescent="0.3">
      <c r="A331" s="576"/>
      <c r="B331" s="835"/>
      <c r="C331" s="835"/>
      <c r="D331" s="835"/>
      <c r="E331" s="820"/>
      <c r="F331" s="822"/>
      <c r="G331" s="576"/>
      <c r="H331" s="576"/>
      <c r="I331" s="170"/>
      <c r="J331" s="646"/>
    </row>
    <row r="332" spans="1:14" ht="30" customHeight="1" x14ac:dyDescent="0.3">
      <c r="A332" s="578" t="s">
        <v>77</v>
      </c>
      <c r="B332" s="827" t="s">
        <v>725</v>
      </c>
      <c r="C332" s="828"/>
      <c r="D332" s="829"/>
      <c r="E332" s="849" t="s">
        <v>74</v>
      </c>
      <c r="F332" s="850"/>
      <c r="G332" s="387" t="s">
        <v>74</v>
      </c>
      <c r="H332" s="387" t="s">
        <v>74</v>
      </c>
      <c r="I332" s="453" t="s">
        <v>74</v>
      </c>
      <c r="J332" s="647">
        <f>J333+J334+J335</f>
        <v>22256300</v>
      </c>
    </row>
    <row r="333" spans="1:14" ht="92.25" customHeight="1" x14ac:dyDescent="0.3">
      <c r="A333" s="576" t="s">
        <v>381</v>
      </c>
      <c r="B333" s="835" t="s">
        <v>526</v>
      </c>
      <c r="C333" s="835"/>
      <c r="D333" s="835"/>
      <c r="E333" s="820">
        <v>2</v>
      </c>
      <c r="F333" s="822"/>
      <c r="G333" s="576" t="s">
        <v>149</v>
      </c>
      <c r="H333" s="576" t="s">
        <v>935</v>
      </c>
      <c r="I333" s="454" t="s">
        <v>970</v>
      </c>
      <c r="J333" s="646">
        <f>17782900-540000</f>
        <v>17242900</v>
      </c>
      <c r="L333" s="173" t="s">
        <v>971</v>
      </c>
    </row>
    <row r="334" spans="1:14" ht="46.5" customHeight="1" x14ac:dyDescent="0.3">
      <c r="A334" s="576" t="s">
        <v>559</v>
      </c>
      <c r="B334" s="835" t="s">
        <v>726</v>
      </c>
      <c r="C334" s="835"/>
      <c r="D334" s="835"/>
      <c r="E334" s="820">
        <v>2</v>
      </c>
      <c r="F334" s="822"/>
      <c r="G334" s="576" t="s">
        <v>149</v>
      </c>
      <c r="H334" s="576" t="s">
        <v>936</v>
      </c>
      <c r="I334" s="454" t="s">
        <v>976</v>
      </c>
      <c r="J334" s="646">
        <v>2857700</v>
      </c>
      <c r="L334" s="173" t="s">
        <v>798</v>
      </c>
    </row>
    <row r="335" spans="1:14" ht="46.5" customHeight="1" x14ac:dyDescent="0.3">
      <c r="A335" s="576" t="s">
        <v>724</v>
      </c>
      <c r="B335" s="835" t="s">
        <v>727</v>
      </c>
      <c r="C335" s="835"/>
      <c r="D335" s="835"/>
      <c r="E335" s="820">
        <v>2</v>
      </c>
      <c r="F335" s="822"/>
      <c r="G335" s="576" t="s">
        <v>149</v>
      </c>
      <c r="H335" s="576" t="s">
        <v>936</v>
      </c>
      <c r="I335" s="454" t="s">
        <v>977</v>
      </c>
      <c r="J335" s="646">
        <v>2155700</v>
      </c>
      <c r="L335" s="371" t="s">
        <v>798</v>
      </c>
      <c r="N335" s="323">
        <f>J335+J334+J330</f>
        <v>6041600</v>
      </c>
    </row>
    <row r="336" spans="1:14" ht="30" customHeight="1" x14ac:dyDescent="0.3">
      <c r="A336" s="578" t="s">
        <v>86</v>
      </c>
      <c r="B336" s="827" t="s">
        <v>356</v>
      </c>
      <c r="C336" s="828"/>
      <c r="D336" s="829"/>
      <c r="E336" s="849" t="s">
        <v>74</v>
      </c>
      <c r="F336" s="850"/>
      <c r="G336" s="387" t="s">
        <v>74</v>
      </c>
      <c r="H336" s="387" t="s">
        <v>74</v>
      </c>
      <c r="I336" s="538" t="s">
        <v>74</v>
      </c>
      <c r="J336" s="436">
        <f>J337+J338+J340+J339</f>
        <v>160000</v>
      </c>
    </row>
    <row r="337" spans="1:10" ht="30" customHeight="1" x14ac:dyDescent="0.3">
      <c r="A337" s="576" t="s">
        <v>528</v>
      </c>
      <c r="B337" s="809" t="s">
        <v>527</v>
      </c>
      <c r="C337" s="810"/>
      <c r="D337" s="811"/>
      <c r="E337" s="858">
        <v>1</v>
      </c>
      <c r="F337" s="859"/>
      <c r="G337" s="590" t="s">
        <v>149</v>
      </c>
      <c r="H337" s="590">
        <v>20</v>
      </c>
      <c r="I337" s="652">
        <v>3000</v>
      </c>
      <c r="J337" s="350">
        <f>H337*I337</f>
        <v>60000</v>
      </c>
    </row>
    <row r="338" spans="1:10" ht="30" customHeight="1" x14ac:dyDescent="0.3">
      <c r="A338" s="576" t="s">
        <v>529</v>
      </c>
      <c r="B338" s="809" t="s">
        <v>973</v>
      </c>
      <c r="C338" s="810"/>
      <c r="D338" s="811"/>
      <c r="E338" s="858">
        <v>1</v>
      </c>
      <c r="F338" s="859"/>
      <c r="G338" s="590" t="s">
        <v>306</v>
      </c>
      <c r="H338" s="590">
        <v>1</v>
      </c>
      <c r="I338" s="652">
        <v>100000</v>
      </c>
      <c r="J338" s="646">
        <f>I338*H338</f>
        <v>100000</v>
      </c>
    </row>
    <row r="339" spans="1:10" ht="36.75" hidden="1" customHeight="1" x14ac:dyDescent="0.3">
      <c r="A339" s="576" t="s">
        <v>704</v>
      </c>
      <c r="B339" s="809" t="s">
        <v>705</v>
      </c>
      <c r="C339" s="810"/>
      <c r="D339" s="811"/>
      <c r="E339" s="858">
        <v>1</v>
      </c>
      <c r="F339" s="859"/>
      <c r="G339" s="590" t="s">
        <v>306</v>
      </c>
      <c r="H339" s="590">
        <v>0</v>
      </c>
      <c r="I339" s="652">
        <v>0</v>
      </c>
      <c r="J339" s="646">
        <v>0</v>
      </c>
    </row>
    <row r="340" spans="1:10" ht="36.75" hidden="1" customHeight="1" x14ac:dyDescent="0.3">
      <c r="A340" s="576" t="s">
        <v>652</v>
      </c>
      <c r="B340" s="809" t="s">
        <v>653</v>
      </c>
      <c r="C340" s="810"/>
      <c r="D340" s="811"/>
      <c r="E340" s="858">
        <v>1</v>
      </c>
      <c r="F340" s="859"/>
      <c r="G340" s="590" t="s">
        <v>306</v>
      </c>
      <c r="H340" s="590">
        <v>0</v>
      </c>
      <c r="I340" s="652">
        <v>0</v>
      </c>
      <c r="J340" s="646">
        <v>0</v>
      </c>
    </row>
    <row r="341" spans="1:10" ht="59.25" customHeight="1" x14ac:dyDescent="0.3">
      <c r="A341" s="578" t="s">
        <v>87</v>
      </c>
      <c r="B341" s="827" t="s">
        <v>530</v>
      </c>
      <c r="C341" s="828"/>
      <c r="D341" s="829"/>
      <c r="E341" s="849" t="s">
        <v>74</v>
      </c>
      <c r="F341" s="850"/>
      <c r="G341" s="387" t="s">
        <v>74</v>
      </c>
      <c r="H341" s="387" t="s">
        <v>74</v>
      </c>
      <c r="I341" s="538" t="s">
        <v>74</v>
      </c>
      <c r="J341" s="435">
        <f>J342</f>
        <v>220280</v>
      </c>
    </row>
    <row r="342" spans="1:10" ht="30" customHeight="1" x14ac:dyDescent="0.3">
      <c r="A342" s="576" t="s">
        <v>531</v>
      </c>
      <c r="B342" s="809" t="s">
        <v>717</v>
      </c>
      <c r="C342" s="810"/>
      <c r="D342" s="811"/>
      <c r="E342" s="858">
        <v>1</v>
      </c>
      <c r="F342" s="859"/>
      <c r="G342" s="590" t="s">
        <v>306</v>
      </c>
      <c r="H342" s="590">
        <v>1</v>
      </c>
      <c r="I342" s="652">
        <v>220280</v>
      </c>
      <c r="J342" s="350">
        <f>I342</f>
        <v>220280</v>
      </c>
    </row>
    <row r="343" spans="1:10" ht="54.75" hidden="1" customHeight="1" x14ac:dyDescent="0.3">
      <c r="A343" s="578" t="s">
        <v>97</v>
      </c>
      <c r="B343" s="827" t="s">
        <v>534</v>
      </c>
      <c r="C343" s="828"/>
      <c r="D343" s="829"/>
      <c r="E343" s="858" t="s">
        <v>74</v>
      </c>
      <c r="F343" s="859"/>
      <c r="G343" s="590" t="s">
        <v>74</v>
      </c>
      <c r="H343" s="590" t="s">
        <v>74</v>
      </c>
      <c r="I343" s="652" t="s">
        <v>74</v>
      </c>
      <c r="J343" s="350">
        <f>J344+J345+J346+J347</f>
        <v>0</v>
      </c>
    </row>
    <row r="344" spans="1:10" ht="30" hidden="1" customHeight="1" x14ac:dyDescent="0.3">
      <c r="A344" s="576" t="s">
        <v>535</v>
      </c>
      <c r="B344" s="999" t="s">
        <v>539</v>
      </c>
      <c r="C344" s="1000"/>
      <c r="D344" s="1001"/>
      <c r="E344" s="858">
        <v>2</v>
      </c>
      <c r="F344" s="859"/>
      <c r="G344" s="590" t="s">
        <v>306</v>
      </c>
      <c r="H344" s="590">
        <v>2</v>
      </c>
      <c r="I344" s="652"/>
      <c r="J344" s="646"/>
    </row>
    <row r="345" spans="1:10" ht="30" hidden="1" customHeight="1" x14ac:dyDescent="0.3">
      <c r="A345" s="576" t="s">
        <v>536</v>
      </c>
      <c r="B345" s="999" t="s">
        <v>540</v>
      </c>
      <c r="C345" s="1000"/>
      <c r="D345" s="1001"/>
      <c r="E345" s="858">
        <v>2</v>
      </c>
      <c r="F345" s="859"/>
      <c r="G345" s="590" t="s">
        <v>306</v>
      </c>
      <c r="H345" s="590">
        <v>2</v>
      </c>
      <c r="I345" s="652"/>
      <c r="J345" s="646">
        <v>0</v>
      </c>
    </row>
    <row r="346" spans="1:10" ht="30" hidden="1" customHeight="1" x14ac:dyDescent="0.3">
      <c r="A346" s="576" t="s">
        <v>537</v>
      </c>
      <c r="B346" s="999" t="s">
        <v>541</v>
      </c>
      <c r="C346" s="1000"/>
      <c r="D346" s="1001"/>
      <c r="E346" s="858">
        <v>2</v>
      </c>
      <c r="F346" s="859"/>
      <c r="G346" s="590" t="s">
        <v>306</v>
      </c>
      <c r="H346" s="590">
        <v>4</v>
      </c>
      <c r="I346" s="652"/>
      <c r="J346" s="646">
        <v>0</v>
      </c>
    </row>
    <row r="347" spans="1:10" ht="36" hidden="1" customHeight="1" x14ac:dyDescent="0.3">
      <c r="A347" s="576"/>
      <c r="B347" s="854"/>
      <c r="C347" s="854"/>
      <c r="D347" s="854"/>
      <c r="E347" s="820"/>
      <c r="F347" s="822"/>
      <c r="G347" s="576"/>
      <c r="H347" s="576"/>
      <c r="I347" s="653"/>
      <c r="J347" s="646"/>
    </row>
    <row r="348" spans="1:10" ht="27.75" customHeight="1" x14ac:dyDescent="0.3">
      <c r="A348" s="335"/>
      <c r="B348" s="851" t="s">
        <v>332</v>
      </c>
      <c r="C348" s="851"/>
      <c r="D348" s="851"/>
      <c r="E348" s="852" t="s">
        <v>14</v>
      </c>
      <c r="F348" s="853"/>
      <c r="G348" s="891">
        <f>J306+J328+J332+J336+J341+J343</f>
        <v>29897792</v>
      </c>
      <c r="H348" s="892"/>
      <c r="I348" s="892"/>
      <c r="J348" s="892"/>
    </row>
    <row r="349" spans="1:10" ht="30" hidden="1" customHeight="1" x14ac:dyDescent="0.3">
      <c r="A349" s="893" t="s">
        <v>382</v>
      </c>
      <c r="B349" s="893"/>
      <c r="C349" s="893"/>
      <c r="D349" s="893"/>
      <c r="E349" s="893"/>
      <c r="F349" s="893"/>
      <c r="G349" s="893"/>
      <c r="H349" s="893"/>
      <c r="I349" s="893"/>
      <c r="J349" s="893"/>
    </row>
    <row r="350" spans="1:10" ht="30" hidden="1" customHeight="1" x14ac:dyDescent="0.3">
      <c r="A350" s="566" t="s">
        <v>1</v>
      </c>
      <c r="B350" s="778" t="s">
        <v>44</v>
      </c>
      <c r="C350" s="778"/>
      <c r="D350" s="778"/>
      <c r="E350" s="778" t="s">
        <v>58</v>
      </c>
      <c r="F350" s="778"/>
      <c r="G350" s="855" t="s">
        <v>66</v>
      </c>
      <c r="H350" s="857"/>
      <c r="I350" s="778" t="s">
        <v>60</v>
      </c>
      <c r="J350" s="778"/>
    </row>
    <row r="351" spans="1:10" ht="13.5" hidden="1" customHeight="1" x14ac:dyDescent="0.3">
      <c r="A351" s="566">
        <v>1</v>
      </c>
      <c r="B351" s="778">
        <v>2</v>
      </c>
      <c r="C351" s="778"/>
      <c r="D351" s="778"/>
      <c r="E351" s="778">
        <v>3</v>
      </c>
      <c r="F351" s="778"/>
      <c r="G351" s="778">
        <v>4</v>
      </c>
      <c r="H351" s="778"/>
      <c r="I351" s="778">
        <v>5</v>
      </c>
      <c r="J351" s="778"/>
    </row>
    <row r="352" spans="1:10" ht="30" hidden="1" customHeight="1" x14ac:dyDescent="0.3">
      <c r="A352" s="576" t="s">
        <v>27</v>
      </c>
      <c r="B352" s="809" t="s">
        <v>894</v>
      </c>
      <c r="C352" s="810"/>
      <c r="D352" s="811"/>
      <c r="E352" s="826">
        <v>1</v>
      </c>
      <c r="F352" s="826"/>
      <c r="G352" s="860">
        <v>0</v>
      </c>
      <c r="H352" s="860"/>
      <c r="I352" s="860">
        <f>G352</f>
        <v>0</v>
      </c>
      <c r="J352" s="860"/>
    </row>
    <row r="353" spans="1:11" ht="25.5" hidden="1" customHeight="1" x14ac:dyDescent="0.3">
      <c r="A353" s="578"/>
      <c r="B353" s="847" t="s">
        <v>13</v>
      </c>
      <c r="C353" s="847"/>
      <c r="D353" s="847"/>
      <c r="E353" s="842" t="s">
        <v>14</v>
      </c>
      <c r="F353" s="842"/>
      <c r="G353" s="842" t="s">
        <v>14</v>
      </c>
      <c r="H353" s="842"/>
      <c r="I353" s="1055">
        <f>I352</f>
        <v>0</v>
      </c>
      <c r="J353" s="1055"/>
    </row>
    <row r="354" spans="1:11" ht="15.75" customHeight="1" x14ac:dyDescent="0.3">
      <c r="A354" s="871" t="s">
        <v>383</v>
      </c>
      <c r="B354" s="871"/>
      <c r="C354" s="871"/>
      <c r="D354" s="871"/>
      <c r="E354" s="871"/>
      <c r="F354" s="871"/>
      <c r="G354" s="871"/>
      <c r="H354" s="871"/>
      <c r="I354" s="871"/>
      <c r="J354" s="871"/>
    </row>
    <row r="355" spans="1:11" ht="17.25" customHeight="1" x14ac:dyDescent="0.3">
      <c r="A355" s="566" t="s">
        <v>1</v>
      </c>
      <c r="B355" s="855" t="s">
        <v>15</v>
      </c>
      <c r="C355" s="856"/>
      <c r="D355" s="857"/>
      <c r="E355" s="855" t="s">
        <v>58</v>
      </c>
      <c r="F355" s="857"/>
      <c r="G355" s="855" t="s">
        <v>66</v>
      </c>
      <c r="H355" s="857"/>
      <c r="I355" s="855" t="s">
        <v>264</v>
      </c>
      <c r="J355" s="857"/>
    </row>
    <row r="356" spans="1:11" ht="16.5" customHeight="1" x14ac:dyDescent="0.3">
      <c r="A356" s="566">
        <v>1</v>
      </c>
      <c r="B356" s="855">
        <v>2</v>
      </c>
      <c r="C356" s="856"/>
      <c r="D356" s="857"/>
      <c r="E356" s="855">
        <v>3</v>
      </c>
      <c r="F356" s="857"/>
      <c r="G356" s="855">
        <v>4</v>
      </c>
      <c r="H356" s="857"/>
      <c r="I356" s="855">
        <v>5</v>
      </c>
      <c r="J356" s="857"/>
    </row>
    <row r="357" spans="1:11" ht="30" hidden="1" customHeight="1" x14ac:dyDescent="0.3">
      <c r="A357" s="576" t="s">
        <v>70</v>
      </c>
      <c r="B357" s="809" t="s">
        <v>170</v>
      </c>
      <c r="C357" s="810"/>
      <c r="D357" s="811"/>
      <c r="E357" s="1062"/>
      <c r="F357" s="1063"/>
      <c r="G357" s="820"/>
      <c r="H357" s="822"/>
      <c r="I357" s="1012">
        <f>I358</f>
        <v>0</v>
      </c>
      <c r="J357" s="992"/>
    </row>
    <row r="358" spans="1:11" ht="17.25" hidden="1" customHeight="1" x14ac:dyDescent="0.3">
      <c r="A358" s="576" t="s">
        <v>27</v>
      </c>
      <c r="B358" s="1008" t="s">
        <v>334</v>
      </c>
      <c r="C358" s="1009"/>
      <c r="D358" s="1010"/>
      <c r="E358" s="648" t="s">
        <v>307</v>
      </c>
      <c r="F358" s="648">
        <v>4</v>
      </c>
      <c r="G358" s="823" t="s">
        <v>260</v>
      </c>
      <c r="H358" s="824"/>
      <c r="I358" s="1012"/>
      <c r="J358" s="992"/>
    </row>
    <row r="359" spans="1:11" ht="30" customHeight="1" x14ac:dyDescent="0.3">
      <c r="A359" s="578" t="s">
        <v>70</v>
      </c>
      <c r="B359" s="827" t="s">
        <v>182</v>
      </c>
      <c r="C359" s="828"/>
      <c r="D359" s="829"/>
      <c r="E359" s="455" t="s">
        <v>74</v>
      </c>
      <c r="F359" s="455" t="s">
        <v>74</v>
      </c>
      <c r="G359" s="849" t="s">
        <v>74</v>
      </c>
      <c r="H359" s="850"/>
      <c r="I359" s="1049">
        <f>I360+I363+I361+I365+I362+I364</f>
        <v>3172300</v>
      </c>
      <c r="J359" s="998"/>
    </row>
    <row r="360" spans="1:11" s="317" customFormat="1" ht="58.5" customHeight="1" x14ac:dyDescent="0.3">
      <c r="A360" s="576" t="s">
        <v>27</v>
      </c>
      <c r="B360" s="999" t="s">
        <v>625</v>
      </c>
      <c r="C360" s="1000"/>
      <c r="D360" s="1001"/>
      <c r="E360" s="648" t="s">
        <v>308</v>
      </c>
      <c r="F360" s="577">
        <v>856</v>
      </c>
      <c r="G360" s="823" t="s">
        <v>74</v>
      </c>
      <c r="H360" s="824"/>
      <c r="I360" s="1012">
        <f>800000-27700</f>
        <v>772300</v>
      </c>
      <c r="J360" s="992"/>
      <c r="K360" s="334"/>
    </row>
    <row r="361" spans="1:11" s="317" customFormat="1" ht="30" customHeight="1" x14ac:dyDescent="0.3">
      <c r="A361" s="576" t="s">
        <v>29</v>
      </c>
      <c r="B361" s="999" t="s">
        <v>626</v>
      </c>
      <c r="C361" s="1000"/>
      <c r="D361" s="1001"/>
      <c r="E361" s="648" t="s">
        <v>308</v>
      </c>
      <c r="F361" s="577">
        <v>856</v>
      </c>
      <c r="G361" s="823" t="s">
        <v>74</v>
      </c>
      <c r="H361" s="824"/>
      <c r="I361" s="1077">
        <v>0</v>
      </c>
      <c r="J361" s="1078"/>
      <c r="K361" s="334"/>
    </row>
    <row r="362" spans="1:11" s="317" customFormat="1" ht="30" customHeight="1" x14ac:dyDescent="0.3">
      <c r="A362" s="576" t="s">
        <v>31</v>
      </c>
      <c r="B362" s="999" t="s">
        <v>623</v>
      </c>
      <c r="C362" s="1000"/>
      <c r="D362" s="1001"/>
      <c r="E362" s="648" t="s">
        <v>308</v>
      </c>
      <c r="F362" s="577">
        <v>856</v>
      </c>
      <c r="G362" s="823" t="s">
        <v>74</v>
      </c>
      <c r="H362" s="824"/>
      <c r="I362" s="861">
        <v>500000</v>
      </c>
      <c r="J362" s="862"/>
      <c r="K362" s="334"/>
    </row>
    <row r="363" spans="1:11" s="317" customFormat="1" ht="30" customHeight="1" x14ac:dyDescent="0.3">
      <c r="A363" s="576" t="s">
        <v>268</v>
      </c>
      <c r="B363" s="999" t="s">
        <v>627</v>
      </c>
      <c r="C363" s="1000"/>
      <c r="D363" s="1001"/>
      <c r="E363" s="648" t="s">
        <v>308</v>
      </c>
      <c r="F363" s="577">
        <v>856</v>
      </c>
      <c r="G363" s="823" t="s">
        <v>74</v>
      </c>
      <c r="H363" s="824"/>
      <c r="I363" s="861">
        <v>1900000</v>
      </c>
      <c r="J363" s="862"/>
      <c r="K363" s="334"/>
    </row>
    <row r="364" spans="1:11" s="317" customFormat="1" ht="30" customHeight="1" x14ac:dyDescent="0.3">
      <c r="A364" s="576" t="s">
        <v>269</v>
      </c>
      <c r="B364" s="999" t="s">
        <v>624</v>
      </c>
      <c r="C364" s="1000"/>
      <c r="D364" s="1001"/>
      <c r="E364" s="648" t="s">
        <v>543</v>
      </c>
      <c r="F364" s="414">
        <v>35</v>
      </c>
      <c r="G364" s="823" t="s">
        <v>74</v>
      </c>
      <c r="H364" s="824"/>
      <c r="I364" s="861">
        <v>0</v>
      </c>
      <c r="J364" s="862"/>
      <c r="K364" s="334"/>
    </row>
    <row r="365" spans="1:11" ht="48.75" customHeight="1" x14ac:dyDescent="0.3">
      <c r="A365" s="576" t="s">
        <v>283</v>
      </c>
      <c r="B365" s="999" t="s">
        <v>628</v>
      </c>
      <c r="C365" s="1000"/>
      <c r="D365" s="1001"/>
      <c r="E365" s="648" t="s">
        <v>543</v>
      </c>
      <c r="F365" s="414">
        <v>35</v>
      </c>
      <c r="G365" s="823" t="s">
        <v>74</v>
      </c>
      <c r="H365" s="824"/>
      <c r="I365" s="1077">
        <v>0</v>
      </c>
      <c r="J365" s="1078"/>
    </row>
    <row r="366" spans="1:11" s="445" customFormat="1" ht="30" hidden="1" customHeight="1" x14ac:dyDescent="0.3">
      <c r="A366" s="578" t="s">
        <v>75</v>
      </c>
      <c r="B366" s="827" t="s">
        <v>170</v>
      </c>
      <c r="C366" s="828"/>
      <c r="D366" s="829"/>
      <c r="E366" s="849"/>
      <c r="F366" s="850"/>
      <c r="G366" s="849"/>
      <c r="H366" s="850"/>
      <c r="I366" s="1005"/>
      <c r="J366" s="1006"/>
      <c r="K366" s="502"/>
    </row>
    <row r="367" spans="1:11" ht="30" hidden="1" customHeight="1" x14ac:dyDescent="0.3">
      <c r="A367" s="576" t="s">
        <v>34</v>
      </c>
      <c r="B367" s="835" t="s">
        <v>731</v>
      </c>
      <c r="C367" s="835"/>
      <c r="D367" s="835"/>
      <c r="E367" s="648">
        <v>1</v>
      </c>
      <c r="F367" s="577" t="s">
        <v>307</v>
      </c>
      <c r="G367" s="978">
        <v>0</v>
      </c>
      <c r="H367" s="978"/>
      <c r="I367" s="997">
        <f>E367*G367</f>
        <v>0</v>
      </c>
      <c r="J367" s="998"/>
    </row>
    <row r="368" spans="1:11" ht="30" hidden="1" customHeight="1" x14ac:dyDescent="0.3">
      <c r="A368" s="576" t="s">
        <v>36</v>
      </c>
      <c r="B368" s="835" t="s">
        <v>732</v>
      </c>
      <c r="C368" s="835"/>
      <c r="D368" s="835"/>
      <c r="E368" s="648">
        <v>1</v>
      </c>
      <c r="F368" s="577" t="s">
        <v>307</v>
      </c>
      <c r="G368" s="978">
        <v>0</v>
      </c>
      <c r="H368" s="978"/>
      <c r="I368" s="997">
        <f t="shared" ref="I368:I378" si="27">E368*G368</f>
        <v>0</v>
      </c>
      <c r="J368" s="998"/>
    </row>
    <row r="369" spans="1:10" ht="30" hidden="1" customHeight="1" x14ac:dyDescent="0.3">
      <c r="A369" s="576" t="s">
        <v>38</v>
      </c>
      <c r="B369" s="809" t="s">
        <v>733</v>
      </c>
      <c r="C369" s="810"/>
      <c r="D369" s="811"/>
      <c r="E369" s="648">
        <v>2</v>
      </c>
      <c r="F369" s="577" t="s">
        <v>307</v>
      </c>
      <c r="G369" s="823">
        <v>0</v>
      </c>
      <c r="H369" s="824"/>
      <c r="I369" s="997">
        <f t="shared" si="27"/>
        <v>0</v>
      </c>
      <c r="J369" s="998"/>
    </row>
    <row r="370" spans="1:10" ht="30" hidden="1" customHeight="1" x14ac:dyDescent="0.3">
      <c r="A370" s="576" t="s">
        <v>40</v>
      </c>
      <c r="B370" s="809" t="s">
        <v>734</v>
      </c>
      <c r="C370" s="810"/>
      <c r="D370" s="811"/>
      <c r="E370" s="648">
        <v>1</v>
      </c>
      <c r="F370" s="577" t="s">
        <v>307</v>
      </c>
      <c r="G370" s="823">
        <v>0</v>
      </c>
      <c r="H370" s="824"/>
      <c r="I370" s="997">
        <f t="shared" si="27"/>
        <v>0</v>
      </c>
      <c r="J370" s="998"/>
    </row>
    <row r="371" spans="1:10" ht="115.5" hidden="1" customHeight="1" x14ac:dyDescent="0.3">
      <c r="A371" s="576" t="s">
        <v>42</v>
      </c>
      <c r="B371" s="809" t="s">
        <v>896</v>
      </c>
      <c r="C371" s="810"/>
      <c r="D371" s="811"/>
      <c r="E371" s="648">
        <v>1</v>
      </c>
      <c r="F371" s="577" t="s">
        <v>307</v>
      </c>
      <c r="G371" s="823">
        <v>0</v>
      </c>
      <c r="H371" s="824"/>
      <c r="I371" s="997">
        <f t="shared" si="27"/>
        <v>0</v>
      </c>
      <c r="J371" s="998"/>
    </row>
    <row r="372" spans="1:10" ht="114.75" hidden="1" customHeight="1" x14ac:dyDescent="0.3">
      <c r="A372" s="576" t="s">
        <v>180</v>
      </c>
      <c r="B372" s="809" t="s">
        <v>897</v>
      </c>
      <c r="C372" s="810"/>
      <c r="D372" s="811"/>
      <c r="E372" s="648">
        <v>1</v>
      </c>
      <c r="F372" s="577" t="s">
        <v>307</v>
      </c>
      <c r="G372" s="823">
        <v>0</v>
      </c>
      <c r="H372" s="824"/>
      <c r="I372" s="997">
        <f t="shared" si="27"/>
        <v>0</v>
      </c>
      <c r="J372" s="998"/>
    </row>
    <row r="373" spans="1:10" ht="30" hidden="1" customHeight="1" x14ac:dyDescent="0.3">
      <c r="A373" s="576" t="s">
        <v>181</v>
      </c>
      <c r="B373" s="809" t="s">
        <v>898</v>
      </c>
      <c r="C373" s="810"/>
      <c r="D373" s="811"/>
      <c r="E373" s="648">
        <v>8</v>
      </c>
      <c r="F373" s="577" t="s">
        <v>307</v>
      </c>
      <c r="G373" s="823">
        <v>0</v>
      </c>
      <c r="H373" s="824"/>
      <c r="I373" s="997">
        <f t="shared" si="27"/>
        <v>0</v>
      </c>
      <c r="J373" s="998"/>
    </row>
    <row r="374" spans="1:10" ht="30" hidden="1" customHeight="1" x14ac:dyDescent="0.3">
      <c r="A374" s="576" t="s">
        <v>735</v>
      </c>
      <c r="B374" s="809" t="s">
        <v>899</v>
      </c>
      <c r="C374" s="810"/>
      <c r="D374" s="811"/>
      <c r="E374" s="648">
        <v>2</v>
      </c>
      <c r="F374" s="577" t="s">
        <v>307</v>
      </c>
      <c r="G374" s="823">
        <v>0</v>
      </c>
      <c r="H374" s="824"/>
      <c r="I374" s="997">
        <f t="shared" si="27"/>
        <v>0</v>
      </c>
      <c r="J374" s="998"/>
    </row>
    <row r="375" spans="1:10" ht="30" hidden="1" customHeight="1" x14ac:dyDescent="0.3">
      <c r="A375" s="576" t="s">
        <v>736</v>
      </c>
      <c r="B375" s="809" t="s">
        <v>900</v>
      </c>
      <c r="C375" s="810"/>
      <c r="D375" s="811"/>
      <c r="E375" s="648">
        <v>1</v>
      </c>
      <c r="F375" s="577" t="s">
        <v>307</v>
      </c>
      <c r="G375" s="823">
        <v>0</v>
      </c>
      <c r="H375" s="824"/>
      <c r="I375" s="997">
        <f t="shared" si="27"/>
        <v>0</v>
      </c>
      <c r="J375" s="998"/>
    </row>
    <row r="376" spans="1:10" ht="30" hidden="1" customHeight="1" x14ac:dyDescent="0.3">
      <c r="A376" s="576" t="s">
        <v>737</v>
      </c>
      <c r="B376" s="809" t="s">
        <v>901</v>
      </c>
      <c r="C376" s="810"/>
      <c r="D376" s="811"/>
      <c r="E376" s="648">
        <v>1</v>
      </c>
      <c r="F376" s="577" t="s">
        <v>307</v>
      </c>
      <c r="G376" s="823">
        <v>0</v>
      </c>
      <c r="H376" s="824"/>
      <c r="I376" s="997">
        <f t="shared" si="27"/>
        <v>0</v>
      </c>
      <c r="J376" s="998"/>
    </row>
    <row r="377" spans="1:10" ht="30" hidden="1" customHeight="1" x14ac:dyDescent="0.3">
      <c r="A377" s="576" t="s">
        <v>738</v>
      </c>
      <c r="B377" s="809" t="s">
        <v>856</v>
      </c>
      <c r="C377" s="810"/>
      <c r="D377" s="811"/>
      <c r="E377" s="648">
        <v>4</v>
      </c>
      <c r="F377" s="577" t="s">
        <v>307</v>
      </c>
      <c r="G377" s="823">
        <v>0</v>
      </c>
      <c r="H377" s="824"/>
      <c r="I377" s="997">
        <f t="shared" si="27"/>
        <v>0</v>
      </c>
      <c r="J377" s="998"/>
    </row>
    <row r="378" spans="1:10" ht="30" hidden="1" customHeight="1" x14ac:dyDescent="0.3">
      <c r="A378" s="576" t="s">
        <v>739</v>
      </c>
      <c r="B378" s="809" t="s">
        <v>857</v>
      </c>
      <c r="C378" s="810"/>
      <c r="D378" s="811"/>
      <c r="E378" s="648">
        <v>6</v>
      </c>
      <c r="F378" s="577" t="s">
        <v>307</v>
      </c>
      <c r="G378" s="823">
        <v>0</v>
      </c>
      <c r="H378" s="824"/>
      <c r="I378" s="997">
        <f t="shared" si="27"/>
        <v>0</v>
      </c>
      <c r="J378" s="998"/>
    </row>
    <row r="379" spans="1:10" ht="30" hidden="1" customHeight="1" x14ac:dyDescent="0.3">
      <c r="A379" s="415" t="s">
        <v>752</v>
      </c>
      <c r="B379" s="835" t="s">
        <v>858</v>
      </c>
      <c r="C379" s="835"/>
      <c r="D379" s="835"/>
      <c r="E379" s="648">
        <v>1</v>
      </c>
      <c r="F379" s="577" t="s">
        <v>307</v>
      </c>
      <c r="G379" s="978">
        <v>0</v>
      </c>
      <c r="H379" s="978"/>
      <c r="I379" s="997">
        <f>G379</f>
        <v>0</v>
      </c>
      <c r="J379" s="998"/>
    </row>
    <row r="380" spans="1:10" ht="62.25" hidden="1" customHeight="1" x14ac:dyDescent="0.3">
      <c r="A380" s="415" t="s">
        <v>77</v>
      </c>
      <c r="B380" s="809" t="s">
        <v>597</v>
      </c>
      <c r="C380" s="810"/>
      <c r="D380" s="811"/>
      <c r="E380" s="648"/>
      <c r="F380" s="577"/>
      <c r="G380" s="823"/>
      <c r="H380" s="824"/>
      <c r="I380" s="995">
        <f>SUM(I381:J383)</f>
        <v>0</v>
      </c>
      <c r="J380" s="996"/>
    </row>
    <row r="381" spans="1:10" ht="30" hidden="1" customHeight="1" x14ac:dyDescent="0.3">
      <c r="A381" s="415" t="s">
        <v>381</v>
      </c>
      <c r="B381" s="820" t="s">
        <v>800</v>
      </c>
      <c r="C381" s="821"/>
      <c r="D381" s="822"/>
      <c r="E381" s="910"/>
      <c r="F381" s="910"/>
      <c r="G381" s="823"/>
      <c r="H381" s="824"/>
      <c r="I381" s="995">
        <v>0</v>
      </c>
      <c r="J381" s="996"/>
    </row>
    <row r="382" spans="1:10" ht="30" hidden="1" customHeight="1" x14ac:dyDescent="0.3">
      <c r="A382" s="415" t="s">
        <v>559</v>
      </c>
      <c r="B382" s="820" t="s">
        <v>615</v>
      </c>
      <c r="C382" s="821"/>
      <c r="D382" s="822"/>
      <c r="E382" s="910"/>
      <c r="F382" s="910"/>
      <c r="G382" s="823"/>
      <c r="H382" s="824"/>
      <c r="I382" s="995">
        <v>0</v>
      </c>
      <c r="J382" s="996"/>
    </row>
    <row r="383" spans="1:10" ht="30" hidden="1" customHeight="1" x14ac:dyDescent="0.3">
      <c r="A383" s="415"/>
      <c r="B383" s="820"/>
      <c r="C383" s="821"/>
      <c r="D383" s="822"/>
      <c r="E383" s="910"/>
      <c r="F383" s="910"/>
      <c r="G383" s="823"/>
      <c r="H383" s="824"/>
      <c r="I383" s="995"/>
      <c r="J383" s="996"/>
    </row>
    <row r="384" spans="1:10" ht="30" hidden="1" customHeight="1" x14ac:dyDescent="0.3">
      <c r="A384" s="415" t="s">
        <v>755</v>
      </c>
      <c r="B384" s="809" t="s">
        <v>893</v>
      </c>
      <c r="C384" s="810"/>
      <c r="D384" s="811"/>
      <c r="E384" s="648">
        <v>95</v>
      </c>
      <c r="F384" s="648" t="s">
        <v>307</v>
      </c>
      <c r="G384" s="823">
        <v>0</v>
      </c>
      <c r="H384" s="824"/>
      <c r="I384" s="995">
        <f>E384*G384</f>
        <v>0</v>
      </c>
      <c r="J384" s="996"/>
    </row>
    <row r="385" spans="1:11" ht="30" hidden="1" customHeight="1" x14ac:dyDescent="0.3">
      <c r="A385" s="415" t="s">
        <v>756</v>
      </c>
      <c r="B385" s="809" t="s">
        <v>757</v>
      </c>
      <c r="C385" s="810"/>
      <c r="D385" s="811"/>
      <c r="E385" s="648"/>
      <c r="F385" s="648" t="s">
        <v>307</v>
      </c>
      <c r="G385" s="823">
        <v>0</v>
      </c>
      <c r="H385" s="824"/>
      <c r="I385" s="995">
        <f>G385</f>
        <v>0</v>
      </c>
      <c r="J385" s="996"/>
    </row>
    <row r="386" spans="1:11" ht="30" hidden="1" customHeight="1" x14ac:dyDescent="0.3">
      <c r="A386" s="415" t="s">
        <v>759</v>
      </c>
      <c r="B386" s="809" t="s">
        <v>758</v>
      </c>
      <c r="C386" s="810"/>
      <c r="D386" s="811"/>
      <c r="E386" s="648"/>
      <c r="F386" s="648" t="s">
        <v>307</v>
      </c>
      <c r="G386" s="823">
        <v>0</v>
      </c>
      <c r="H386" s="824"/>
      <c r="I386" s="995">
        <f>G386</f>
        <v>0</v>
      </c>
      <c r="J386" s="996"/>
    </row>
    <row r="387" spans="1:11" ht="30" hidden="1" customHeight="1" x14ac:dyDescent="0.3">
      <c r="A387" s="415" t="s">
        <v>760</v>
      </c>
      <c r="B387" s="835" t="s">
        <v>761</v>
      </c>
      <c r="C387" s="835"/>
      <c r="D387" s="835"/>
      <c r="E387" s="648"/>
      <c r="F387" s="648" t="s">
        <v>307</v>
      </c>
      <c r="G387" s="978">
        <v>0</v>
      </c>
      <c r="H387" s="978"/>
      <c r="I387" s="1011">
        <f>G387</f>
        <v>0</v>
      </c>
      <c r="J387" s="1011"/>
    </row>
    <row r="388" spans="1:11" ht="30" hidden="1" customHeight="1" x14ac:dyDescent="0.3">
      <c r="A388" s="415" t="s">
        <v>762</v>
      </c>
      <c r="B388" s="835" t="s">
        <v>764</v>
      </c>
      <c r="C388" s="835"/>
      <c r="D388" s="835"/>
      <c r="E388" s="648">
        <v>10</v>
      </c>
      <c r="F388" s="648" t="s">
        <v>307</v>
      </c>
      <c r="G388" s="978">
        <v>0</v>
      </c>
      <c r="H388" s="978"/>
      <c r="I388" s="1011">
        <f t="shared" ref="I388:I393" si="28">E388*G388</f>
        <v>0</v>
      </c>
      <c r="J388" s="1011"/>
    </row>
    <row r="389" spans="1:11" ht="30" hidden="1" customHeight="1" x14ac:dyDescent="0.3">
      <c r="A389" s="415" t="s">
        <v>763</v>
      </c>
      <c r="B389" s="835" t="s">
        <v>765</v>
      </c>
      <c r="C389" s="835"/>
      <c r="D389" s="835"/>
      <c r="E389" s="648">
        <v>1</v>
      </c>
      <c r="F389" s="648" t="s">
        <v>307</v>
      </c>
      <c r="G389" s="978">
        <v>0</v>
      </c>
      <c r="H389" s="978"/>
      <c r="I389" s="1011">
        <f t="shared" si="28"/>
        <v>0</v>
      </c>
      <c r="J389" s="1011"/>
    </row>
    <row r="390" spans="1:11" ht="30" hidden="1" customHeight="1" x14ac:dyDescent="0.3">
      <c r="A390" s="415" t="s">
        <v>766</v>
      </c>
      <c r="B390" s="809" t="s">
        <v>768</v>
      </c>
      <c r="C390" s="810"/>
      <c r="D390" s="811"/>
      <c r="E390" s="648">
        <v>10</v>
      </c>
      <c r="F390" s="648" t="s">
        <v>307</v>
      </c>
      <c r="G390" s="823">
        <v>0</v>
      </c>
      <c r="H390" s="824"/>
      <c r="I390" s="995">
        <f t="shared" si="28"/>
        <v>0</v>
      </c>
      <c r="J390" s="996"/>
    </row>
    <row r="391" spans="1:11" ht="30" hidden="1" customHeight="1" x14ac:dyDescent="0.3">
      <c r="A391" s="415" t="s">
        <v>767</v>
      </c>
      <c r="B391" s="809" t="s">
        <v>895</v>
      </c>
      <c r="C391" s="810"/>
      <c r="D391" s="811"/>
      <c r="E391" s="648">
        <v>1</v>
      </c>
      <c r="F391" s="648" t="s">
        <v>307</v>
      </c>
      <c r="G391" s="823">
        <v>0</v>
      </c>
      <c r="H391" s="824"/>
      <c r="I391" s="995">
        <f t="shared" si="28"/>
        <v>0</v>
      </c>
      <c r="J391" s="996"/>
    </row>
    <row r="392" spans="1:11" ht="30" hidden="1" customHeight="1" x14ac:dyDescent="0.3">
      <c r="A392" s="415" t="s">
        <v>770</v>
      </c>
      <c r="B392" s="809" t="s">
        <v>772</v>
      </c>
      <c r="C392" s="810"/>
      <c r="D392" s="811"/>
      <c r="E392" s="648">
        <v>2</v>
      </c>
      <c r="F392" s="648" t="s">
        <v>307</v>
      </c>
      <c r="G392" s="823">
        <v>0</v>
      </c>
      <c r="H392" s="824"/>
      <c r="I392" s="995">
        <f t="shared" si="28"/>
        <v>0</v>
      </c>
      <c r="J392" s="996"/>
    </row>
    <row r="393" spans="1:11" ht="30" hidden="1" customHeight="1" x14ac:dyDescent="0.3">
      <c r="A393" s="415" t="s">
        <v>771</v>
      </c>
      <c r="B393" s="809" t="s">
        <v>773</v>
      </c>
      <c r="C393" s="810"/>
      <c r="D393" s="811"/>
      <c r="E393" s="648">
        <v>1</v>
      </c>
      <c r="F393" s="648" t="s">
        <v>307</v>
      </c>
      <c r="G393" s="823">
        <v>0</v>
      </c>
      <c r="H393" s="824"/>
      <c r="I393" s="995">
        <f t="shared" si="28"/>
        <v>0</v>
      </c>
      <c r="J393" s="996"/>
    </row>
    <row r="394" spans="1:11" ht="17.25" customHeight="1" x14ac:dyDescent="0.3">
      <c r="A394" s="576"/>
      <c r="B394" s="847" t="s">
        <v>13</v>
      </c>
      <c r="C394" s="847"/>
      <c r="D394" s="847"/>
      <c r="E394" s="1002" t="s">
        <v>74</v>
      </c>
      <c r="F394" s="1003"/>
      <c r="G394" s="842" t="s">
        <v>14</v>
      </c>
      <c r="H394" s="842"/>
      <c r="I394" s="1055">
        <f>I359</f>
        <v>3172300</v>
      </c>
      <c r="J394" s="1055"/>
    </row>
    <row r="395" spans="1:11" ht="21.75" customHeight="1" x14ac:dyDescent="0.3">
      <c r="A395" s="1004" t="s">
        <v>384</v>
      </c>
      <c r="B395" s="1004"/>
      <c r="C395" s="1004"/>
      <c r="D395" s="1004"/>
      <c r="E395" s="1004"/>
      <c r="F395" s="1004"/>
      <c r="G395" s="1004"/>
      <c r="H395" s="1004"/>
      <c r="I395" s="1004"/>
      <c r="J395" s="1004"/>
    </row>
    <row r="396" spans="1:11" ht="21.75" hidden="1" customHeight="1" x14ac:dyDescent="0.3">
      <c r="A396" s="871" t="s">
        <v>545</v>
      </c>
      <c r="B396" s="871"/>
      <c r="C396" s="871"/>
      <c r="D396" s="871"/>
      <c r="E396" s="871"/>
      <c r="F396" s="871"/>
      <c r="G396" s="871"/>
      <c r="H396" s="871"/>
      <c r="I396" s="871"/>
      <c r="J396" s="871"/>
    </row>
    <row r="397" spans="1:11" ht="21.75" hidden="1" customHeight="1" x14ac:dyDescent="0.3">
      <c r="A397" s="566" t="s">
        <v>1</v>
      </c>
      <c r="B397" s="778" t="s">
        <v>15</v>
      </c>
      <c r="C397" s="778"/>
      <c r="D397" s="778"/>
      <c r="E397" s="778" t="s">
        <v>58</v>
      </c>
      <c r="F397" s="778"/>
      <c r="G397" s="778" t="s">
        <v>66</v>
      </c>
      <c r="H397" s="778"/>
      <c r="I397" s="778" t="s">
        <v>264</v>
      </c>
      <c r="J397" s="778"/>
      <c r="K397" s="867" t="s">
        <v>728</v>
      </c>
    </row>
    <row r="398" spans="1:11" ht="21.75" hidden="1" customHeight="1" x14ac:dyDescent="0.3">
      <c r="A398" s="566">
        <v>1</v>
      </c>
      <c r="B398" s="778">
        <v>2</v>
      </c>
      <c r="C398" s="778"/>
      <c r="D398" s="778"/>
      <c r="E398" s="778">
        <v>3</v>
      </c>
      <c r="F398" s="778"/>
      <c r="G398" s="778">
        <v>4</v>
      </c>
      <c r="H398" s="778"/>
      <c r="I398" s="778">
        <v>5</v>
      </c>
      <c r="J398" s="778"/>
      <c r="K398" s="867"/>
    </row>
    <row r="399" spans="1:11" ht="39.75" hidden="1" customHeight="1" x14ac:dyDescent="0.3">
      <c r="A399" s="578" t="s">
        <v>70</v>
      </c>
      <c r="B399" s="827" t="s">
        <v>172</v>
      </c>
      <c r="C399" s="828"/>
      <c r="D399" s="829"/>
      <c r="E399" s="457"/>
      <c r="F399" s="457"/>
      <c r="G399" s="812"/>
      <c r="H399" s="814"/>
      <c r="I399" s="997">
        <f>SUM(I400:J401)</f>
        <v>0</v>
      </c>
      <c r="J399" s="998"/>
      <c r="K399" s="843" t="s">
        <v>878</v>
      </c>
    </row>
    <row r="400" spans="1:11" ht="35.25" hidden="1" customHeight="1" x14ac:dyDescent="0.3">
      <c r="A400" s="576" t="s">
        <v>27</v>
      </c>
      <c r="B400" s="835" t="s">
        <v>173</v>
      </c>
      <c r="C400" s="835"/>
      <c r="D400" s="835"/>
      <c r="E400" s="648" t="s">
        <v>308</v>
      </c>
      <c r="F400" s="577">
        <v>872</v>
      </c>
      <c r="G400" s="978" t="s">
        <v>260</v>
      </c>
      <c r="H400" s="978"/>
      <c r="I400" s="991">
        <v>0</v>
      </c>
      <c r="J400" s="992"/>
      <c r="K400" s="844"/>
    </row>
    <row r="401" spans="1:12" ht="21.75" hidden="1" customHeight="1" x14ac:dyDescent="0.3">
      <c r="A401" s="415" t="s">
        <v>27</v>
      </c>
      <c r="B401" s="1008"/>
      <c r="C401" s="1009"/>
      <c r="D401" s="1010"/>
      <c r="E401" s="648"/>
      <c r="F401" s="416"/>
      <c r="G401" s="978"/>
      <c r="H401" s="978"/>
      <c r="I401" s="991"/>
      <c r="J401" s="992"/>
      <c r="K401" s="844"/>
    </row>
    <row r="402" spans="1:12" ht="21.75" hidden="1" customHeight="1" x14ac:dyDescent="0.3">
      <c r="A402" s="576"/>
      <c r="B402" s="847" t="s">
        <v>13</v>
      </c>
      <c r="C402" s="847"/>
      <c r="D402" s="847"/>
      <c r="E402" s="1045" t="s">
        <v>74</v>
      </c>
      <c r="F402" s="1046"/>
      <c r="G402" s="842" t="s">
        <v>14</v>
      </c>
      <c r="H402" s="842"/>
      <c r="I402" s="848">
        <f>I399</f>
        <v>0</v>
      </c>
      <c r="J402" s="1007"/>
      <c r="K402" s="845"/>
    </row>
    <row r="403" spans="1:12" hidden="1" x14ac:dyDescent="0.3">
      <c r="A403" s="871" t="s">
        <v>546</v>
      </c>
      <c r="B403" s="871"/>
      <c r="C403" s="871"/>
      <c r="D403" s="871"/>
      <c r="E403" s="871"/>
      <c r="F403" s="871"/>
      <c r="G403" s="871"/>
      <c r="H403" s="871"/>
      <c r="I403" s="871"/>
      <c r="J403" s="871"/>
    </row>
    <row r="404" spans="1:12" ht="15" hidden="1" customHeight="1" x14ac:dyDescent="0.3">
      <c r="A404" s="566" t="s">
        <v>1</v>
      </c>
      <c r="B404" s="778" t="s">
        <v>15</v>
      </c>
      <c r="C404" s="778"/>
      <c r="D404" s="778"/>
      <c r="E404" s="778" t="s">
        <v>58</v>
      </c>
      <c r="F404" s="778"/>
      <c r="G404" s="778" t="s">
        <v>66</v>
      </c>
      <c r="H404" s="778"/>
      <c r="I404" s="778" t="s">
        <v>264</v>
      </c>
      <c r="J404" s="778"/>
    </row>
    <row r="405" spans="1:12" hidden="1" x14ac:dyDescent="0.3">
      <c r="A405" s="566">
        <v>1</v>
      </c>
      <c r="B405" s="778">
        <v>2</v>
      </c>
      <c r="C405" s="778"/>
      <c r="D405" s="778"/>
      <c r="E405" s="778">
        <v>3</v>
      </c>
      <c r="F405" s="778"/>
      <c r="G405" s="778">
        <v>4</v>
      </c>
      <c r="H405" s="778"/>
      <c r="I405" s="778">
        <v>5</v>
      </c>
      <c r="J405" s="778"/>
    </row>
    <row r="406" spans="1:12" ht="30.75" hidden="1" customHeight="1" x14ac:dyDescent="0.3">
      <c r="A406" s="576" t="s">
        <v>70</v>
      </c>
      <c r="B406" s="809" t="s">
        <v>172</v>
      </c>
      <c r="C406" s="810"/>
      <c r="D406" s="811"/>
      <c r="E406" s="648"/>
      <c r="F406" s="648"/>
      <c r="G406" s="820"/>
      <c r="H406" s="822"/>
      <c r="I406" s="991">
        <f>SUM(I407:J408)</f>
        <v>0</v>
      </c>
      <c r="J406" s="992"/>
      <c r="K406" s="348"/>
      <c r="L406" s="331"/>
    </row>
    <row r="407" spans="1:12" hidden="1" x14ac:dyDescent="0.3">
      <c r="A407" s="576" t="s">
        <v>27</v>
      </c>
      <c r="B407" s="1042" t="s">
        <v>173</v>
      </c>
      <c r="C407" s="1042"/>
      <c r="D407" s="1042"/>
      <c r="E407" s="648" t="s">
        <v>308</v>
      </c>
      <c r="F407" s="577"/>
      <c r="G407" s="978" t="s">
        <v>260</v>
      </c>
      <c r="H407" s="978"/>
      <c r="I407" s="991"/>
      <c r="J407" s="992"/>
      <c r="K407" s="348"/>
      <c r="L407" s="331"/>
    </row>
    <row r="408" spans="1:12" hidden="1" x14ac:dyDescent="0.3">
      <c r="A408" s="415" t="s">
        <v>27</v>
      </c>
      <c r="B408" s="1008"/>
      <c r="C408" s="1009"/>
      <c r="D408" s="1010"/>
      <c r="E408" s="648"/>
      <c r="F408" s="416"/>
      <c r="G408" s="978"/>
      <c r="H408" s="978"/>
      <c r="I408" s="991"/>
      <c r="J408" s="992"/>
    </row>
    <row r="409" spans="1:12" s="425" customFormat="1" ht="15" hidden="1" customHeight="1" x14ac:dyDescent="0.3">
      <c r="A409" s="576"/>
      <c r="B409" s="847" t="s">
        <v>13</v>
      </c>
      <c r="C409" s="847"/>
      <c r="D409" s="847"/>
      <c r="E409" s="1045" t="s">
        <v>74</v>
      </c>
      <c r="F409" s="1046"/>
      <c r="G409" s="842" t="s">
        <v>14</v>
      </c>
      <c r="H409" s="842"/>
      <c r="I409" s="834">
        <f>I406</f>
        <v>0</v>
      </c>
      <c r="J409" s="842"/>
      <c r="K409" s="424"/>
    </row>
    <row r="410" spans="1:12" s="425" customFormat="1" ht="15" customHeight="1" x14ac:dyDescent="0.3">
      <c r="A410" s="871" t="s">
        <v>547</v>
      </c>
      <c r="B410" s="871"/>
      <c r="C410" s="871"/>
      <c r="D410" s="871"/>
      <c r="E410" s="871"/>
      <c r="F410" s="871"/>
      <c r="G410" s="871"/>
      <c r="H410" s="871"/>
      <c r="I410" s="871"/>
      <c r="J410" s="871"/>
      <c r="K410" s="424"/>
    </row>
    <row r="411" spans="1:12" s="425" customFormat="1" ht="15" customHeight="1" x14ac:dyDescent="0.3">
      <c r="A411" s="566" t="s">
        <v>1</v>
      </c>
      <c r="B411" s="778" t="s">
        <v>15</v>
      </c>
      <c r="C411" s="778"/>
      <c r="D411" s="778"/>
      <c r="E411" s="778" t="s">
        <v>58</v>
      </c>
      <c r="F411" s="778"/>
      <c r="G411" s="778" t="s">
        <v>66</v>
      </c>
      <c r="H411" s="778"/>
      <c r="I411" s="778" t="s">
        <v>264</v>
      </c>
      <c r="J411" s="778"/>
      <c r="K411" s="424"/>
    </row>
    <row r="412" spans="1:12" s="425" customFormat="1" ht="15" customHeight="1" x14ac:dyDescent="0.3">
      <c r="A412" s="566">
        <v>1</v>
      </c>
      <c r="B412" s="778">
        <v>2</v>
      </c>
      <c r="C412" s="778"/>
      <c r="D412" s="778"/>
      <c r="E412" s="778">
        <v>3</v>
      </c>
      <c r="F412" s="778"/>
      <c r="G412" s="778">
        <v>4</v>
      </c>
      <c r="H412" s="778"/>
      <c r="I412" s="778">
        <v>5</v>
      </c>
      <c r="J412" s="778"/>
      <c r="K412" s="424"/>
    </row>
    <row r="413" spans="1:12" s="425" customFormat="1" ht="39.75" customHeight="1" x14ac:dyDescent="0.3">
      <c r="A413" s="576" t="s">
        <v>70</v>
      </c>
      <c r="B413" s="809" t="s">
        <v>172</v>
      </c>
      <c r="C413" s="810"/>
      <c r="D413" s="811"/>
      <c r="E413" s="648"/>
      <c r="F413" s="648"/>
      <c r="G413" s="820"/>
      <c r="H413" s="822"/>
      <c r="I413" s="991">
        <f>SUM(I414:J415)</f>
        <v>60000</v>
      </c>
      <c r="J413" s="992"/>
      <c r="K413" s="424"/>
    </row>
    <row r="414" spans="1:12" s="425" customFormat="1" ht="22.5" customHeight="1" x14ac:dyDescent="0.3">
      <c r="A414" s="576" t="s">
        <v>27</v>
      </c>
      <c r="B414" s="1042" t="s">
        <v>549</v>
      </c>
      <c r="C414" s="1042"/>
      <c r="D414" s="1042"/>
      <c r="E414" s="648"/>
      <c r="F414" s="577"/>
      <c r="G414" s="978" t="s">
        <v>260</v>
      </c>
      <c r="H414" s="978"/>
      <c r="I414" s="991">
        <v>60000</v>
      </c>
      <c r="J414" s="992"/>
      <c r="K414" s="424"/>
    </row>
    <row r="415" spans="1:12" s="426" customFormat="1" ht="15" hidden="1" customHeight="1" x14ac:dyDescent="0.3">
      <c r="A415" s="415" t="s">
        <v>27</v>
      </c>
      <c r="B415" s="1008"/>
      <c r="C415" s="1009"/>
      <c r="D415" s="1010"/>
      <c r="E415" s="648"/>
      <c r="F415" s="416"/>
      <c r="G415" s="978"/>
      <c r="H415" s="978"/>
      <c r="I415" s="991"/>
      <c r="J415" s="992"/>
      <c r="K415" s="424"/>
    </row>
    <row r="416" spans="1:12" s="425" customFormat="1" ht="18" customHeight="1" x14ac:dyDescent="0.3">
      <c r="A416" s="576"/>
      <c r="B416" s="847" t="s">
        <v>13</v>
      </c>
      <c r="C416" s="847"/>
      <c r="D416" s="847"/>
      <c r="E416" s="1045" t="s">
        <v>74</v>
      </c>
      <c r="F416" s="1046"/>
      <c r="G416" s="842" t="s">
        <v>14</v>
      </c>
      <c r="H416" s="842"/>
      <c r="I416" s="848">
        <f>I413</f>
        <v>60000</v>
      </c>
      <c r="J416" s="1007"/>
      <c r="K416" s="424"/>
    </row>
    <row r="417" spans="1:11" s="426" customFormat="1" ht="15" hidden="1" customHeight="1" x14ac:dyDescent="0.3">
      <c r="A417" s="871" t="s">
        <v>548</v>
      </c>
      <c r="B417" s="871"/>
      <c r="C417" s="871"/>
      <c r="D417" s="871"/>
      <c r="E417" s="871"/>
      <c r="F417" s="871"/>
      <c r="G417" s="871"/>
      <c r="H417" s="871"/>
      <c r="I417" s="871"/>
      <c r="J417" s="871"/>
      <c r="K417" s="424"/>
    </row>
    <row r="418" spans="1:11" s="426" customFormat="1" ht="15" hidden="1" customHeight="1" x14ac:dyDescent="0.3">
      <c r="A418" s="566" t="s">
        <v>1</v>
      </c>
      <c r="B418" s="778" t="s">
        <v>15</v>
      </c>
      <c r="C418" s="778"/>
      <c r="D418" s="778"/>
      <c r="E418" s="778" t="s">
        <v>58</v>
      </c>
      <c r="F418" s="778"/>
      <c r="G418" s="778" t="s">
        <v>66</v>
      </c>
      <c r="H418" s="778"/>
      <c r="I418" s="778" t="s">
        <v>264</v>
      </c>
      <c r="J418" s="778"/>
      <c r="K418" s="1089" t="s">
        <v>779</v>
      </c>
    </row>
    <row r="419" spans="1:11" s="426" customFormat="1" ht="15" hidden="1" customHeight="1" x14ac:dyDescent="0.3">
      <c r="A419" s="566">
        <v>1</v>
      </c>
      <c r="B419" s="778">
        <v>2</v>
      </c>
      <c r="C419" s="778"/>
      <c r="D419" s="778"/>
      <c r="E419" s="778">
        <v>3</v>
      </c>
      <c r="F419" s="778"/>
      <c r="G419" s="778">
        <v>4</v>
      </c>
      <c r="H419" s="778"/>
      <c r="I419" s="778">
        <v>5</v>
      </c>
      <c r="J419" s="778"/>
      <c r="K419" s="1089"/>
    </row>
    <row r="420" spans="1:11" s="426" customFormat="1" ht="38.25" hidden="1" customHeight="1" x14ac:dyDescent="0.3">
      <c r="A420" s="576" t="s">
        <v>70</v>
      </c>
      <c r="B420" s="809" t="s">
        <v>172</v>
      </c>
      <c r="C420" s="810"/>
      <c r="D420" s="811"/>
      <c r="E420" s="648"/>
      <c r="F420" s="648"/>
      <c r="G420" s="820"/>
      <c r="H420" s="822"/>
      <c r="I420" s="991">
        <f>SUM(I421:J422)</f>
        <v>0</v>
      </c>
      <c r="J420" s="992"/>
      <c r="K420" s="1071" t="s">
        <v>729</v>
      </c>
    </row>
    <row r="421" spans="1:11" s="426" customFormat="1" ht="38.25" hidden="1" customHeight="1" x14ac:dyDescent="0.3">
      <c r="A421" s="576" t="s">
        <v>27</v>
      </c>
      <c r="B421" s="1042" t="s">
        <v>730</v>
      </c>
      <c r="C421" s="1042"/>
      <c r="D421" s="1042"/>
      <c r="E421" s="648" t="s">
        <v>308</v>
      </c>
      <c r="F421" s="577"/>
      <c r="G421" s="978" t="s">
        <v>260</v>
      </c>
      <c r="H421" s="978"/>
      <c r="I421" s="991">
        <v>0</v>
      </c>
      <c r="J421" s="992"/>
      <c r="K421" s="1071"/>
    </row>
    <row r="422" spans="1:11" s="426" customFormat="1" ht="15" hidden="1" customHeight="1" x14ac:dyDescent="0.3">
      <c r="A422" s="415" t="s">
        <v>27</v>
      </c>
      <c r="B422" s="1008"/>
      <c r="C422" s="1009"/>
      <c r="D422" s="1010"/>
      <c r="E422" s="648"/>
      <c r="F422" s="416"/>
      <c r="G422" s="978"/>
      <c r="H422" s="978"/>
      <c r="I422" s="991"/>
      <c r="J422" s="992"/>
      <c r="K422" s="1071"/>
    </row>
    <row r="423" spans="1:11" s="426" customFormat="1" ht="15" hidden="1" customHeight="1" x14ac:dyDescent="0.3">
      <c r="A423" s="576"/>
      <c r="B423" s="847" t="s">
        <v>13</v>
      </c>
      <c r="C423" s="847"/>
      <c r="D423" s="847"/>
      <c r="E423" s="1045" t="s">
        <v>74</v>
      </c>
      <c r="F423" s="1046"/>
      <c r="G423" s="842" t="s">
        <v>14</v>
      </c>
      <c r="H423" s="842"/>
      <c r="I423" s="834">
        <f>I420</f>
        <v>0</v>
      </c>
      <c r="J423" s="842"/>
      <c r="K423" s="424"/>
    </row>
    <row r="424" spans="1:11" s="426" customFormat="1" ht="15" customHeight="1" x14ac:dyDescent="0.3">
      <c r="A424" s="871" t="s">
        <v>551</v>
      </c>
      <c r="B424" s="871"/>
      <c r="C424" s="871"/>
      <c r="D424" s="871"/>
      <c r="E424" s="871"/>
      <c r="F424" s="871"/>
      <c r="G424" s="871"/>
      <c r="H424" s="871"/>
      <c r="I424" s="871"/>
      <c r="J424" s="871"/>
      <c r="K424" s="424"/>
    </row>
    <row r="425" spans="1:11" s="426" customFormat="1" ht="15" customHeight="1" x14ac:dyDescent="0.3">
      <c r="A425" s="566" t="s">
        <v>1</v>
      </c>
      <c r="B425" s="778" t="s">
        <v>15</v>
      </c>
      <c r="C425" s="778"/>
      <c r="D425" s="778"/>
      <c r="E425" s="778" t="s">
        <v>58</v>
      </c>
      <c r="F425" s="778"/>
      <c r="G425" s="778" t="s">
        <v>66</v>
      </c>
      <c r="H425" s="778"/>
      <c r="I425" s="778" t="s">
        <v>264</v>
      </c>
      <c r="J425" s="778"/>
      <c r="K425" s="1070" t="s">
        <v>780</v>
      </c>
    </row>
    <row r="426" spans="1:11" s="426" customFormat="1" ht="15" customHeight="1" x14ac:dyDescent="0.3">
      <c r="A426" s="566">
        <v>1</v>
      </c>
      <c r="B426" s="778">
        <v>2</v>
      </c>
      <c r="C426" s="778"/>
      <c r="D426" s="778"/>
      <c r="E426" s="778">
        <v>3</v>
      </c>
      <c r="F426" s="778"/>
      <c r="G426" s="778">
        <v>4</v>
      </c>
      <c r="H426" s="778"/>
      <c r="I426" s="778">
        <v>5</v>
      </c>
      <c r="J426" s="778"/>
      <c r="K426" s="1070"/>
    </row>
    <row r="427" spans="1:11" s="426" customFormat="1" ht="36" customHeight="1" x14ac:dyDescent="0.3">
      <c r="A427" s="576" t="s">
        <v>70</v>
      </c>
      <c r="B427" s="809" t="s">
        <v>172</v>
      </c>
      <c r="C427" s="810"/>
      <c r="D427" s="811"/>
      <c r="E427" s="648"/>
      <c r="F427" s="648"/>
      <c r="G427" s="820"/>
      <c r="H427" s="822"/>
      <c r="I427" s="991">
        <f>35000+4500</f>
        <v>39500</v>
      </c>
      <c r="J427" s="992"/>
      <c r="K427" s="1071" t="s">
        <v>847</v>
      </c>
    </row>
    <row r="428" spans="1:11" s="426" customFormat="1" ht="15" customHeight="1" x14ac:dyDescent="0.3">
      <c r="A428" s="576" t="s">
        <v>27</v>
      </c>
      <c r="B428" s="1042" t="s">
        <v>550</v>
      </c>
      <c r="C428" s="1042"/>
      <c r="D428" s="1042"/>
      <c r="E428" s="648" t="s">
        <v>308</v>
      </c>
      <c r="F428" s="577">
        <v>856</v>
      </c>
      <c r="G428" s="978" t="s">
        <v>260</v>
      </c>
      <c r="H428" s="978"/>
      <c r="I428" s="1081">
        <f>I427</f>
        <v>39500</v>
      </c>
      <c r="J428" s="1082"/>
      <c r="K428" s="1071"/>
    </row>
    <row r="429" spans="1:11" s="426" customFormat="1" ht="0.75" hidden="1" customHeight="1" x14ac:dyDescent="0.3">
      <c r="A429" s="415" t="s">
        <v>27</v>
      </c>
      <c r="B429" s="1008" t="s">
        <v>774</v>
      </c>
      <c r="C429" s="1009"/>
      <c r="D429" s="1010"/>
      <c r="E429" s="648"/>
      <c r="F429" s="416"/>
      <c r="G429" s="978"/>
      <c r="H429" s="978"/>
      <c r="I429" s="991">
        <v>0</v>
      </c>
      <c r="J429" s="992"/>
      <c r="K429" s="1071"/>
    </row>
    <row r="430" spans="1:11" s="425" customFormat="1" x14ac:dyDescent="0.3">
      <c r="A430" s="1076" t="s">
        <v>552</v>
      </c>
      <c r="B430" s="1076"/>
      <c r="C430" s="1076"/>
      <c r="D430" s="1076"/>
      <c r="E430" s="1076"/>
      <c r="F430" s="1076"/>
      <c r="G430" s="1076"/>
      <c r="H430" s="1076"/>
      <c r="I430" s="1076"/>
      <c r="J430" s="1076"/>
      <c r="K430" s="424"/>
    </row>
    <row r="431" spans="1:11" s="425" customFormat="1" ht="13.8" x14ac:dyDescent="0.3">
      <c r="A431" s="566" t="s">
        <v>1</v>
      </c>
      <c r="B431" s="778" t="s">
        <v>15</v>
      </c>
      <c r="C431" s="778"/>
      <c r="D431" s="778"/>
      <c r="E431" s="778" t="s">
        <v>58</v>
      </c>
      <c r="F431" s="778"/>
      <c r="G431" s="778" t="s">
        <v>66</v>
      </c>
      <c r="H431" s="778"/>
      <c r="I431" s="778" t="s">
        <v>264</v>
      </c>
      <c r="J431" s="778"/>
      <c r="K431" s="1070" t="s">
        <v>781</v>
      </c>
    </row>
    <row r="432" spans="1:11" s="425" customFormat="1" ht="13.8" x14ac:dyDescent="0.3">
      <c r="A432" s="566">
        <v>1</v>
      </c>
      <c r="B432" s="778">
        <v>2</v>
      </c>
      <c r="C432" s="778"/>
      <c r="D432" s="778"/>
      <c r="E432" s="778">
        <v>3</v>
      </c>
      <c r="F432" s="778"/>
      <c r="G432" s="778">
        <v>4</v>
      </c>
      <c r="H432" s="778"/>
      <c r="I432" s="778">
        <v>5</v>
      </c>
      <c r="J432" s="778"/>
      <c r="K432" s="1070"/>
    </row>
    <row r="433" spans="1:12" s="425" customFormat="1" ht="46.5" customHeight="1" x14ac:dyDescent="0.3">
      <c r="A433" s="578">
        <v>1</v>
      </c>
      <c r="B433" s="827" t="s">
        <v>172</v>
      </c>
      <c r="C433" s="828"/>
      <c r="D433" s="829"/>
      <c r="E433" s="457"/>
      <c r="F433" s="457"/>
      <c r="G433" s="812"/>
      <c r="H433" s="814"/>
      <c r="I433" s="1048">
        <f>I434+I435+I437+I436</f>
        <v>250000</v>
      </c>
      <c r="J433" s="1049"/>
      <c r="K433" s="1071" t="s">
        <v>783</v>
      </c>
    </row>
    <row r="434" spans="1:12" s="425" customFormat="1" ht="20.25" customHeight="1" x14ac:dyDescent="0.3">
      <c r="A434" s="576" t="s">
        <v>27</v>
      </c>
      <c r="B434" s="1042" t="s">
        <v>553</v>
      </c>
      <c r="C434" s="1042"/>
      <c r="D434" s="1042"/>
      <c r="E434" s="648" t="s">
        <v>308</v>
      </c>
      <c r="F434" s="577">
        <v>856</v>
      </c>
      <c r="G434" s="978"/>
      <c r="H434" s="978"/>
      <c r="I434" s="1047">
        <v>150000</v>
      </c>
      <c r="J434" s="1012"/>
      <c r="K434" s="1071"/>
    </row>
    <row r="435" spans="1:12" s="425" customFormat="1" ht="21.75" customHeight="1" x14ac:dyDescent="0.3">
      <c r="A435" s="576" t="s">
        <v>29</v>
      </c>
      <c r="B435" s="1042" t="s">
        <v>554</v>
      </c>
      <c r="C435" s="1042"/>
      <c r="D435" s="1042"/>
      <c r="E435" s="648" t="s">
        <v>308</v>
      </c>
      <c r="F435" s="577">
        <v>856</v>
      </c>
      <c r="G435" s="978"/>
      <c r="H435" s="978"/>
      <c r="I435" s="1047">
        <v>100000</v>
      </c>
      <c r="J435" s="1012"/>
      <c r="K435" s="1071"/>
    </row>
    <row r="436" spans="1:12" s="425" customFormat="1" ht="14.4" hidden="1" x14ac:dyDescent="0.3">
      <c r="A436" s="576" t="s">
        <v>31</v>
      </c>
      <c r="B436" s="1008" t="s">
        <v>769</v>
      </c>
      <c r="C436" s="1009"/>
      <c r="D436" s="1010"/>
      <c r="E436" s="648"/>
      <c r="F436" s="577"/>
      <c r="G436" s="823"/>
      <c r="H436" s="824"/>
      <c r="I436" s="1072">
        <f>10000-10000</f>
        <v>0</v>
      </c>
      <c r="J436" s="1073"/>
      <c r="K436" s="1071"/>
    </row>
    <row r="437" spans="1:12" s="425" customFormat="1" ht="14.4" hidden="1" x14ac:dyDescent="0.3">
      <c r="A437" s="576" t="s">
        <v>268</v>
      </c>
      <c r="B437" s="1008" t="s">
        <v>775</v>
      </c>
      <c r="C437" s="1009"/>
      <c r="D437" s="1010"/>
      <c r="E437" s="648"/>
      <c r="F437" s="577"/>
      <c r="G437" s="823"/>
      <c r="H437" s="824"/>
      <c r="I437" s="1072">
        <v>0</v>
      </c>
      <c r="J437" s="1073"/>
      <c r="K437" s="1071"/>
    </row>
    <row r="438" spans="1:12" s="425" customFormat="1" ht="28.5" customHeight="1" x14ac:dyDescent="0.3">
      <c r="A438" s="456" t="s">
        <v>75</v>
      </c>
      <c r="B438" s="827" t="s">
        <v>187</v>
      </c>
      <c r="C438" s="828"/>
      <c r="D438" s="829"/>
      <c r="E438" s="457"/>
      <c r="F438" s="444"/>
      <c r="G438" s="1069"/>
      <c r="H438" s="1069"/>
      <c r="I438" s="1048">
        <f>I439+I440</f>
        <v>900000</v>
      </c>
      <c r="J438" s="1049"/>
      <c r="K438" s="1071"/>
    </row>
    <row r="439" spans="1:12" s="425" customFormat="1" ht="48.75" customHeight="1" x14ac:dyDescent="0.3">
      <c r="A439" s="415" t="s">
        <v>34</v>
      </c>
      <c r="B439" s="999" t="s">
        <v>555</v>
      </c>
      <c r="C439" s="1000"/>
      <c r="D439" s="1001"/>
      <c r="E439" s="648" t="s">
        <v>308</v>
      </c>
      <c r="F439" s="577">
        <v>856</v>
      </c>
      <c r="G439" s="978"/>
      <c r="H439" s="978"/>
      <c r="I439" s="1047">
        <v>500000</v>
      </c>
      <c r="J439" s="1012"/>
      <c r="K439" s="1071"/>
    </row>
    <row r="440" spans="1:12" s="425" customFormat="1" ht="65.25" customHeight="1" x14ac:dyDescent="0.3">
      <c r="A440" s="415" t="s">
        <v>36</v>
      </c>
      <c r="B440" s="999" t="s">
        <v>556</v>
      </c>
      <c r="C440" s="1000"/>
      <c r="D440" s="1001"/>
      <c r="E440" s="648" t="s">
        <v>308</v>
      </c>
      <c r="F440" s="577">
        <v>856</v>
      </c>
      <c r="G440" s="978"/>
      <c r="H440" s="978"/>
      <c r="I440" s="1047">
        <v>400000</v>
      </c>
      <c r="J440" s="1012"/>
      <c r="K440" s="1071"/>
    </row>
    <row r="441" spans="1:12" s="425" customFormat="1" ht="48" hidden="1" customHeight="1" x14ac:dyDescent="0.3">
      <c r="A441" s="576" t="s">
        <v>77</v>
      </c>
      <c r="B441" s="809" t="s">
        <v>534</v>
      </c>
      <c r="C441" s="810"/>
      <c r="D441" s="811"/>
      <c r="E441" s="858"/>
      <c r="F441" s="859"/>
      <c r="G441" s="858"/>
      <c r="H441" s="859"/>
      <c r="I441" s="1074">
        <f>I442</f>
        <v>0</v>
      </c>
      <c r="J441" s="1075"/>
      <c r="K441" s="1071"/>
    </row>
    <row r="442" spans="1:12" s="425" customFormat="1" ht="48" hidden="1" customHeight="1" x14ac:dyDescent="0.3">
      <c r="A442" s="415" t="s">
        <v>381</v>
      </c>
      <c r="B442" s="999" t="s">
        <v>632</v>
      </c>
      <c r="C442" s="1000"/>
      <c r="D442" s="1001"/>
      <c r="E442" s="648"/>
      <c r="F442" s="577"/>
      <c r="G442" s="823"/>
      <c r="H442" s="824"/>
      <c r="I442" s="1072">
        <v>0</v>
      </c>
      <c r="J442" s="1073"/>
      <c r="K442" s="1071"/>
    </row>
    <row r="443" spans="1:12" ht="74.25" customHeight="1" x14ac:dyDescent="0.3">
      <c r="A443" s="578" t="s">
        <v>77</v>
      </c>
      <c r="B443" s="827" t="s">
        <v>597</v>
      </c>
      <c r="C443" s="828"/>
      <c r="D443" s="829"/>
      <c r="E443" s="849" t="s">
        <v>74</v>
      </c>
      <c r="F443" s="850"/>
      <c r="G443" s="849" t="s">
        <v>74</v>
      </c>
      <c r="H443" s="850"/>
      <c r="I443" s="1079">
        <f>I444</f>
        <v>70000</v>
      </c>
      <c r="J443" s="1005"/>
      <c r="K443" s="1071"/>
    </row>
    <row r="444" spans="1:12" s="317" customFormat="1" ht="18.75" customHeight="1" x14ac:dyDescent="0.3">
      <c r="A444" s="415" t="s">
        <v>381</v>
      </c>
      <c r="B444" s="999" t="s">
        <v>799</v>
      </c>
      <c r="C444" s="1000"/>
      <c r="D444" s="1001"/>
      <c r="E444" s="648" t="s">
        <v>308</v>
      </c>
      <c r="F444" s="577">
        <v>856</v>
      </c>
      <c r="G444" s="978" t="s">
        <v>260</v>
      </c>
      <c r="H444" s="978"/>
      <c r="I444" s="1047">
        <v>70000</v>
      </c>
      <c r="J444" s="1012"/>
      <c r="K444" s="1071"/>
      <c r="L444" s="425"/>
    </row>
    <row r="445" spans="1:12" s="317" customFormat="1" ht="30" hidden="1" customHeight="1" x14ac:dyDescent="0.3">
      <c r="A445" s="415" t="s">
        <v>87</v>
      </c>
      <c r="B445" s="809" t="s">
        <v>614</v>
      </c>
      <c r="C445" s="810"/>
      <c r="D445" s="811"/>
      <c r="E445" s="565"/>
      <c r="F445" s="592"/>
      <c r="G445" s="823"/>
      <c r="H445" s="824"/>
      <c r="I445" s="1072">
        <f>SUM(I446:J446)</f>
        <v>0</v>
      </c>
      <c r="J445" s="1073"/>
      <c r="K445" s="1071"/>
      <c r="L445" s="425"/>
    </row>
    <row r="446" spans="1:12" s="317" customFormat="1" ht="30" hidden="1" customHeight="1" x14ac:dyDescent="0.3">
      <c r="A446" s="415" t="s">
        <v>531</v>
      </c>
      <c r="B446" s="820" t="s">
        <v>617</v>
      </c>
      <c r="C446" s="821"/>
      <c r="D446" s="822"/>
      <c r="E446" s="565"/>
      <c r="F446" s="592"/>
      <c r="G446" s="823"/>
      <c r="H446" s="824"/>
      <c r="I446" s="1072">
        <v>0</v>
      </c>
      <c r="J446" s="1073"/>
      <c r="K446" s="1071"/>
      <c r="L446" s="425"/>
    </row>
    <row r="447" spans="1:12" ht="14.4" hidden="1" x14ac:dyDescent="0.3">
      <c r="A447" s="415"/>
      <c r="B447" s="826"/>
      <c r="C447" s="826"/>
      <c r="D447" s="826"/>
      <c r="E447" s="648"/>
      <c r="F447" s="577"/>
      <c r="G447" s="978"/>
      <c r="H447" s="978"/>
      <c r="I447" s="1072"/>
      <c r="J447" s="1073"/>
      <c r="K447" s="1071"/>
    </row>
    <row r="448" spans="1:12" ht="15.75" customHeight="1" x14ac:dyDescent="0.3">
      <c r="A448" s="1076" t="s">
        <v>557</v>
      </c>
      <c r="B448" s="1076"/>
      <c r="C448" s="1076"/>
      <c r="D448" s="1076"/>
      <c r="E448" s="1076"/>
      <c r="F448" s="1076"/>
      <c r="G448" s="1076"/>
      <c r="H448" s="1076"/>
      <c r="I448" s="1076"/>
      <c r="J448" s="1076"/>
      <c r="K448" s="500"/>
    </row>
    <row r="449" spans="1:13" ht="25.5" customHeight="1" x14ac:dyDescent="0.3">
      <c r="A449" s="566" t="s">
        <v>1</v>
      </c>
      <c r="B449" s="778" t="s">
        <v>15</v>
      </c>
      <c r="C449" s="778"/>
      <c r="D449" s="778"/>
      <c r="E449" s="778" t="s">
        <v>58</v>
      </c>
      <c r="F449" s="778"/>
      <c r="G449" s="778" t="s">
        <v>66</v>
      </c>
      <c r="H449" s="778"/>
      <c r="I449" s="778" t="s">
        <v>264</v>
      </c>
      <c r="J449" s="855"/>
      <c r="K449" s="500"/>
    </row>
    <row r="450" spans="1:13" ht="15" customHeight="1" x14ac:dyDescent="0.3">
      <c r="A450" s="566">
        <v>1</v>
      </c>
      <c r="B450" s="778">
        <v>2</v>
      </c>
      <c r="C450" s="778"/>
      <c r="D450" s="778"/>
      <c r="E450" s="778">
        <v>3</v>
      </c>
      <c r="F450" s="778"/>
      <c r="G450" s="778">
        <v>4</v>
      </c>
      <c r="H450" s="778"/>
      <c r="I450" s="778">
        <v>5</v>
      </c>
      <c r="J450" s="855"/>
      <c r="K450" s="500"/>
    </row>
    <row r="451" spans="1:13" ht="36.75" customHeight="1" x14ac:dyDescent="0.3">
      <c r="A451" s="456" t="s">
        <v>70</v>
      </c>
      <c r="B451" s="827" t="s">
        <v>187</v>
      </c>
      <c r="C451" s="828"/>
      <c r="D451" s="829"/>
      <c r="E451" s="1045"/>
      <c r="F451" s="1046"/>
      <c r="G451" s="1069"/>
      <c r="H451" s="1069"/>
      <c r="I451" s="997">
        <f>I452</f>
        <v>30000</v>
      </c>
      <c r="J451" s="997"/>
      <c r="K451" s="500"/>
    </row>
    <row r="452" spans="1:13" ht="15" customHeight="1" x14ac:dyDescent="0.3">
      <c r="A452" s="415" t="s">
        <v>27</v>
      </c>
      <c r="B452" s="1042" t="s">
        <v>558</v>
      </c>
      <c r="C452" s="1042"/>
      <c r="D452" s="1042"/>
      <c r="E452" s="1062"/>
      <c r="F452" s="1063"/>
      <c r="G452" s="978"/>
      <c r="H452" s="978"/>
      <c r="I452" s="1068">
        <v>30000</v>
      </c>
      <c r="J452" s="1068"/>
      <c r="K452" s="500"/>
    </row>
    <row r="453" spans="1:13" ht="15" hidden="1" customHeight="1" x14ac:dyDescent="0.3">
      <c r="A453" s="415"/>
      <c r="B453" s="820"/>
      <c r="C453" s="821"/>
      <c r="D453" s="822"/>
      <c r="E453" s="1062"/>
      <c r="F453" s="1063"/>
      <c r="G453" s="823"/>
      <c r="H453" s="824"/>
      <c r="I453" s="633"/>
      <c r="J453" s="499"/>
      <c r="K453" s="500"/>
    </row>
    <row r="454" spans="1:13" ht="17.25" customHeight="1" x14ac:dyDescent="0.3">
      <c r="A454" s="415"/>
      <c r="B454" s="847" t="s">
        <v>605</v>
      </c>
      <c r="C454" s="847"/>
      <c r="D454" s="847"/>
      <c r="E454" s="1062"/>
      <c r="F454" s="1063"/>
      <c r="G454" s="978"/>
      <c r="H454" s="978"/>
      <c r="I454" s="1081">
        <f>I399+I406+I413+I420+I427+I433+I438+I441+I451+I443+I445</f>
        <v>1349500</v>
      </c>
      <c r="J454" s="1081"/>
      <c r="K454" s="501"/>
    </row>
    <row r="455" spans="1:13" hidden="1" x14ac:dyDescent="0.3">
      <c r="A455" s="1080" t="s">
        <v>385</v>
      </c>
      <c r="B455" s="1080"/>
      <c r="C455" s="1080"/>
      <c r="D455" s="1080"/>
      <c r="E455" s="1080"/>
      <c r="F455" s="1080"/>
      <c r="G455" s="1080"/>
      <c r="H455" s="1080"/>
      <c r="I455" s="1080"/>
      <c r="J455" s="1080"/>
    </row>
    <row r="456" spans="1:13" hidden="1" x14ac:dyDescent="0.3">
      <c r="A456" s="894" t="s">
        <v>1</v>
      </c>
      <c r="B456" s="885" t="s">
        <v>15</v>
      </c>
      <c r="C456" s="886"/>
      <c r="D456" s="887"/>
      <c r="E456" s="885" t="s">
        <v>64</v>
      </c>
      <c r="F456" s="887"/>
      <c r="G456" s="778" t="s">
        <v>65</v>
      </c>
      <c r="H456" s="778"/>
      <c r="I456" s="778"/>
      <c r="J456" s="778"/>
    </row>
    <row r="457" spans="1:13" hidden="1" x14ac:dyDescent="0.3">
      <c r="A457" s="895"/>
      <c r="B457" s="888"/>
      <c r="C457" s="889"/>
      <c r="D457" s="890"/>
      <c r="E457" s="888"/>
      <c r="F457" s="890"/>
      <c r="G457" s="566" t="s">
        <v>305</v>
      </c>
      <c r="H457" s="566" t="s">
        <v>302</v>
      </c>
      <c r="I457" s="566" t="s">
        <v>303</v>
      </c>
      <c r="J457" s="566" t="s">
        <v>304</v>
      </c>
    </row>
    <row r="458" spans="1:13" hidden="1" x14ac:dyDescent="0.3">
      <c r="A458" s="566">
        <v>1</v>
      </c>
      <c r="B458" s="778">
        <v>2</v>
      </c>
      <c r="C458" s="778"/>
      <c r="D458" s="778"/>
      <c r="E458" s="855">
        <v>3</v>
      </c>
      <c r="F458" s="857"/>
      <c r="G458" s="778">
        <v>4</v>
      </c>
      <c r="H458" s="778"/>
      <c r="I458" s="778"/>
      <c r="J458" s="778"/>
    </row>
    <row r="459" spans="1:13" hidden="1" x14ac:dyDescent="0.3">
      <c r="A459" s="576" t="s">
        <v>70</v>
      </c>
      <c r="B459" s="835" t="s">
        <v>346</v>
      </c>
      <c r="C459" s="835"/>
      <c r="D459" s="835"/>
      <c r="E459" s="820">
        <v>1</v>
      </c>
      <c r="F459" s="822"/>
      <c r="G459" s="576" t="s">
        <v>306</v>
      </c>
      <c r="H459" s="576">
        <v>1</v>
      </c>
      <c r="I459" s="170"/>
      <c r="J459" s="646">
        <v>0</v>
      </c>
    </row>
    <row r="460" spans="1:13" hidden="1" x14ac:dyDescent="0.3">
      <c r="A460" s="576" t="s">
        <v>75</v>
      </c>
      <c r="B460" s="835" t="s">
        <v>347</v>
      </c>
      <c r="C460" s="835"/>
      <c r="D460" s="835"/>
      <c r="E460" s="820">
        <v>1</v>
      </c>
      <c r="F460" s="822"/>
      <c r="G460" s="576" t="s">
        <v>306</v>
      </c>
      <c r="H460" s="576">
        <v>1</v>
      </c>
      <c r="I460" s="170"/>
      <c r="J460" s="646">
        <f t="shared" ref="J460:J461" si="29">H460*I460</f>
        <v>0</v>
      </c>
    </row>
    <row r="461" spans="1:13" hidden="1" x14ac:dyDescent="0.3">
      <c r="A461" s="576" t="s">
        <v>77</v>
      </c>
      <c r="B461" s="835" t="s">
        <v>342</v>
      </c>
      <c r="C461" s="835"/>
      <c r="D461" s="835"/>
      <c r="E461" s="820">
        <v>1</v>
      </c>
      <c r="F461" s="822"/>
      <c r="G461" s="576" t="s">
        <v>306</v>
      </c>
      <c r="H461" s="577">
        <v>1</v>
      </c>
      <c r="I461" s="170"/>
      <c r="J461" s="646">
        <f t="shared" si="29"/>
        <v>0</v>
      </c>
    </row>
    <row r="462" spans="1:13" hidden="1" x14ac:dyDescent="0.3">
      <c r="A462" s="335"/>
      <c r="B462" s="851" t="s">
        <v>13</v>
      </c>
      <c r="C462" s="851"/>
      <c r="D462" s="851"/>
      <c r="E462" s="852" t="s">
        <v>14</v>
      </c>
      <c r="F462" s="853"/>
      <c r="G462" s="1064">
        <f>SUM(J459:J461)</f>
        <v>0</v>
      </c>
      <c r="H462" s="1065"/>
      <c r="I462" s="1065"/>
      <c r="J462" s="1065"/>
    </row>
    <row r="463" spans="1:13" hidden="1" x14ac:dyDescent="0.3">
      <c r="A463" s="373"/>
      <c r="B463" s="373"/>
      <c r="C463" s="373"/>
      <c r="D463" s="373"/>
      <c r="E463" s="373"/>
      <c r="F463" s="373"/>
      <c r="G463" s="373"/>
      <c r="H463" s="373"/>
      <c r="I463" s="373"/>
      <c r="J463" s="587"/>
    </row>
    <row r="464" spans="1:13" ht="32.25" customHeight="1" x14ac:dyDescent="0.3">
      <c r="A464" s="373"/>
      <c r="B464" s="373"/>
      <c r="C464" s="373"/>
      <c r="D464" s="373"/>
      <c r="E464" s="373"/>
      <c r="F464" s="373"/>
      <c r="G464" s="373"/>
      <c r="H464" s="417" t="s">
        <v>212</v>
      </c>
      <c r="I464" s="1066">
        <f>J93+I100+I116+I121+I157+I176+I187+I204+I218+G301+G348+I454+I394+I262+I353</f>
        <v>167147091.995</v>
      </c>
      <c r="J464" s="1066"/>
      <c r="K464" s="345">
        <f>I116+I187+I204+I218+I249+I261+G301+G348+I353+I394+I402+I416+I428+I433</f>
        <v>39995091.994999997</v>
      </c>
      <c r="L464" s="323">
        <f>I466+I467+I472</f>
        <v>138326579.995</v>
      </c>
      <c r="M464" s="332"/>
    </row>
    <row r="465" spans="1:13" x14ac:dyDescent="0.3">
      <c r="A465" s="373"/>
      <c r="B465" s="373"/>
      <c r="C465" s="373"/>
      <c r="D465" s="373"/>
      <c r="E465" s="373"/>
      <c r="F465" s="373"/>
      <c r="G465" s="373"/>
      <c r="H465" s="418" t="s">
        <v>248</v>
      </c>
      <c r="I465" s="373"/>
      <c r="J465" s="587"/>
    </row>
    <row r="466" spans="1:13" ht="16.8" x14ac:dyDescent="0.4">
      <c r="A466" s="373"/>
      <c r="B466" s="373"/>
      <c r="C466" s="373"/>
      <c r="D466" s="373"/>
      <c r="E466" s="373"/>
      <c r="F466" s="373"/>
      <c r="G466" s="373"/>
      <c r="H466" s="418" t="s">
        <v>82</v>
      </c>
      <c r="I466" s="1067">
        <f>I107+I108+I110+I182+I183+I186+I202+I211+I249+I261+G301+J306+I399+I416+I428+I433</f>
        <v>8411999.995000001</v>
      </c>
      <c r="J466" s="1067"/>
      <c r="L466" s="332"/>
      <c r="M466" s="332"/>
    </row>
    <row r="467" spans="1:13" ht="16.8" x14ac:dyDescent="0.4">
      <c r="A467" s="373"/>
      <c r="B467" s="373"/>
      <c r="C467" s="373"/>
      <c r="D467" s="373"/>
      <c r="E467" s="373"/>
      <c r="F467" s="373"/>
      <c r="G467" s="373"/>
      <c r="H467" s="418" t="s">
        <v>249</v>
      </c>
      <c r="I467" s="1029">
        <f>J72+I99+I138+I217+I359+I438+I451+J336+I98</f>
        <v>129624300.00000001</v>
      </c>
      <c r="J467" s="1029"/>
      <c r="L467" s="332"/>
    </row>
    <row r="468" spans="1:13" ht="16.8" x14ac:dyDescent="0.4">
      <c r="A468" s="373"/>
      <c r="B468" s="373"/>
      <c r="C468" s="373"/>
      <c r="D468" s="373"/>
      <c r="E468" s="373"/>
      <c r="F468" s="373"/>
      <c r="G468" s="373"/>
      <c r="H468" s="418" t="s">
        <v>792</v>
      </c>
      <c r="I468" s="1029">
        <f>J333+I176+J334+J335</f>
        <v>22796300</v>
      </c>
      <c r="J468" s="1029"/>
      <c r="L468" s="173">
        <f>2401741+15643600+2935418</f>
        <v>20980759</v>
      </c>
      <c r="M468" s="323">
        <f>L468-I468</f>
        <v>-1815541</v>
      </c>
    </row>
    <row r="469" spans="1:13" ht="16.8" x14ac:dyDescent="0.4">
      <c r="A469" s="373"/>
      <c r="B469" s="373"/>
      <c r="C469" s="373"/>
      <c r="D469" s="373"/>
      <c r="E469" s="373"/>
      <c r="F469" s="373"/>
      <c r="G469" s="373"/>
      <c r="H469" s="418" t="s">
        <v>561</v>
      </c>
      <c r="I469" s="1029">
        <f>I155+I203+J346+I442+I114+J74</f>
        <v>0</v>
      </c>
      <c r="J469" s="1029"/>
      <c r="K469" s="345"/>
      <c r="L469" s="323"/>
    </row>
    <row r="470" spans="1:13" ht="16.8" x14ac:dyDescent="0.4">
      <c r="A470" s="373"/>
      <c r="B470" s="373"/>
      <c r="C470" s="373"/>
      <c r="D470" s="373"/>
      <c r="E470" s="373"/>
      <c r="F470" s="373"/>
      <c r="G470" s="373"/>
      <c r="H470" s="418" t="s">
        <v>562</v>
      </c>
      <c r="I470" s="1029">
        <f>J344</f>
        <v>0</v>
      </c>
      <c r="J470" s="1029"/>
      <c r="L470" s="323"/>
    </row>
    <row r="471" spans="1:13" ht="16.8" x14ac:dyDescent="0.4">
      <c r="A471" s="373"/>
      <c r="B471" s="373"/>
      <c r="C471" s="373"/>
      <c r="D471" s="373"/>
      <c r="E471" s="373"/>
      <c r="F471" s="373"/>
      <c r="G471" s="373"/>
      <c r="H471" s="418" t="s">
        <v>563</v>
      </c>
      <c r="I471" s="1029">
        <f>J345</f>
        <v>0</v>
      </c>
      <c r="J471" s="1029"/>
    </row>
    <row r="472" spans="1:13" ht="16.8" x14ac:dyDescent="0.4">
      <c r="A472" s="373"/>
      <c r="B472" s="373"/>
      <c r="C472" s="373"/>
      <c r="D472" s="373"/>
      <c r="E472" s="373"/>
      <c r="F472" s="373"/>
      <c r="G472" s="373"/>
      <c r="H472" s="418" t="s">
        <v>565</v>
      </c>
      <c r="I472" s="1029">
        <f>J341+I443+J73+I115+I156+I380</f>
        <v>290280</v>
      </c>
      <c r="J472" s="1029"/>
    </row>
    <row r="473" spans="1:13" ht="16.8" x14ac:dyDescent="0.4">
      <c r="A473" s="373"/>
      <c r="B473" s="373"/>
      <c r="C473" s="373"/>
      <c r="D473" s="373"/>
      <c r="E473" s="373"/>
      <c r="F473" s="373"/>
      <c r="G473" s="373"/>
      <c r="H473" s="418" t="s">
        <v>564</v>
      </c>
      <c r="I473" s="1029">
        <f>J92+I154</f>
        <v>250000</v>
      </c>
      <c r="J473" s="1029"/>
    </row>
    <row r="474" spans="1:13" ht="15" customHeight="1" x14ac:dyDescent="0.4">
      <c r="A474" s="373"/>
      <c r="B474" s="373"/>
      <c r="C474" s="373"/>
      <c r="D474" s="373"/>
      <c r="E474" s="373"/>
      <c r="F474" s="373"/>
      <c r="G474" s="373"/>
      <c r="H474" s="418" t="s">
        <v>595</v>
      </c>
      <c r="I474" s="1029">
        <f>J328</f>
        <v>5774212</v>
      </c>
      <c r="J474" s="1029"/>
      <c r="L474" s="323">
        <f>I474+I468</f>
        <v>28570512</v>
      </c>
    </row>
    <row r="475" spans="1:13" x14ac:dyDescent="0.3">
      <c r="A475" s="373"/>
      <c r="B475" s="373"/>
      <c r="C475" s="373"/>
      <c r="D475" s="373"/>
      <c r="E475" s="373"/>
      <c r="F475" s="373"/>
      <c r="G475" s="373"/>
      <c r="H475" s="418" t="s">
        <v>616</v>
      </c>
      <c r="I475" s="1039">
        <v>0</v>
      </c>
      <c r="J475" s="1040"/>
    </row>
    <row r="476" spans="1:13" ht="8.25" customHeight="1" x14ac:dyDescent="0.3">
      <c r="A476" s="373"/>
      <c r="B476" s="373"/>
      <c r="C476" s="373"/>
      <c r="D476" s="373"/>
      <c r="E476" s="373"/>
      <c r="F476" s="1030"/>
      <c r="G476" s="1030"/>
      <c r="H476" s="1030"/>
      <c r="I476" s="419"/>
      <c r="J476" s="420"/>
    </row>
    <row r="477" spans="1:13" x14ac:dyDescent="0.3">
      <c r="A477" s="373"/>
      <c r="B477" s="373"/>
      <c r="C477" s="373"/>
      <c r="D477" s="373"/>
      <c r="E477" s="373"/>
      <c r="F477" s="1030"/>
      <c r="G477" s="1030"/>
      <c r="H477" s="1030"/>
      <c r="I477" s="419"/>
      <c r="J477" s="420"/>
    </row>
    <row r="478" spans="1:13" x14ac:dyDescent="0.3">
      <c r="A478" s="1031"/>
      <c r="B478" s="1031"/>
      <c r="C478" s="1031"/>
      <c r="D478" s="427"/>
      <c r="E478" s="427"/>
      <c r="F478" s="1030"/>
      <c r="G478" s="1030"/>
      <c r="H478" s="1030"/>
      <c r="I478" s="428"/>
      <c r="J478" s="429"/>
    </row>
    <row r="479" spans="1:13" x14ac:dyDescent="0.3">
      <c r="A479" s="430"/>
      <c r="B479" s="430"/>
      <c r="C479" s="430"/>
      <c r="D479" s="1022"/>
      <c r="E479" s="1022"/>
      <c r="F479" s="1023"/>
      <c r="G479" s="1023"/>
      <c r="H479" s="1023"/>
      <c r="I479" s="1023"/>
      <c r="J479" s="586"/>
    </row>
    <row r="480" spans="1:13" x14ac:dyDescent="0.3">
      <c r="A480" s="1024" t="s">
        <v>211</v>
      </c>
      <c r="B480" s="1024"/>
      <c r="C480" s="1024"/>
      <c r="D480" s="432"/>
      <c r="E480" s="432"/>
      <c r="F480" s="433" t="s">
        <v>471</v>
      </c>
      <c r="G480" s="433"/>
      <c r="H480" s="433"/>
      <c r="I480" s="433"/>
      <c r="J480" s="434"/>
      <c r="L480" s="323">
        <f>I468+I474</f>
        <v>28570512</v>
      </c>
    </row>
    <row r="481" spans="1:10" x14ac:dyDescent="0.3">
      <c r="A481" s="637"/>
      <c r="B481" s="637"/>
      <c r="C481" s="637"/>
      <c r="D481" s="1025" t="s">
        <v>279</v>
      </c>
      <c r="E481" s="1025"/>
      <c r="F481" s="1026" t="s">
        <v>280</v>
      </c>
      <c r="G481" s="1026"/>
      <c r="H481" s="1026"/>
      <c r="I481" s="1026"/>
      <c r="J481" s="586"/>
    </row>
    <row r="482" spans="1:10" x14ac:dyDescent="0.3">
      <c r="A482" s="1024" t="s">
        <v>470</v>
      </c>
      <c r="B482" s="1024"/>
      <c r="C482" s="1024"/>
      <c r="D482" s="432"/>
      <c r="E482" s="432"/>
      <c r="F482" s="433" t="s">
        <v>472</v>
      </c>
      <c r="G482" s="433"/>
      <c r="H482" s="433"/>
      <c r="I482" s="433"/>
      <c r="J482" s="434"/>
    </row>
    <row r="483" spans="1:10" x14ac:dyDescent="0.3">
      <c r="A483" s="586"/>
      <c r="B483" s="586"/>
      <c r="C483" s="586"/>
      <c r="D483" s="1028" t="s">
        <v>279</v>
      </c>
      <c r="E483" s="1028"/>
      <c r="F483" s="1038" t="s">
        <v>280</v>
      </c>
      <c r="G483" s="1038"/>
      <c r="H483" s="1038"/>
      <c r="I483" s="1038"/>
      <c r="J483" s="586"/>
    </row>
    <row r="484" spans="1:10" x14ac:dyDescent="0.3">
      <c r="A484" s="586"/>
      <c r="B484" s="586"/>
      <c r="C484" s="586"/>
      <c r="D484" s="586"/>
      <c r="E484" s="586"/>
      <c r="F484" s="586"/>
      <c r="G484" s="425"/>
      <c r="H484" s="425"/>
      <c r="I484" s="425"/>
      <c r="J484" s="586"/>
    </row>
    <row r="485" spans="1:10" x14ac:dyDescent="0.3">
      <c r="A485" s="1027" t="s">
        <v>473</v>
      </c>
      <c r="B485" s="1027"/>
      <c r="C485" s="586"/>
      <c r="D485" s="586"/>
      <c r="E485" s="586"/>
      <c r="F485" s="586"/>
      <c r="G485" s="425"/>
      <c r="H485" s="425"/>
      <c r="I485" s="425"/>
      <c r="J485" s="586"/>
    </row>
    <row r="486" spans="1:10" x14ac:dyDescent="0.3">
      <c r="A486" s="586"/>
      <c r="B486" s="586"/>
      <c r="C486" s="586"/>
      <c r="D486" s="586"/>
      <c r="E486" s="586"/>
      <c r="F486" s="586"/>
      <c r="G486" s="425"/>
      <c r="H486" s="425"/>
      <c r="I486" s="425"/>
      <c r="J486" s="586"/>
    </row>
    <row r="487" spans="1:10" x14ac:dyDescent="0.3">
      <c r="A487" s="1021"/>
      <c r="B487" s="1021"/>
      <c r="C487" s="586"/>
      <c r="D487" s="586"/>
      <c r="E487" s="586"/>
      <c r="F487" s="586"/>
      <c r="G487" s="425"/>
      <c r="H487" s="425"/>
      <c r="I487" s="425"/>
      <c r="J487" s="586"/>
    </row>
  </sheetData>
  <mergeCells count="1064">
    <mergeCell ref="A71:I71"/>
    <mergeCell ref="A303:A304"/>
    <mergeCell ref="B303:D304"/>
    <mergeCell ref="E303:F304"/>
    <mergeCell ref="G303:J303"/>
    <mergeCell ref="K303:K306"/>
    <mergeCell ref="G305:J305"/>
    <mergeCell ref="A275:A276"/>
    <mergeCell ref="B275:D276"/>
    <mergeCell ref="E275:E276"/>
    <mergeCell ref="F275:F276"/>
    <mergeCell ref="G275:G276"/>
    <mergeCell ref="H275:H276"/>
    <mergeCell ref="I275:I276"/>
    <mergeCell ref="J275:J276"/>
    <mergeCell ref="K275:K276"/>
    <mergeCell ref="B279:D279"/>
    <mergeCell ref="A280:A281"/>
    <mergeCell ref="B280:D281"/>
    <mergeCell ref="E280:E281"/>
    <mergeCell ref="F280:F281"/>
    <mergeCell ref="G280:G281"/>
    <mergeCell ref="H280:H281"/>
    <mergeCell ref="I280:I281"/>
    <mergeCell ref="J280:J281"/>
    <mergeCell ref="K280:K281"/>
    <mergeCell ref="B300:D300"/>
    <mergeCell ref="B297:D297"/>
    <mergeCell ref="B293:D293"/>
    <mergeCell ref="B277:D277"/>
    <mergeCell ref="B278:D278"/>
    <mergeCell ref="B294:D294"/>
    <mergeCell ref="G270:J270"/>
    <mergeCell ref="K270:K272"/>
    <mergeCell ref="G272:J272"/>
    <mergeCell ref="B274:D274"/>
    <mergeCell ref="I258:J258"/>
    <mergeCell ref="E264:F264"/>
    <mergeCell ref="G264:H264"/>
    <mergeCell ref="I264:J264"/>
    <mergeCell ref="B265:D265"/>
    <mergeCell ref="B266:D266"/>
    <mergeCell ref="B264:D264"/>
    <mergeCell ref="B261:D261"/>
    <mergeCell ref="F261:G261"/>
    <mergeCell ref="B259:D259"/>
    <mergeCell ref="I261:J261"/>
    <mergeCell ref="B260:D260"/>
    <mergeCell ref="F260:G260"/>
    <mergeCell ref="E265:F265"/>
    <mergeCell ref="G265:H265"/>
    <mergeCell ref="I265:J265"/>
    <mergeCell ref="E266:F266"/>
    <mergeCell ref="G266:H266"/>
    <mergeCell ref="B272:D272"/>
    <mergeCell ref="F477:H477"/>
    <mergeCell ref="F478:H478"/>
    <mergeCell ref="A480:C480"/>
    <mergeCell ref="D481:E481"/>
    <mergeCell ref="F481:I481"/>
    <mergeCell ref="A482:C482"/>
    <mergeCell ref="D483:E483"/>
    <mergeCell ref="F483:I483"/>
    <mergeCell ref="A485:B485"/>
    <mergeCell ref="A487:B487"/>
    <mergeCell ref="I454:J454"/>
    <mergeCell ref="A455:J455"/>
    <mergeCell ref="A456:A457"/>
    <mergeCell ref="B456:D457"/>
    <mergeCell ref="E456:F457"/>
    <mergeCell ref="G456:J456"/>
    <mergeCell ref="B459:D459"/>
    <mergeCell ref="E459:F459"/>
    <mergeCell ref="B460:D460"/>
    <mergeCell ref="E460:F460"/>
    <mergeCell ref="B461:D461"/>
    <mergeCell ref="E461:F461"/>
    <mergeCell ref="B462:D462"/>
    <mergeCell ref="E462:F462"/>
    <mergeCell ref="G462:J462"/>
    <mergeCell ref="I472:J472"/>
    <mergeCell ref="I473:J473"/>
    <mergeCell ref="I464:J464"/>
    <mergeCell ref="B458:D458"/>
    <mergeCell ref="F476:H476"/>
    <mergeCell ref="K433:K447"/>
    <mergeCell ref="E441:F441"/>
    <mergeCell ref="E443:F443"/>
    <mergeCell ref="B444:D444"/>
    <mergeCell ref="G444:H444"/>
    <mergeCell ref="I444:J444"/>
    <mergeCell ref="A448:J448"/>
    <mergeCell ref="I449:J449"/>
    <mergeCell ref="B451:D451"/>
    <mergeCell ref="E451:F451"/>
    <mergeCell ref="G451:H451"/>
    <mergeCell ref="I451:J451"/>
    <mergeCell ref="B452:D452"/>
    <mergeCell ref="E452:F452"/>
    <mergeCell ref="G452:H452"/>
    <mergeCell ref="I452:J452"/>
    <mergeCell ref="B453:D453"/>
    <mergeCell ref="E453:F453"/>
    <mergeCell ref="G453:H453"/>
    <mergeCell ref="I443:J443"/>
    <mergeCell ref="B447:D447"/>
    <mergeCell ref="B446:D446"/>
    <mergeCell ref="G446:H446"/>
    <mergeCell ref="I446:J446"/>
    <mergeCell ref="G447:H447"/>
    <mergeCell ref="I447:J447"/>
    <mergeCell ref="G449:H449"/>
    <mergeCell ref="G450:H450"/>
    <mergeCell ref="I450:J450"/>
    <mergeCell ref="B441:D441"/>
    <mergeCell ref="G441:H441"/>
    <mergeCell ref="B442:D442"/>
    <mergeCell ref="K425:K426"/>
    <mergeCell ref="B426:D426"/>
    <mergeCell ref="E426:F426"/>
    <mergeCell ref="G426:H426"/>
    <mergeCell ref="I426:J426"/>
    <mergeCell ref="K427:K429"/>
    <mergeCell ref="A430:J430"/>
    <mergeCell ref="E431:F431"/>
    <mergeCell ref="K431:K432"/>
    <mergeCell ref="E432:F432"/>
    <mergeCell ref="B421:D421"/>
    <mergeCell ref="G421:H421"/>
    <mergeCell ref="I421:J421"/>
    <mergeCell ref="B425:D425"/>
    <mergeCell ref="G425:H425"/>
    <mergeCell ref="I425:J425"/>
    <mergeCell ref="B423:D423"/>
    <mergeCell ref="G423:H423"/>
    <mergeCell ref="I423:J423"/>
    <mergeCell ref="G429:H429"/>
    <mergeCell ref="I429:J429"/>
    <mergeCell ref="B431:D431"/>
    <mergeCell ref="G431:H431"/>
    <mergeCell ref="I431:J431"/>
    <mergeCell ref="B429:D429"/>
    <mergeCell ref="K418:K419"/>
    <mergeCell ref="B420:D420"/>
    <mergeCell ref="G420:H420"/>
    <mergeCell ref="I420:J420"/>
    <mergeCell ref="K420:K422"/>
    <mergeCell ref="B419:D419"/>
    <mergeCell ref="E419:F419"/>
    <mergeCell ref="G419:H419"/>
    <mergeCell ref="I419:J419"/>
    <mergeCell ref="I405:J405"/>
    <mergeCell ref="B422:D422"/>
    <mergeCell ref="G422:H422"/>
    <mergeCell ref="I422:J422"/>
    <mergeCell ref="G413:H413"/>
    <mergeCell ref="I413:J413"/>
    <mergeCell ref="E416:F416"/>
    <mergeCell ref="A417:J417"/>
    <mergeCell ref="G415:H415"/>
    <mergeCell ref="B412:D412"/>
    <mergeCell ref="G412:H412"/>
    <mergeCell ref="B414:D414"/>
    <mergeCell ref="G414:H414"/>
    <mergeCell ref="I414:J414"/>
    <mergeCell ref="B409:D409"/>
    <mergeCell ref="G409:H409"/>
    <mergeCell ref="G411:H411"/>
    <mergeCell ref="I411:J411"/>
    <mergeCell ref="B413:D413"/>
    <mergeCell ref="E409:F409"/>
    <mergeCell ref="A410:J410"/>
    <mergeCell ref="I412:J412"/>
    <mergeCell ref="B407:D407"/>
    <mergeCell ref="E394:F394"/>
    <mergeCell ref="B400:D400"/>
    <mergeCell ref="G400:H400"/>
    <mergeCell ref="I400:J400"/>
    <mergeCell ref="I376:J376"/>
    <mergeCell ref="G378:H378"/>
    <mergeCell ref="G382:H382"/>
    <mergeCell ref="A395:J395"/>
    <mergeCell ref="A396:J396"/>
    <mergeCell ref="E397:F397"/>
    <mergeCell ref="K397:K398"/>
    <mergeCell ref="B399:D399"/>
    <mergeCell ref="G399:H399"/>
    <mergeCell ref="I399:J399"/>
    <mergeCell ref="K399:K402"/>
    <mergeCell ref="E402:F402"/>
    <mergeCell ref="A403:J403"/>
    <mergeCell ref="E381:F381"/>
    <mergeCell ref="E382:F382"/>
    <mergeCell ref="E383:F383"/>
    <mergeCell ref="B391:D391"/>
    <mergeCell ref="G391:H391"/>
    <mergeCell ref="I391:J391"/>
    <mergeCell ref="B392:D392"/>
    <mergeCell ref="G392:H392"/>
    <mergeCell ref="I392:J392"/>
    <mergeCell ref="I378:J378"/>
    <mergeCell ref="B378:D378"/>
    <mergeCell ref="B387:D387"/>
    <mergeCell ref="G387:H387"/>
    <mergeCell ref="I387:J387"/>
    <mergeCell ref="B379:D379"/>
    <mergeCell ref="G438:H438"/>
    <mergeCell ref="B439:D439"/>
    <mergeCell ref="G439:H439"/>
    <mergeCell ref="B432:D432"/>
    <mergeCell ref="G432:H432"/>
    <mergeCell ref="B433:D433"/>
    <mergeCell ref="G433:H433"/>
    <mergeCell ref="B434:D434"/>
    <mergeCell ref="G434:H434"/>
    <mergeCell ref="B435:D435"/>
    <mergeCell ref="G435:H435"/>
    <mergeCell ref="I433:J433"/>
    <mergeCell ref="I434:J434"/>
    <mergeCell ref="I435:J435"/>
    <mergeCell ref="I436:J436"/>
    <mergeCell ref="I438:J438"/>
    <mergeCell ref="I439:J439"/>
    <mergeCell ref="B438:D438"/>
    <mergeCell ref="B437:D437"/>
    <mergeCell ref="G437:H437"/>
    <mergeCell ref="I437:J437"/>
    <mergeCell ref="B436:D436"/>
    <mergeCell ref="G436:H436"/>
    <mergeCell ref="I432:J432"/>
    <mergeCell ref="A89:I89"/>
    <mergeCell ref="A91:J91"/>
    <mergeCell ref="A67:I67"/>
    <mergeCell ref="A68:B68"/>
    <mergeCell ref="A69:I69"/>
    <mergeCell ref="A72:I72"/>
    <mergeCell ref="A74:I74"/>
    <mergeCell ref="A75:I75"/>
    <mergeCell ref="A77:A79"/>
    <mergeCell ref="B77:B79"/>
    <mergeCell ref="B397:D397"/>
    <mergeCell ref="G397:H397"/>
    <mergeCell ref="I397:J397"/>
    <mergeCell ref="I394:J394"/>
    <mergeCell ref="I379:J379"/>
    <mergeCell ref="I266:J266"/>
    <mergeCell ref="B393:D393"/>
    <mergeCell ref="G393:H393"/>
    <mergeCell ref="B394:D394"/>
    <mergeCell ref="G394:H394"/>
    <mergeCell ref="B287:D287"/>
    <mergeCell ref="B290:D290"/>
    <mergeCell ref="B292:D292"/>
    <mergeCell ref="B284:D284"/>
    <mergeCell ref="B285:D285"/>
    <mergeCell ref="B286:D286"/>
    <mergeCell ref="I380:J380"/>
    <mergeCell ref="B386:D386"/>
    <mergeCell ref="G386:H386"/>
    <mergeCell ref="I386:J386"/>
    <mergeCell ref="B376:D376"/>
    <mergeCell ref="G376:H376"/>
    <mergeCell ref="A52:J52"/>
    <mergeCell ref="A57:J57"/>
    <mergeCell ref="A1:J1"/>
    <mergeCell ref="A2:J2"/>
    <mergeCell ref="A3:J3"/>
    <mergeCell ref="A5:J5"/>
    <mergeCell ref="A8:J8"/>
    <mergeCell ref="A9:A11"/>
    <mergeCell ref="B9:B11"/>
    <mergeCell ref="C9:C11"/>
    <mergeCell ref="D9:G9"/>
    <mergeCell ref="H9:H11"/>
    <mergeCell ref="A22:J22"/>
    <mergeCell ref="A23:J23"/>
    <mergeCell ref="I9:I11"/>
    <mergeCell ref="J9:J11"/>
    <mergeCell ref="D10:D11"/>
    <mergeCell ref="E10:G10"/>
    <mergeCell ref="A13:J13"/>
    <mergeCell ref="A14:J14"/>
    <mergeCell ref="A37:J37"/>
    <mergeCell ref="C77:C79"/>
    <mergeCell ref="D77:G77"/>
    <mergeCell ref="H77:H79"/>
    <mergeCell ref="I77:I79"/>
    <mergeCell ref="J77:J79"/>
    <mergeCell ref="D78:D79"/>
    <mergeCell ref="E78:G78"/>
    <mergeCell ref="A81:J81"/>
    <mergeCell ref="A88:I88"/>
    <mergeCell ref="G99:H99"/>
    <mergeCell ref="B102:D102"/>
    <mergeCell ref="A92:B92"/>
    <mergeCell ref="A93:I93"/>
    <mergeCell ref="A95:J95"/>
    <mergeCell ref="A90:I90"/>
    <mergeCell ref="I115:J115"/>
    <mergeCell ref="I116:J116"/>
    <mergeCell ref="B112:D112"/>
    <mergeCell ref="E112:F112"/>
    <mergeCell ref="I112:J112"/>
    <mergeCell ref="I114:J114"/>
    <mergeCell ref="B113:D113"/>
    <mergeCell ref="E113:F113"/>
    <mergeCell ref="I113:J113"/>
    <mergeCell ref="B114:D114"/>
    <mergeCell ref="E114:F114"/>
    <mergeCell ref="B115:D115"/>
    <mergeCell ref="E115:F115"/>
    <mergeCell ref="B116:D116"/>
    <mergeCell ref="E116:F116"/>
    <mergeCell ref="A106:J106"/>
    <mergeCell ref="B108:D108"/>
    <mergeCell ref="B131:F131"/>
    <mergeCell ref="G131:H131"/>
    <mergeCell ref="I131:J131"/>
    <mergeCell ref="B132:F132"/>
    <mergeCell ref="G132:H132"/>
    <mergeCell ref="E108:F108"/>
    <mergeCell ref="I108:J108"/>
    <mergeCell ref="A109:J109"/>
    <mergeCell ref="A111:J111"/>
    <mergeCell ref="B110:D110"/>
    <mergeCell ref="E110:F110"/>
    <mergeCell ref="I110:J110"/>
    <mergeCell ref="B107:D107"/>
    <mergeCell ref="E107:F107"/>
    <mergeCell ref="I107:J107"/>
    <mergeCell ref="I119:J119"/>
    <mergeCell ref="I120:J120"/>
    <mergeCell ref="I118:J118"/>
    <mergeCell ref="A117:J117"/>
    <mergeCell ref="B118:D118"/>
    <mergeCell ref="E118:F118"/>
    <mergeCell ref="B119:D119"/>
    <mergeCell ref="E119:F119"/>
    <mergeCell ref="B120:D120"/>
    <mergeCell ref="E120:F120"/>
    <mergeCell ref="I123:J123"/>
    <mergeCell ref="B124:F124"/>
    <mergeCell ref="G124:H124"/>
    <mergeCell ref="I124:J124"/>
    <mergeCell ref="I121:J121"/>
    <mergeCell ref="B121:D121"/>
    <mergeCell ref="E121:F121"/>
    <mergeCell ref="A122:J122"/>
    <mergeCell ref="B127:F127"/>
    <mergeCell ref="G127:H127"/>
    <mergeCell ref="I127:J127"/>
    <mergeCell ref="B128:F128"/>
    <mergeCell ref="G128:H128"/>
    <mergeCell ref="I128:J128"/>
    <mergeCell ref="B125:F125"/>
    <mergeCell ref="G125:H125"/>
    <mergeCell ref="I125:J125"/>
    <mergeCell ref="B126:F126"/>
    <mergeCell ref="G126:H126"/>
    <mergeCell ref="I126:J126"/>
    <mergeCell ref="G145:H145"/>
    <mergeCell ref="I145:J145"/>
    <mergeCell ref="B146:F146"/>
    <mergeCell ref="I146:J146"/>
    <mergeCell ref="I132:J132"/>
    <mergeCell ref="B129:F129"/>
    <mergeCell ref="G129:H129"/>
    <mergeCell ref="I129:J129"/>
    <mergeCell ref="B130:F130"/>
    <mergeCell ref="G130:H130"/>
    <mergeCell ref="I130:J130"/>
    <mergeCell ref="G136:H136"/>
    <mergeCell ref="I136:J136"/>
    <mergeCell ref="B133:F133"/>
    <mergeCell ref="G133:H133"/>
    <mergeCell ref="I133:J133"/>
    <mergeCell ref="B134:F134"/>
    <mergeCell ref="G134:H134"/>
    <mergeCell ref="I134:J134"/>
    <mergeCell ref="B147:F147"/>
    <mergeCell ref="G147:H147"/>
    <mergeCell ref="I147:J147"/>
    <mergeCell ref="B150:F150"/>
    <mergeCell ref="G150:H150"/>
    <mergeCell ref="I150:J150"/>
    <mergeCell ref="B151:F151"/>
    <mergeCell ref="G151:H151"/>
    <mergeCell ref="I151:J151"/>
    <mergeCell ref="B152:F152"/>
    <mergeCell ref="B138:F138"/>
    <mergeCell ref="G138:H138"/>
    <mergeCell ref="I138:J138"/>
    <mergeCell ref="G139:H139"/>
    <mergeCell ref="I139:J139"/>
    <mergeCell ref="E167:F167"/>
    <mergeCell ref="I155:J155"/>
    <mergeCell ref="I156:J156"/>
    <mergeCell ref="G153:H153"/>
    <mergeCell ref="I153:J153"/>
    <mergeCell ref="G154:H154"/>
    <mergeCell ref="I154:J154"/>
    <mergeCell ref="B153:F153"/>
    <mergeCell ref="B154:F154"/>
    <mergeCell ref="B155:F155"/>
    <mergeCell ref="B156:F156"/>
    <mergeCell ref="E163:F163"/>
    <mergeCell ref="G163:H163"/>
    <mergeCell ref="I163:J163"/>
    <mergeCell ref="G152:H152"/>
    <mergeCell ref="I152:J152"/>
    <mergeCell ref="B145:F145"/>
    <mergeCell ref="B185:D185"/>
    <mergeCell ref="E164:F164"/>
    <mergeCell ref="G157:H157"/>
    <mergeCell ref="I157:J157"/>
    <mergeCell ref="A158:J158"/>
    <mergeCell ref="G164:H164"/>
    <mergeCell ref="I164:J164"/>
    <mergeCell ref="B157:F157"/>
    <mergeCell ref="B162:D162"/>
    <mergeCell ref="E162:F162"/>
    <mergeCell ref="B172:D172"/>
    <mergeCell ref="E172:F172"/>
    <mergeCell ref="G172:H172"/>
    <mergeCell ref="I172:J172"/>
    <mergeCell ref="B173:D173"/>
    <mergeCell ref="E173:F173"/>
    <mergeCell ref="G173:H173"/>
    <mergeCell ref="I173:J173"/>
    <mergeCell ref="A159:J159"/>
    <mergeCell ref="B163:D163"/>
    <mergeCell ref="B164:D164"/>
    <mergeCell ref="A168:J168"/>
    <mergeCell ref="D170:J170"/>
    <mergeCell ref="B171:D171"/>
    <mergeCell ref="E171:F171"/>
    <mergeCell ref="G171:H171"/>
    <mergeCell ref="I171:J171"/>
    <mergeCell ref="B166:D166"/>
    <mergeCell ref="E166:F166"/>
    <mergeCell ref="G166:H166"/>
    <mergeCell ref="I166:J166"/>
    <mergeCell ref="B167:D167"/>
    <mergeCell ref="G214:H214"/>
    <mergeCell ref="G215:H215"/>
    <mergeCell ref="G216:H216"/>
    <mergeCell ref="G217:H217"/>
    <mergeCell ref="B195:D195"/>
    <mergeCell ref="G195:H195"/>
    <mergeCell ref="I195:J195"/>
    <mergeCell ref="E195:F195"/>
    <mergeCell ref="A196:J196"/>
    <mergeCell ref="B174:D174"/>
    <mergeCell ref="B175:D175"/>
    <mergeCell ref="E175:F175"/>
    <mergeCell ref="G175:H175"/>
    <mergeCell ref="I175:J175"/>
    <mergeCell ref="B181:D181"/>
    <mergeCell ref="E181:F181"/>
    <mergeCell ref="G181:H181"/>
    <mergeCell ref="I181:J181"/>
    <mergeCell ref="B180:D180"/>
    <mergeCell ref="E180:F180"/>
    <mergeCell ref="G180:H180"/>
    <mergeCell ref="I180:J180"/>
    <mergeCell ref="B176:D176"/>
    <mergeCell ref="E176:F176"/>
    <mergeCell ref="G176:H176"/>
    <mergeCell ref="I176:J176"/>
    <mergeCell ref="A177:J177"/>
    <mergeCell ref="D179:H179"/>
    <mergeCell ref="E182:F182"/>
    <mergeCell ref="G182:H182"/>
    <mergeCell ref="I182:J182"/>
    <mergeCell ref="E183:F183"/>
    <mergeCell ref="A182:A183"/>
    <mergeCell ref="B182:C183"/>
    <mergeCell ref="B193:D193"/>
    <mergeCell ref="G193:H193"/>
    <mergeCell ref="I193:J193"/>
    <mergeCell ref="B194:D194"/>
    <mergeCell ref="G194:H194"/>
    <mergeCell ref="I194:J194"/>
    <mergeCell ref="B192:D192"/>
    <mergeCell ref="G192:H192"/>
    <mergeCell ref="I192:J192"/>
    <mergeCell ref="E193:F193"/>
    <mergeCell ref="E194:F194"/>
    <mergeCell ref="G186:H186"/>
    <mergeCell ref="I186:J186"/>
    <mergeCell ref="B187:D187"/>
    <mergeCell ref="E187:F187"/>
    <mergeCell ref="G187:H187"/>
    <mergeCell ref="I187:J187"/>
    <mergeCell ref="E185:F185"/>
    <mergeCell ref="G185:H185"/>
    <mergeCell ref="I185:J185"/>
    <mergeCell ref="B186:D186"/>
    <mergeCell ref="E186:F186"/>
    <mergeCell ref="B184:D184"/>
    <mergeCell ref="E184:F184"/>
    <mergeCell ref="G184:H184"/>
    <mergeCell ref="I184:J184"/>
    <mergeCell ref="A188:J188"/>
    <mergeCell ref="G183:H183"/>
    <mergeCell ref="I183:J183"/>
    <mergeCell ref="A189:J189"/>
    <mergeCell ref="G301:J301"/>
    <mergeCell ref="B251:D251"/>
    <mergeCell ref="B252:D252"/>
    <mergeCell ref="F252:G252"/>
    <mergeCell ref="I252:J252"/>
    <mergeCell ref="I253:J253"/>
    <mergeCell ref="B296:D296"/>
    <mergeCell ref="B298:D298"/>
    <mergeCell ref="F246:G246"/>
    <mergeCell ref="I246:J246"/>
    <mergeCell ref="B243:D243"/>
    <mergeCell ref="B244:D244"/>
    <mergeCell ref="B245:D245"/>
    <mergeCell ref="B246:D246"/>
    <mergeCell ref="F244:G244"/>
    <mergeCell ref="I244:J244"/>
    <mergeCell ref="F245:G245"/>
    <mergeCell ref="B295:D295"/>
    <mergeCell ref="I243:J243"/>
    <mergeCell ref="F248:G248"/>
    <mergeCell ref="B262:D262"/>
    <mergeCell ref="F262:G262"/>
    <mergeCell ref="I262:J262"/>
    <mergeCell ref="A263:J263"/>
    <mergeCell ref="B267:D267"/>
    <mergeCell ref="E267:F267"/>
    <mergeCell ref="G267:H267"/>
    <mergeCell ref="I267:J267"/>
    <mergeCell ref="A270:A271"/>
    <mergeCell ref="B270:D271"/>
    <mergeCell ref="E270:E271"/>
    <mergeCell ref="F270:F271"/>
    <mergeCell ref="B247:D247"/>
    <mergeCell ref="F247:G247"/>
    <mergeCell ref="I247:J247"/>
    <mergeCell ref="F227:G227"/>
    <mergeCell ref="I227:J227"/>
    <mergeCell ref="B238:D238"/>
    <mergeCell ref="B239:D239"/>
    <mergeCell ref="B240:D240"/>
    <mergeCell ref="I237:J237"/>
    <mergeCell ref="F238:G238"/>
    <mergeCell ref="I238:J238"/>
    <mergeCell ref="F239:G239"/>
    <mergeCell ref="I239:J239"/>
    <mergeCell ref="F240:G240"/>
    <mergeCell ref="I240:J240"/>
    <mergeCell ref="B241:D241"/>
    <mergeCell ref="F241:G241"/>
    <mergeCell ref="I241:J241"/>
    <mergeCell ref="B242:D242"/>
    <mergeCell ref="B236:D236"/>
    <mergeCell ref="I232:J232"/>
    <mergeCell ref="F236:G236"/>
    <mergeCell ref="I236:J236"/>
    <mergeCell ref="B233:D233"/>
    <mergeCell ref="I233:J233"/>
    <mergeCell ref="B234:D234"/>
    <mergeCell ref="F228:G228"/>
    <mergeCell ref="I228:J228"/>
    <mergeCell ref="B229:D229"/>
    <mergeCell ref="F229:G229"/>
    <mergeCell ref="I229:J229"/>
    <mergeCell ref="I231:J231"/>
    <mergeCell ref="B310:D310"/>
    <mergeCell ref="B311:D311"/>
    <mergeCell ref="E311:F311"/>
    <mergeCell ref="B308:D308"/>
    <mergeCell ref="B309:D309"/>
    <mergeCell ref="E308:F308"/>
    <mergeCell ref="E309:F309"/>
    <mergeCell ref="E310:F310"/>
    <mergeCell ref="B306:D306"/>
    <mergeCell ref="B307:D307"/>
    <mergeCell ref="B291:D291"/>
    <mergeCell ref="B273:D273"/>
    <mergeCell ref="E317:F317"/>
    <mergeCell ref="B318:D318"/>
    <mergeCell ref="E318:F318"/>
    <mergeCell ref="B314:D314"/>
    <mergeCell ref="B315:D315"/>
    <mergeCell ref="B312:D312"/>
    <mergeCell ref="B313:D313"/>
    <mergeCell ref="E312:F312"/>
    <mergeCell ref="E313:F313"/>
    <mergeCell ref="E314:F314"/>
    <mergeCell ref="E315:F315"/>
    <mergeCell ref="E306:F306"/>
    <mergeCell ref="E307:F307"/>
    <mergeCell ref="B305:D305"/>
    <mergeCell ref="E305:F305"/>
    <mergeCell ref="B288:D288"/>
    <mergeCell ref="B282:D282"/>
    <mergeCell ref="B283:D283"/>
    <mergeCell ref="B301:D301"/>
    <mergeCell ref="B341:D341"/>
    <mergeCell ref="E342:F342"/>
    <mergeCell ref="B324:D324"/>
    <mergeCell ref="E324:F324"/>
    <mergeCell ref="E323:F323"/>
    <mergeCell ref="B327:D327"/>
    <mergeCell ref="E327:F327"/>
    <mergeCell ref="B325:D325"/>
    <mergeCell ref="E325:F325"/>
    <mergeCell ref="B323:D323"/>
    <mergeCell ref="B319:D319"/>
    <mergeCell ref="E319:F319"/>
    <mergeCell ref="B320:D320"/>
    <mergeCell ref="E320:F320"/>
    <mergeCell ref="B316:D316"/>
    <mergeCell ref="E316:F316"/>
    <mergeCell ref="B317:D317"/>
    <mergeCell ref="B326:D326"/>
    <mergeCell ref="E326:F326"/>
    <mergeCell ref="B321:D321"/>
    <mergeCell ref="B322:D322"/>
    <mergeCell ref="E321:F321"/>
    <mergeCell ref="E322:F322"/>
    <mergeCell ref="E345:F345"/>
    <mergeCell ref="G348:J348"/>
    <mergeCell ref="A349:J349"/>
    <mergeCell ref="B350:D350"/>
    <mergeCell ref="E350:F350"/>
    <mergeCell ref="E328:F328"/>
    <mergeCell ref="E329:F329"/>
    <mergeCell ref="B330:D330"/>
    <mergeCell ref="E330:F330"/>
    <mergeCell ref="B328:D328"/>
    <mergeCell ref="B338:D338"/>
    <mergeCell ref="E338:F338"/>
    <mergeCell ref="B343:D343"/>
    <mergeCell ref="E343:F343"/>
    <mergeCell ref="B334:D334"/>
    <mergeCell ref="E334:F334"/>
    <mergeCell ref="B335:D335"/>
    <mergeCell ref="B336:D336"/>
    <mergeCell ref="E335:F335"/>
    <mergeCell ref="E336:F336"/>
    <mergeCell ref="E337:F337"/>
    <mergeCell ref="E340:F340"/>
    <mergeCell ref="B333:D333"/>
    <mergeCell ref="B332:D332"/>
    <mergeCell ref="E332:F332"/>
    <mergeCell ref="E333:F333"/>
    <mergeCell ref="B331:D331"/>
    <mergeCell ref="E331:F331"/>
    <mergeCell ref="B329:D329"/>
    <mergeCell ref="E341:F341"/>
    <mergeCell ref="B337:D337"/>
    <mergeCell ref="B340:D340"/>
    <mergeCell ref="B212:D212"/>
    <mergeCell ref="I212:J212"/>
    <mergeCell ref="A104:J104"/>
    <mergeCell ref="G350:H350"/>
    <mergeCell ref="I350:J350"/>
    <mergeCell ref="B105:D105"/>
    <mergeCell ref="E105:F105"/>
    <mergeCell ref="I105:J105"/>
    <mergeCell ref="G167:H167"/>
    <mergeCell ref="I167:J167"/>
    <mergeCell ref="B165:D165"/>
    <mergeCell ref="E165:F165"/>
    <mergeCell ref="G165:H165"/>
    <mergeCell ref="I165:J165"/>
    <mergeCell ref="G162:H162"/>
    <mergeCell ref="I162:J162"/>
    <mergeCell ref="E201:F201"/>
    <mergeCell ref="G201:H201"/>
    <mergeCell ref="E202:F202"/>
    <mergeCell ref="G202:H202"/>
    <mergeCell ref="I202:J202"/>
    <mergeCell ref="G222:H222"/>
    <mergeCell ref="B213:D213"/>
    <mergeCell ref="I213:J213"/>
    <mergeCell ref="B210:D210"/>
    <mergeCell ref="I210:J210"/>
    <mergeCell ref="B211:D211"/>
    <mergeCell ref="I211:J211"/>
    <mergeCell ref="G212:H212"/>
    <mergeCell ref="G213:H213"/>
    <mergeCell ref="G210:H210"/>
    <mergeCell ref="G211:H211"/>
    <mergeCell ref="B226:D226"/>
    <mergeCell ref="F226:G226"/>
    <mergeCell ref="I226:J226"/>
    <mergeCell ref="B227:D227"/>
    <mergeCell ref="B222:D222"/>
    <mergeCell ref="I222:J222"/>
    <mergeCell ref="B223:D223"/>
    <mergeCell ref="I223:J223"/>
    <mergeCell ref="E222:F222"/>
    <mergeCell ref="B228:D228"/>
    <mergeCell ref="I217:J217"/>
    <mergeCell ref="B214:D214"/>
    <mergeCell ref="E223:F223"/>
    <mergeCell ref="G223:H223"/>
    <mergeCell ref="E224:F224"/>
    <mergeCell ref="G224:H224"/>
    <mergeCell ref="B221:D221"/>
    <mergeCell ref="I221:J221"/>
    <mergeCell ref="B216:D216"/>
    <mergeCell ref="I216:J216"/>
    <mergeCell ref="B217:D217"/>
    <mergeCell ref="B224:D224"/>
    <mergeCell ref="I224:J224"/>
    <mergeCell ref="B218:D218"/>
    <mergeCell ref="I218:J218"/>
    <mergeCell ref="G218:H218"/>
    <mergeCell ref="A220:J220"/>
    <mergeCell ref="E221:F221"/>
    <mergeCell ref="G221:H221"/>
    <mergeCell ref="I214:J214"/>
    <mergeCell ref="B215:D215"/>
    <mergeCell ref="I215:J215"/>
    <mergeCell ref="B135:F135"/>
    <mergeCell ref="I140:J140"/>
    <mergeCell ref="B137:F137"/>
    <mergeCell ref="G137:H137"/>
    <mergeCell ref="I137:J137"/>
    <mergeCell ref="B96:D96"/>
    <mergeCell ref="E96:F96"/>
    <mergeCell ref="G96:H96"/>
    <mergeCell ref="B103:D103"/>
    <mergeCell ref="E103:F103"/>
    <mergeCell ref="I103:J103"/>
    <mergeCell ref="B100:D100"/>
    <mergeCell ref="E100:F100"/>
    <mergeCell ref="G100:H100"/>
    <mergeCell ref="I100:J100"/>
    <mergeCell ref="A101:J101"/>
    <mergeCell ref="E102:F102"/>
    <mergeCell ref="I102:J102"/>
    <mergeCell ref="I96:J96"/>
    <mergeCell ref="B97:D97"/>
    <mergeCell ref="E97:F97"/>
    <mergeCell ref="G97:H97"/>
    <mergeCell ref="I97:J97"/>
    <mergeCell ref="G98:H98"/>
    <mergeCell ref="B98:D98"/>
    <mergeCell ref="E98:F98"/>
    <mergeCell ref="I98:J98"/>
    <mergeCell ref="B99:D99"/>
    <mergeCell ref="E99:F99"/>
    <mergeCell ref="I99:J99"/>
    <mergeCell ref="B123:F123"/>
    <mergeCell ref="G123:H123"/>
    <mergeCell ref="G209:H209"/>
    <mergeCell ref="B209:D209"/>
    <mergeCell ref="F242:G242"/>
    <mergeCell ref="I242:J242"/>
    <mergeCell ref="B201:D201"/>
    <mergeCell ref="L127:M127"/>
    <mergeCell ref="L128:M128"/>
    <mergeCell ref="G146:H146"/>
    <mergeCell ref="B148:F148"/>
    <mergeCell ref="G148:H148"/>
    <mergeCell ref="I148:J148"/>
    <mergeCell ref="B149:F149"/>
    <mergeCell ref="G149:H149"/>
    <mergeCell ref="I149:J149"/>
    <mergeCell ref="B143:F143"/>
    <mergeCell ref="G143:H143"/>
    <mergeCell ref="I143:J143"/>
    <mergeCell ref="B144:F144"/>
    <mergeCell ref="G144:H144"/>
    <mergeCell ref="I144:J144"/>
    <mergeCell ref="B141:F141"/>
    <mergeCell ref="G141:H141"/>
    <mergeCell ref="I141:J141"/>
    <mergeCell ref="B142:F142"/>
    <mergeCell ref="G142:H142"/>
    <mergeCell ref="I142:J142"/>
    <mergeCell ref="B139:F139"/>
    <mergeCell ref="B140:F140"/>
    <mergeCell ref="G140:H140"/>
    <mergeCell ref="G135:H135"/>
    <mergeCell ref="I135:J135"/>
    <mergeCell ref="B136:F136"/>
    <mergeCell ref="B384:D384"/>
    <mergeCell ref="G384:H384"/>
    <mergeCell ref="I384:J384"/>
    <mergeCell ref="B385:D385"/>
    <mergeCell ref="G385:H385"/>
    <mergeCell ref="K182:K183"/>
    <mergeCell ref="K226:K227"/>
    <mergeCell ref="K228:K230"/>
    <mergeCell ref="I259:J259"/>
    <mergeCell ref="I260:J260"/>
    <mergeCell ref="B289:D289"/>
    <mergeCell ref="I209:J209"/>
    <mergeCell ref="A205:J205"/>
    <mergeCell ref="B203:D203"/>
    <mergeCell ref="E203:F203"/>
    <mergeCell ref="G203:H203"/>
    <mergeCell ref="I203:J203"/>
    <mergeCell ref="B204:D204"/>
    <mergeCell ref="E204:F204"/>
    <mergeCell ref="G204:H204"/>
    <mergeCell ref="I204:J204"/>
    <mergeCell ref="I201:J201"/>
    <mergeCell ref="B202:D202"/>
    <mergeCell ref="B248:D248"/>
    <mergeCell ref="B249:D249"/>
    <mergeCell ref="E192:F192"/>
    <mergeCell ref="A199:J199"/>
    <mergeCell ref="B200:D200"/>
    <mergeCell ref="E200:F200"/>
    <mergeCell ref="G200:H200"/>
    <mergeCell ref="I200:J200"/>
    <mergeCell ref="A208:J208"/>
    <mergeCell ref="G375:H375"/>
    <mergeCell ref="G362:H362"/>
    <mergeCell ref="I362:J362"/>
    <mergeCell ref="B363:D363"/>
    <mergeCell ref="G363:H363"/>
    <mergeCell ref="I363:J363"/>
    <mergeCell ref="B373:D373"/>
    <mergeCell ref="G373:H373"/>
    <mergeCell ref="I373:J373"/>
    <mergeCell ref="B372:D372"/>
    <mergeCell ref="B380:D380"/>
    <mergeCell ref="G380:H380"/>
    <mergeCell ref="B377:D377"/>
    <mergeCell ref="G377:H377"/>
    <mergeCell ref="I377:J377"/>
    <mergeCell ref="B381:D381"/>
    <mergeCell ref="G381:H381"/>
    <mergeCell ref="E353:F353"/>
    <mergeCell ref="B355:D355"/>
    <mergeCell ref="I355:J355"/>
    <mergeCell ref="A354:J354"/>
    <mergeCell ref="E355:F355"/>
    <mergeCell ref="A229:A231"/>
    <mergeCell ref="B230:D230"/>
    <mergeCell ref="F230:G230"/>
    <mergeCell ref="I230:J230"/>
    <mergeCell ref="F231:G231"/>
    <mergeCell ref="F232:G232"/>
    <mergeCell ref="B231:D231"/>
    <mergeCell ref="B346:D346"/>
    <mergeCell ref="B344:D344"/>
    <mergeCell ref="E344:F344"/>
    <mergeCell ref="E346:F346"/>
    <mergeCell ref="B339:D339"/>
    <mergeCell ref="E339:F339"/>
    <mergeCell ref="B342:D342"/>
    <mergeCell ref="G352:H352"/>
    <mergeCell ref="I352:J352"/>
    <mergeCell ref="B347:D347"/>
    <mergeCell ref="B348:D348"/>
    <mergeCell ref="B351:D351"/>
    <mergeCell ref="G351:H351"/>
    <mergeCell ref="I351:J351"/>
    <mergeCell ref="E347:F347"/>
    <mergeCell ref="E348:F348"/>
    <mergeCell ref="E351:F351"/>
    <mergeCell ref="E352:F352"/>
    <mergeCell ref="B352:D352"/>
    <mergeCell ref="B345:D345"/>
    <mergeCell ref="B356:D356"/>
    <mergeCell ref="G356:H356"/>
    <mergeCell ref="I356:J356"/>
    <mergeCell ref="B357:D357"/>
    <mergeCell ref="G357:H357"/>
    <mergeCell ref="I357:J357"/>
    <mergeCell ref="B359:D359"/>
    <mergeCell ref="G359:H359"/>
    <mergeCell ref="G355:H355"/>
    <mergeCell ref="B367:D367"/>
    <mergeCell ref="G367:H367"/>
    <mergeCell ref="I367:J367"/>
    <mergeCell ref="B366:D366"/>
    <mergeCell ref="I365:J365"/>
    <mergeCell ref="B364:D364"/>
    <mergeCell ref="G364:H364"/>
    <mergeCell ref="I364:J364"/>
    <mergeCell ref="G361:H361"/>
    <mergeCell ref="I361:J361"/>
    <mergeCell ref="B362:D362"/>
    <mergeCell ref="B361:D361"/>
    <mergeCell ref="I359:J359"/>
    <mergeCell ref="I358:J358"/>
    <mergeCell ref="E356:F356"/>
    <mergeCell ref="E357:F357"/>
    <mergeCell ref="I382:J382"/>
    <mergeCell ref="I248:J248"/>
    <mergeCell ref="F249:G249"/>
    <mergeCell ref="I249:J249"/>
    <mergeCell ref="B253:D253"/>
    <mergeCell ref="F251:G251"/>
    <mergeCell ref="I251:J251"/>
    <mergeCell ref="I254:J254"/>
    <mergeCell ref="I255:J255"/>
    <mergeCell ref="B254:D254"/>
    <mergeCell ref="F253:G253"/>
    <mergeCell ref="F254:G254"/>
    <mergeCell ref="F255:G255"/>
    <mergeCell ref="I375:J375"/>
    <mergeCell ref="G372:H372"/>
    <mergeCell ref="B374:D374"/>
    <mergeCell ref="G374:H374"/>
    <mergeCell ref="I374:J374"/>
    <mergeCell ref="I369:J369"/>
    <mergeCell ref="B370:D370"/>
    <mergeCell ref="G370:H370"/>
    <mergeCell ref="I370:J370"/>
    <mergeCell ref="E366:F366"/>
    <mergeCell ref="B353:D353"/>
    <mergeCell ref="G353:H353"/>
    <mergeCell ref="I353:J353"/>
    <mergeCell ref="B358:D358"/>
    <mergeCell ref="G358:H358"/>
    <mergeCell ref="G379:H379"/>
    <mergeCell ref="B360:D360"/>
    <mergeCell ref="G360:H360"/>
    <mergeCell ref="I360:J360"/>
    <mergeCell ref="K232:K234"/>
    <mergeCell ref="A233:A235"/>
    <mergeCell ref="K236:K238"/>
    <mergeCell ref="A237:A239"/>
    <mergeCell ref="K240:K242"/>
    <mergeCell ref="A241:A243"/>
    <mergeCell ref="K245:K247"/>
    <mergeCell ref="K251:K252"/>
    <mergeCell ref="K253:K255"/>
    <mergeCell ref="A254:A255"/>
    <mergeCell ref="B256:D256"/>
    <mergeCell ref="F256:G256"/>
    <mergeCell ref="I256:J256"/>
    <mergeCell ref="F257:G257"/>
    <mergeCell ref="F258:G258"/>
    <mergeCell ref="F259:G259"/>
    <mergeCell ref="I245:J245"/>
    <mergeCell ref="F243:G243"/>
    <mergeCell ref="I234:J234"/>
    <mergeCell ref="F233:G233"/>
    <mergeCell ref="F234:G234"/>
    <mergeCell ref="I257:J257"/>
    <mergeCell ref="B255:D255"/>
    <mergeCell ref="B258:D258"/>
    <mergeCell ref="K257:K260"/>
    <mergeCell ref="B257:D257"/>
    <mergeCell ref="B237:D237"/>
    <mergeCell ref="F237:G237"/>
    <mergeCell ref="B235:D235"/>
    <mergeCell ref="F235:G235"/>
    <mergeCell ref="I235:J235"/>
    <mergeCell ref="B232:D232"/>
    <mergeCell ref="G407:H407"/>
    <mergeCell ref="B408:D408"/>
    <mergeCell ref="G408:H408"/>
    <mergeCell ref="I407:J407"/>
    <mergeCell ref="E398:F398"/>
    <mergeCell ref="B398:D398"/>
    <mergeCell ref="G398:H398"/>
    <mergeCell ref="I398:J398"/>
    <mergeCell ref="E411:F411"/>
    <mergeCell ref="I409:J409"/>
    <mergeCell ref="I408:J408"/>
    <mergeCell ref="B411:D411"/>
    <mergeCell ref="E412:F412"/>
    <mergeCell ref="E404:F404"/>
    <mergeCell ref="B406:D406"/>
    <mergeCell ref="G406:H406"/>
    <mergeCell ref="I406:J406"/>
    <mergeCell ref="B401:D401"/>
    <mergeCell ref="G401:H401"/>
    <mergeCell ref="I401:J401"/>
    <mergeCell ref="B402:D402"/>
    <mergeCell ref="G402:H402"/>
    <mergeCell ref="I402:J402"/>
    <mergeCell ref="G404:H404"/>
    <mergeCell ref="I404:J404"/>
    <mergeCell ref="B405:D405"/>
    <mergeCell ref="G405:H405"/>
    <mergeCell ref="B390:D390"/>
    <mergeCell ref="G390:H390"/>
    <mergeCell ref="B404:D404"/>
    <mergeCell ref="E405:F405"/>
    <mergeCell ref="G366:H366"/>
    <mergeCell ref="I366:J366"/>
    <mergeCell ref="B368:D368"/>
    <mergeCell ref="G368:H368"/>
    <mergeCell ref="I368:J368"/>
    <mergeCell ref="B365:D365"/>
    <mergeCell ref="G365:H365"/>
    <mergeCell ref="B375:D375"/>
    <mergeCell ref="I381:J381"/>
    <mergeCell ref="B383:D383"/>
    <mergeCell ref="B382:D382"/>
    <mergeCell ref="G383:H383"/>
    <mergeCell ref="I383:J383"/>
    <mergeCell ref="I390:J390"/>
    <mergeCell ref="B388:D388"/>
    <mergeCell ref="I393:J393"/>
    <mergeCell ref="B369:D369"/>
    <mergeCell ref="G369:H369"/>
    <mergeCell ref="B371:D371"/>
    <mergeCell ref="G371:H371"/>
    <mergeCell ref="I371:J371"/>
    <mergeCell ref="I372:J372"/>
    <mergeCell ref="G388:H388"/>
    <mergeCell ref="B389:D389"/>
    <mergeCell ref="G389:H389"/>
    <mergeCell ref="I388:J388"/>
    <mergeCell ref="I389:J389"/>
    <mergeCell ref="I385:J385"/>
    <mergeCell ref="B415:D415"/>
    <mergeCell ref="B416:D416"/>
    <mergeCell ref="B418:D418"/>
    <mergeCell ref="G418:H418"/>
    <mergeCell ref="I418:J418"/>
    <mergeCell ref="E423:F423"/>
    <mergeCell ref="A424:J424"/>
    <mergeCell ref="E425:F425"/>
    <mergeCell ref="I415:J415"/>
    <mergeCell ref="G416:H416"/>
    <mergeCell ref="I416:J416"/>
    <mergeCell ref="G427:H427"/>
    <mergeCell ref="B427:D427"/>
    <mergeCell ref="I427:J427"/>
    <mergeCell ref="B428:D428"/>
    <mergeCell ref="G428:H428"/>
    <mergeCell ref="I428:J428"/>
    <mergeCell ref="E418:F418"/>
    <mergeCell ref="A70:I70"/>
    <mergeCell ref="G442:H442"/>
    <mergeCell ref="I440:J440"/>
    <mergeCell ref="I441:J441"/>
    <mergeCell ref="B443:D443"/>
    <mergeCell ref="G443:H443"/>
    <mergeCell ref="E454:F454"/>
    <mergeCell ref="B449:D449"/>
    <mergeCell ref="E449:F449"/>
    <mergeCell ref="B450:D450"/>
    <mergeCell ref="E450:F450"/>
    <mergeCell ref="A478:C478"/>
    <mergeCell ref="D479:E479"/>
    <mergeCell ref="F479:I479"/>
    <mergeCell ref="E458:F458"/>
    <mergeCell ref="G458:J458"/>
    <mergeCell ref="I466:J466"/>
    <mergeCell ref="I467:J467"/>
    <mergeCell ref="I468:J468"/>
    <mergeCell ref="I469:J469"/>
    <mergeCell ref="I470:J470"/>
    <mergeCell ref="I471:J471"/>
    <mergeCell ref="G454:H454"/>
    <mergeCell ref="B454:D454"/>
    <mergeCell ref="I442:J442"/>
    <mergeCell ref="B445:D445"/>
    <mergeCell ref="G445:H445"/>
    <mergeCell ref="I445:J445"/>
    <mergeCell ref="B440:D440"/>
    <mergeCell ref="G440:H440"/>
    <mergeCell ref="I474:J474"/>
    <mergeCell ref="I475:J475"/>
  </mergeCells>
  <pageMargins left="0.70866141732283472" right="0.70866141732283472" top="0.74803149606299213" bottom="0.74803149606299213" header="0.31496062992125984" footer="0.31496062992125984"/>
  <pageSetup paperSize="9" scale="38" fitToHeight="6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6"/>
  <sheetViews>
    <sheetView topLeftCell="A135" workbookViewId="0">
      <selection activeCell="A423" sqref="A1:J423"/>
    </sheetView>
  </sheetViews>
  <sheetFormatPr defaultColWidth="9.109375" defaultRowHeight="14.4" x14ac:dyDescent="0.3"/>
  <cols>
    <col min="1" max="1" width="5.109375" style="1" customWidth="1"/>
    <col min="2" max="2" width="25" style="1" customWidth="1"/>
    <col min="3" max="3" width="9.109375" style="1"/>
    <col min="4" max="4" width="17.109375" style="1" customWidth="1"/>
    <col min="5" max="5" width="16.44140625" style="1" customWidth="1"/>
    <col min="6" max="6" width="10.6640625" style="1" customWidth="1"/>
    <col min="7" max="7" width="12.33203125" style="1" customWidth="1"/>
    <col min="8" max="8" width="10.6640625" style="1" customWidth="1"/>
    <col min="9" max="9" width="11.5546875" style="1" customWidth="1"/>
    <col min="10" max="10" width="24.88671875" style="1" customWidth="1"/>
    <col min="11" max="11" width="16.44140625" style="1" customWidth="1"/>
    <col min="12" max="12" width="18.109375" style="1" customWidth="1"/>
    <col min="13" max="13" width="9.6640625" style="1" customWidth="1"/>
    <col min="14" max="14" width="14" style="1" customWidth="1"/>
    <col min="15" max="16384" width="9.109375" style="1"/>
  </cols>
  <sheetData>
    <row r="1" spans="1:11" ht="26.25" customHeight="1" x14ac:dyDescent="0.3">
      <c r="A1" s="1344" t="s">
        <v>68</v>
      </c>
      <c r="B1" s="1344"/>
      <c r="C1" s="1344"/>
      <c r="D1" s="1344"/>
      <c r="E1" s="1344"/>
      <c r="F1" s="1344"/>
      <c r="G1" s="1344"/>
      <c r="H1" s="1344"/>
      <c r="I1" s="1344"/>
      <c r="J1" s="1344"/>
    </row>
    <row r="2" spans="1:11" ht="17.25" customHeight="1" x14ac:dyDescent="0.3">
      <c r="A2" s="1344" t="s">
        <v>474</v>
      </c>
      <c r="B2" s="1344"/>
      <c r="C2" s="1344"/>
      <c r="D2" s="1344"/>
      <c r="E2" s="1344"/>
      <c r="F2" s="1344"/>
      <c r="G2" s="1344"/>
      <c r="H2" s="1344"/>
      <c r="I2" s="1344"/>
      <c r="J2" s="1344"/>
    </row>
    <row r="3" spans="1:11" ht="47.25" customHeight="1" x14ac:dyDescent="0.3">
      <c r="A3" s="1344" t="s">
        <v>986</v>
      </c>
      <c r="B3" s="1344"/>
      <c r="C3" s="1344"/>
      <c r="D3" s="1344"/>
      <c r="E3" s="1344"/>
      <c r="F3" s="1344"/>
      <c r="G3" s="1344"/>
      <c r="H3" s="1344"/>
      <c r="I3" s="1344"/>
      <c r="J3" s="1344"/>
    </row>
    <row r="4" spans="1:11" ht="15.6" x14ac:dyDescent="0.3">
      <c r="A4" s="89"/>
      <c r="B4" s="90"/>
      <c r="C4" s="90"/>
      <c r="D4" s="91" t="s">
        <v>267</v>
      </c>
      <c r="E4" s="296">
        <v>2025</v>
      </c>
      <c r="F4" s="92" t="s">
        <v>656</v>
      </c>
      <c r="G4" s="90"/>
      <c r="H4" s="90"/>
      <c r="I4" s="90"/>
      <c r="J4" s="90"/>
    </row>
    <row r="5" spans="1:11" ht="15.6" x14ac:dyDescent="0.3">
      <c r="A5" s="1218" t="s">
        <v>0</v>
      </c>
      <c r="B5" s="1218"/>
      <c r="C5" s="1218"/>
      <c r="D5" s="1218"/>
      <c r="E5" s="1218"/>
      <c r="F5" s="1218"/>
      <c r="G5" s="1218"/>
      <c r="H5" s="1218"/>
      <c r="I5" s="1218"/>
      <c r="J5" s="1218"/>
    </row>
    <row r="6" spans="1:11" ht="19.5" customHeight="1" x14ac:dyDescent="0.3">
      <c r="A6" s="89" t="s">
        <v>80</v>
      </c>
      <c r="B6" s="90"/>
      <c r="C6" s="349">
        <v>111</v>
      </c>
      <c r="D6" s="349">
        <v>112</v>
      </c>
      <c r="E6" s="349">
        <v>119</v>
      </c>
      <c r="F6" s="94"/>
      <c r="G6" s="94"/>
      <c r="H6" s="94"/>
      <c r="I6" s="94"/>
      <c r="J6" s="94"/>
    </row>
    <row r="7" spans="1:11" ht="22.5" customHeight="1" x14ac:dyDescent="0.3">
      <c r="A7" s="89" t="s">
        <v>81</v>
      </c>
      <c r="B7" s="90"/>
      <c r="C7" s="90"/>
      <c r="D7" s="90"/>
      <c r="E7" s="95" t="s">
        <v>82</v>
      </c>
      <c r="F7" s="96"/>
      <c r="G7" s="95"/>
      <c r="H7" s="96"/>
      <c r="I7" s="95" t="s">
        <v>989</v>
      </c>
      <c r="J7" s="96"/>
    </row>
    <row r="8" spans="1:11" ht="21" customHeight="1" x14ac:dyDescent="0.3">
      <c r="A8" s="1186" t="s">
        <v>357</v>
      </c>
      <c r="B8" s="1186"/>
      <c r="C8" s="1186"/>
      <c r="D8" s="1186"/>
      <c r="E8" s="1186"/>
      <c r="F8" s="1186"/>
      <c r="G8" s="1186"/>
      <c r="H8" s="1186"/>
      <c r="I8" s="1186"/>
      <c r="J8" s="1186"/>
    </row>
    <row r="9" spans="1:11" hidden="1" x14ac:dyDescent="0.3">
      <c r="A9" s="1345" t="s">
        <v>1</v>
      </c>
      <c r="B9" s="1346" t="s">
        <v>2</v>
      </c>
      <c r="C9" s="1346" t="s">
        <v>3</v>
      </c>
      <c r="D9" s="1345" t="s">
        <v>4</v>
      </c>
      <c r="E9" s="1345"/>
      <c r="F9" s="1345"/>
      <c r="G9" s="1345"/>
      <c r="H9" s="1345" t="s">
        <v>5</v>
      </c>
      <c r="I9" s="1346" t="s">
        <v>6</v>
      </c>
      <c r="J9" s="1346" t="s">
        <v>312</v>
      </c>
    </row>
    <row r="10" spans="1:11" ht="33" hidden="1" customHeight="1" x14ac:dyDescent="0.3">
      <c r="A10" s="1345"/>
      <c r="B10" s="1346"/>
      <c r="C10" s="1346"/>
      <c r="D10" s="1346" t="s">
        <v>8</v>
      </c>
      <c r="E10" s="1346" t="s">
        <v>9</v>
      </c>
      <c r="F10" s="1346"/>
      <c r="G10" s="1346"/>
      <c r="H10" s="1345"/>
      <c r="I10" s="1346"/>
      <c r="J10" s="1346"/>
    </row>
    <row r="11" spans="1:11" ht="69" hidden="1" x14ac:dyDescent="0.3">
      <c r="A11" s="1345"/>
      <c r="B11" s="1346"/>
      <c r="C11" s="1346"/>
      <c r="D11" s="1346"/>
      <c r="E11" s="612" t="s">
        <v>10</v>
      </c>
      <c r="F11" s="612" t="s">
        <v>11</v>
      </c>
      <c r="G11" s="612" t="s">
        <v>12</v>
      </c>
      <c r="H11" s="1345"/>
      <c r="I11" s="1346"/>
      <c r="J11" s="1346"/>
    </row>
    <row r="12" spans="1:11" ht="14.25" hidden="1" customHeight="1" x14ac:dyDescent="0.3">
      <c r="A12" s="449">
        <v>1</v>
      </c>
      <c r="B12" s="449">
        <v>2</v>
      </c>
      <c r="C12" s="449">
        <v>3</v>
      </c>
      <c r="D12" s="449">
        <v>4</v>
      </c>
      <c r="E12" s="449">
        <v>5</v>
      </c>
      <c r="F12" s="449">
        <v>6</v>
      </c>
      <c r="G12" s="449">
        <v>7</v>
      </c>
      <c r="H12" s="449">
        <v>8</v>
      </c>
      <c r="I12" s="449">
        <v>9</v>
      </c>
      <c r="J12" s="449">
        <v>10</v>
      </c>
    </row>
    <row r="13" spans="1:11" s="41" customFormat="1" ht="13.8" hidden="1" x14ac:dyDescent="0.3">
      <c r="A13" s="1352" t="s">
        <v>358</v>
      </c>
      <c r="B13" s="1346"/>
      <c r="C13" s="1346"/>
      <c r="D13" s="1346"/>
      <c r="E13" s="1346"/>
      <c r="F13" s="1346"/>
      <c r="G13" s="1346"/>
      <c r="H13" s="1346"/>
      <c r="I13" s="1346"/>
      <c r="J13" s="1346"/>
    </row>
    <row r="14" spans="1:11" s="41" customFormat="1" ht="13.8" hidden="1" x14ac:dyDescent="0.3">
      <c r="A14" s="1353" t="s">
        <v>475</v>
      </c>
      <c r="B14" s="1354"/>
      <c r="C14" s="1354"/>
      <c r="D14" s="1354"/>
      <c r="E14" s="1354"/>
      <c r="F14" s="1354"/>
      <c r="G14" s="1354"/>
      <c r="H14" s="1354"/>
      <c r="I14" s="1354"/>
      <c r="J14" s="1354"/>
    </row>
    <row r="15" spans="1:11" ht="20.25" hidden="1" customHeight="1" x14ac:dyDescent="0.3">
      <c r="A15" s="607">
        <v>1</v>
      </c>
      <c r="B15" s="111" t="s">
        <v>261</v>
      </c>
      <c r="C15" s="607">
        <v>1</v>
      </c>
      <c r="D15" s="112"/>
      <c r="E15" s="112">
        <v>75000</v>
      </c>
      <c r="F15" s="112">
        <v>0</v>
      </c>
      <c r="G15" s="112">
        <v>20000</v>
      </c>
      <c r="H15" s="113">
        <v>50</v>
      </c>
      <c r="I15" s="607">
        <v>1.7</v>
      </c>
      <c r="J15" s="114">
        <f>((C15*D15*(H15/100+I15))*12)</f>
        <v>0</v>
      </c>
      <c r="K15" s="137"/>
    </row>
    <row r="16" spans="1:11" ht="45" hidden="1" customHeight="1" x14ac:dyDescent="0.3">
      <c r="A16" s="607">
        <v>2</v>
      </c>
      <c r="B16" s="111" t="s">
        <v>476</v>
      </c>
      <c r="C16" s="607">
        <v>4</v>
      </c>
      <c r="D16" s="112"/>
      <c r="E16" s="112">
        <v>37800</v>
      </c>
      <c r="F16" s="112">
        <v>0</v>
      </c>
      <c r="G16" s="112">
        <v>6000</v>
      </c>
      <c r="H16" s="113">
        <v>50</v>
      </c>
      <c r="I16" s="607">
        <v>1.7</v>
      </c>
      <c r="J16" s="114">
        <f>((C16*D16*(H16/100+I16))*12)*1</f>
        <v>0</v>
      </c>
    </row>
    <row r="17" spans="1:12" ht="45" hidden="1" customHeight="1" x14ac:dyDescent="0.3">
      <c r="A17" s="607">
        <v>3</v>
      </c>
      <c r="B17" s="111" t="s">
        <v>477</v>
      </c>
      <c r="C17" s="607">
        <v>1</v>
      </c>
      <c r="D17" s="112"/>
      <c r="E17" s="112">
        <v>37800</v>
      </c>
      <c r="F17" s="112">
        <v>0</v>
      </c>
      <c r="G17" s="112">
        <v>6000</v>
      </c>
      <c r="H17" s="113">
        <v>50</v>
      </c>
      <c r="I17" s="607">
        <v>1.7</v>
      </c>
      <c r="J17" s="114">
        <f>((C17*D17*(H17/100+I17))*12)</f>
        <v>0</v>
      </c>
    </row>
    <row r="18" spans="1:12" ht="45" hidden="1" customHeight="1" x14ac:dyDescent="0.3">
      <c r="A18" s="607">
        <v>4</v>
      </c>
      <c r="B18" s="111" t="s">
        <v>478</v>
      </c>
      <c r="C18" s="607">
        <v>0.5</v>
      </c>
      <c r="D18" s="112"/>
      <c r="E18" s="112">
        <v>37800</v>
      </c>
      <c r="F18" s="112">
        <v>0</v>
      </c>
      <c r="G18" s="112">
        <v>6000</v>
      </c>
      <c r="H18" s="113">
        <v>50</v>
      </c>
      <c r="I18" s="607">
        <v>17</v>
      </c>
      <c r="J18" s="114">
        <v>0</v>
      </c>
      <c r="L18" s="1">
        <f>((C18*D18+(H18/100+I18)*12))</f>
        <v>210</v>
      </c>
    </row>
    <row r="19" spans="1:12" ht="49.5" hidden="1" customHeight="1" x14ac:dyDescent="0.3">
      <c r="A19" s="607">
        <v>5</v>
      </c>
      <c r="B19" s="111" t="s">
        <v>479</v>
      </c>
      <c r="C19" s="607">
        <v>1</v>
      </c>
      <c r="D19" s="112"/>
      <c r="E19" s="112">
        <v>37800</v>
      </c>
      <c r="F19" s="112">
        <v>0</v>
      </c>
      <c r="G19" s="112">
        <v>6000</v>
      </c>
      <c r="H19" s="113">
        <v>50</v>
      </c>
      <c r="I19" s="607">
        <v>1.7</v>
      </c>
      <c r="J19" s="114">
        <f>((C19*D19*(H19/100+I19))*12)</f>
        <v>0</v>
      </c>
    </row>
    <row r="20" spans="1:12" hidden="1" x14ac:dyDescent="0.3">
      <c r="A20" s="607">
        <v>6</v>
      </c>
      <c r="B20" s="111" t="s">
        <v>262</v>
      </c>
      <c r="C20" s="607">
        <v>1</v>
      </c>
      <c r="D20" s="112"/>
      <c r="E20" s="112">
        <v>37800</v>
      </c>
      <c r="F20" s="112">
        <v>0</v>
      </c>
      <c r="G20" s="112">
        <v>15000</v>
      </c>
      <c r="H20" s="113">
        <v>50</v>
      </c>
      <c r="I20" s="607">
        <v>1.7</v>
      </c>
      <c r="J20" s="114">
        <f t="shared" ref="J20" si="0">((C20*D20*(H20/100+I20))*12)</f>
        <v>0</v>
      </c>
    </row>
    <row r="21" spans="1:12" ht="27.6" hidden="1" x14ac:dyDescent="0.3">
      <c r="A21" s="115"/>
      <c r="B21" s="116" t="s">
        <v>480</v>
      </c>
      <c r="C21" s="117">
        <f>SUM(C15:C20)</f>
        <v>8.5</v>
      </c>
      <c r="D21" s="118">
        <f>SUM(D15:D20)</f>
        <v>0</v>
      </c>
      <c r="E21" s="117" t="s">
        <v>14</v>
      </c>
      <c r="F21" s="117" t="s">
        <v>14</v>
      </c>
      <c r="G21" s="117" t="s">
        <v>14</v>
      </c>
      <c r="H21" s="117" t="s">
        <v>14</v>
      </c>
      <c r="I21" s="117" t="s">
        <v>14</v>
      </c>
      <c r="J21" s="118">
        <f>SUM(J15:J20)</f>
        <v>0</v>
      </c>
      <c r="K21" s="138"/>
    </row>
    <row r="22" spans="1:12" hidden="1" x14ac:dyDescent="0.3">
      <c r="A22" s="1347" t="s">
        <v>481</v>
      </c>
      <c r="B22" s="1348"/>
      <c r="C22" s="1348"/>
      <c r="D22" s="1348"/>
      <c r="E22" s="1348"/>
      <c r="F22" s="1348"/>
      <c r="G22" s="1348"/>
      <c r="H22" s="1348"/>
      <c r="I22" s="1348"/>
      <c r="J22" s="1348"/>
    </row>
    <row r="23" spans="1:12" ht="18.75" hidden="1" customHeight="1" x14ac:dyDescent="0.3">
      <c r="A23" s="1349" t="s">
        <v>482</v>
      </c>
      <c r="B23" s="1350"/>
      <c r="C23" s="1350"/>
      <c r="D23" s="1350"/>
      <c r="E23" s="1350"/>
      <c r="F23" s="1350"/>
      <c r="G23" s="1350"/>
      <c r="H23" s="1350"/>
      <c r="I23" s="1350"/>
      <c r="J23" s="1351"/>
    </row>
    <row r="24" spans="1:12" hidden="1" x14ac:dyDescent="0.3">
      <c r="A24" s="607">
        <v>1</v>
      </c>
      <c r="B24" s="111" t="s">
        <v>483</v>
      </c>
      <c r="C24" s="607">
        <v>3.5</v>
      </c>
      <c r="D24" s="112"/>
      <c r="E24" s="136">
        <v>10200</v>
      </c>
      <c r="F24" s="112">
        <v>0</v>
      </c>
      <c r="G24" s="112">
        <f>E24*20%</f>
        <v>2040</v>
      </c>
      <c r="H24" s="113">
        <v>50</v>
      </c>
      <c r="I24" s="607">
        <v>1.7</v>
      </c>
      <c r="J24" s="141">
        <f>(C24*D24*(H24/100+I24))*13.8</f>
        <v>0</v>
      </c>
      <c r="K24" s="134"/>
    </row>
    <row r="25" spans="1:12" ht="69" hidden="1" x14ac:dyDescent="0.3">
      <c r="A25" s="607">
        <v>2</v>
      </c>
      <c r="B25" s="111" t="s">
        <v>484</v>
      </c>
      <c r="C25" s="607">
        <v>1</v>
      </c>
      <c r="D25" s="112"/>
      <c r="E25" s="136">
        <v>25000</v>
      </c>
      <c r="F25" s="112">
        <v>0</v>
      </c>
      <c r="G25" s="112">
        <v>5000</v>
      </c>
      <c r="H25" s="113">
        <v>50</v>
      </c>
      <c r="I25" s="607">
        <v>1.7</v>
      </c>
      <c r="J25" s="141">
        <f>(C25*D25*(H25/100+I25))*13</f>
        <v>0</v>
      </c>
    </row>
    <row r="26" spans="1:12" hidden="1" x14ac:dyDescent="0.3">
      <c r="A26" s="607">
        <v>3</v>
      </c>
      <c r="B26" s="111" t="s">
        <v>323</v>
      </c>
      <c r="C26" s="607">
        <v>1.5</v>
      </c>
      <c r="D26" s="112"/>
      <c r="E26" s="136">
        <v>31500</v>
      </c>
      <c r="F26" s="112">
        <v>0</v>
      </c>
      <c r="G26" s="112">
        <f t="shared" ref="G26:G48" si="1">E26*20%</f>
        <v>6300</v>
      </c>
      <c r="H26" s="113">
        <v>50</v>
      </c>
      <c r="I26" s="607">
        <v>1.7</v>
      </c>
      <c r="J26" s="141">
        <f>(C26*D26*(H26/100+I26))*11.4</f>
        <v>0</v>
      </c>
    </row>
    <row r="27" spans="1:12" hidden="1" x14ac:dyDescent="0.3">
      <c r="A27" s="607">
        <v>4</v>
      </c>
      <c r="B27" s="111" t="s">
        <v>485</v>
      </c>
      <c r="C27" s="607">
        <v>2</v>
      </c>
      <c r="D27" s="112"/>
      <c r="E27" s="136">
        <v>14500</v>
      </c>
      <c r="F27" s="112">
        <v>0</v>
      </c>
      <c r="G27" s="112">
        <f t="shared" si="1"/>
        <v>2900</v>
      </c>
      <c r="H27" s="113">
        <v>50</v>
      </c>
      <c r="I27" s="607">
        <v>1.7</v>
      </c>
      <c r="J27" s="141">
        <f>(C27*D27*(H27/100+I27))*14.6</f>
        <v>0</v>
      </c>
    </row>
    <row r="28" spans="1:12" hidden="1" x14ac:dyDescent="0.3">
      <c r="A28" s="607">
        <v>5</v>
      </c>
      <c r="B28" s="111" t="s">
        <v>324</v>
      </c>
      <c r="C28" s="607">
        <v>1</v>
      </c>
      <c r="D28" s="112"/>
      <c r="E28" s="136">
        <v>30000</v>
      </c>
      <c r="F28" s="112">
        <v>0</v>
      </c>
      <c r="G28" s="112">
        <f t="shared" si="1"/>
        <v>6000</v>
      </c>
      <c r="H28" s="113">
        <v>50</v>
      </c>
      <c r="I28" s="607">
        <v>1.7</v>
      </c>
      <c r="J28" s="141">
        <f t="shared" ref="J28" si="2">(C28*D28*(H28/100+I28))*14.6</f>
        <v>0</v>
      </c>
    </row>
    <row r="29" spans="1:12" hidden="1" x14ac:dyDescent="0.3">
      <c r="A29" s="607">
        <v>6</v>
      </c>
      <c r="B29" s="111" t="s">
        <v>322</v>
      </c>
      <c r="C29" s="607">
        <v>2</v>
      </c>
      <c r="D29" s="112"/>
      <c r="E29" s="136">
        <v>32500</v>
      </c>
      <c r="F29" s="112">
        <v>0</v>
      </c>
      <c r="G29" s="112">
        <f t="shared" si="1"/>
        <v>6500</v>
      </c>
      <c r="H29" s="113">
        <v>50</v>
      </c>
      <c r="I29" s="607">
        <v>1.7</v>
      </c>
      <c r="J29" s="141">
        <f>(C29*D29*(H29/100+I29))*13.2</f>
        <v>0</v>
      </c>
    </row>
    <row r="30" spans="1:12" hidden="1" x14ac:dyDescent="0.3">
      <c r="A30" s="607">
        <v>7</v>
      </c>
      <c r="B30" s="111" t="s">
        <v>321</v>
      </c>
      <c r="C30" s="607">
        <v>5</v>
      </c>
      <c r="D30" s="112"/>
      <c r="E30" s="136">
        <v>25000</v>
      </c>
      <c r="F30" s="112">
        <v>0</v>
      </c>
      <c r="G30" s="112">
        <f t="shared" si="1"/>
        <v>5000</v>
      </c>
      <c r="H30" s="113">
        <v>50</v>
      </c>
      <c r="I30" s="607">
        <v>1.7</v>
      </c>
      <c r="J30" s="141">
        <f>(C30*D30*(H30/100+I30))*13.2</f>
        <v>0</v>
      </c>
    </row>
    <row r="31" spans="1:12" ht="27.6" hidden="1" x14ac:dyDescent="0.3">
      <c r="A31" s="607">
        <v>6</v>
      </c>
      <c r="B31" s="111" t="s">
        <v>486</v>
      </c>
      <c r="C31" s="607">
        <v>7.83</v>
      </c>
      <c r="D31" s="112"/>
      <c r="E31" s="136">
        <v>12000</v>
      </c>
      <c r="F31" s="112">
        <v>0</v>
      </c>
      <c r="G31" s="112">
        <f t="shared" si="1"/>
        <v>2400</v>
      </c>
      <c r="H31" s="113">
        <v>50</v>
      </c>
      <c r="I31" s="607">
        <v>1.7</v>
      </c>
      <c r="J31" s="141">
        <f>(C31*D31*(H31/100+I31))*12.8</f>
        <v>0</v>
      </c>
      <c r="K31" s="86"/>
    </row>
    <row r="32" spans="1:12" hidden="1" x14ac:dyDescent="0.3">
      <c r="A32" s="607">
        <v>14</v>
      </c>
      <c r="B32" s="111" t="s">
        <v>324</v>
      </c>
      <c r="C32" s="607"/>
      <c r="D32" s="112"/>
      <c r="E32" s="136"/>
      <c r="F32" s="112"/>
      <c r="G32" s="112">
        <f t="shared" si="1"/>
        <v>0</v>
      </c>
      <c r="H32" s="113">
        <v>50</v>
      </c>
      <c r="I32" s="607">
        <v>1.7</v>
      </c>
      <c r="J32" s="141">
        <f t="shared" ref="J32" si="3">(C32*D32*(H32/100+I32))*12</f>
        <v>0</v>
      </c>
      <c r="K32" s="86"/>
    </row>
    <row r="33" spans="1:11" hidden="1" x14ac:dyDescent="0.3">
      <c r="A33" s="607">
        <v>7</v>
      </c>
      <c r="B33" s="111" t="s">
        <v>487</v>
      </c>
      <c r="C33" s="607">
        <v>79.83</v>
      </c>
      <c r="D33" s="112"/>
      <c r="E33" s="136">
        <v>10150</v>
      </c>
      <c r="F33" s="112">
        <v>0</v>
      </c>
      <c r="G33" s="112">
        <f t="shared" si="1"/>
        <v>2030</v>
      </c>
      <c r="H33" s="113">
        <v>50</v>
      </c>
      <c r="I33" s="607">
        <v>1.7</v>
      </c>
      <c r="J33" s="114">
        <f>((C33*D33*(H33/100+I33))*12)*1.2</f>
        <v>0</v>
      </c>
      <c r="K33" s="86"/>
    </row>
    <row r="34" spans="1:11" hidden="1" x14ac:dyDescent="0.3">
      <c r="A34" s="607">
        <v>8</v>
      </c>
      <c r="B34" s="111" t="s">
        <v>488</v>
      </c>
      <c r="C34" s="607"/>
      <c r="D34" s="112"/>
      <c r="E34" s="136"/>
      <c r="F34" s="112">
        <v>0</v>
      </c>
      <c r="G34" s="112">
        <f t="shared" si="1"/>
        <v>0</v>
      </c>
      <c r="H34" s="113">
        <v>50</v>
      </c>
      <c r="I34" s="607">
        <v>1.7</v>
      </c>
      <c r="J34" s="114">
        <f t="shared" ref="J34:J44" si="4">((C34*D34*(H34/100+I34))*12)*1.2</f>
        <v>0</v>
      </c>
      <c r="K34" s="86"/>
    </row>
    <row r="35" spans="1:11" s="217" customFormat="1" hidden="1" x14ac:dyDescent="0.3">
      <c r="A35" s="214"/>
      <c r="B35" s="215" t="s">
        <v>489</v>
      </c>
      <c r="C35" s="214">
        <f>SUM(C24:C34)</f>
        <v>103.66</v>
      </c>
      <c r="D35" s="214">
        <f t="shared" ref="D35:J35" si="5">SUM(D24:D34)</f>
        <v>0</v>
      </c>
      <c r="E35" s="214">
        <f t="shared" si="5"/>
        <v>190850</v>
      </c>
      <c r="F35" s="214">
        <f t="shared" si="5"/>
        <v>0</v>
      </c>
      <c r="G35" s="214">
        <f t="shared" si="5"/>
        <v>38170</v>
      </c>
      <c r="H35" s="214">
        <v>0</v>
      </c>
      <c r="I35" s="214">
        <v>0</v>
      </c>
      <c r="J35" s="214">
        <f t="shared" si="5"/>
        <v>0</v>
      </c>
      <c r="K35" s="216"/>
    </row>
    <row r="36" spans="1:11" hidden="1" x14ac:dyDescent="0.3">
      <c r="A36" s="1349" t="s">
        <v>490</v>
      </c>
      <c r="B36" s="1350"/>
      <c r="C36" s="1350"/>
      <c r="D36" s="1350"/>
      <c r="E36" s="1350"/>
      <c r="F36" s="1350"/>
      <c r="G36" s="1350"/>
      <c r="H36" s="1350"/>
      <c r="I36" s="1350"/>
      <c r="J36" s="1351"/>
      <c r="K36" s="86"/>
    </row>
    <row r="37" spans="1:11" hidden="1" x14ac:dyDescent="0.3">
      <c r="A37" s="607">
        <v>1</v>
      </c>
      <c r="B37" s="111" t="s">
        <v>496</v>
      </c>
      <c r="C37" s="607">
        <v>2</v>
      </c>
      <c r="D37" s="112"/>
      <c r="E37" s="136">
        <v>12600</v>
      </c>
      <c r="F37" s="112">
        <v>0</v>
      </c>
      <c r="G37" s="112">
        <f t="shared" ref="G37:G41" si="6">E37*20%</f>
        <v>2520</v>
      </c>
      <c r="H37" s="113">
        <v>50</v>
      </c>
      <c r="I37" s="607">
        <v>1.7</v>
      </c>
      <c r="J37" s="114">
        <f t="shared" ref="J37:J41" si="7">((C37*D37*(H37/100+I37))*12)*1.2</f>
        <v>0</v>
      </c>
      <c r="K37" s="86"/>
    </row>
    <row r="38" spans="1:11" hidden="1" x14ac:dyDescent="0.3">
      <c r="A38" s="607">
        <v>2</v>
      </c>
      <c r="B38" s="111" t="s">
        <v>495</v>
      </c>
      <c r="C38" s="607">
        <v>1.5</v>
      </c>
      <c r="D38" s="112"/>
      <c r="E38" s="136">
        <v>22000</v>
      </c>
      <c r="F38" s="112">
        <v>0</v>
      </c>
      <c r="G38" s="112">
        <f t="shared" si="6"/>
        <v>4400</v>
      </c>
      <c r="H38" s="113">
        <v>50</v>
      </c>
      <c r="I38" s="607">
        <v>1.7</v>
      </c>
      <c r="J38" s="114">
        <f t="shared" si="7"/>
        <v>0</v>
      </c>
      <c r="K38" s="86"/>
    </row>
    <row r="39" spans="1:11" hidden="1" x14ac:dyDescent="0.3">
      <c r="A39" s="607">
        <v>3</v>
      </c>
      <c r="B39" s="111" t="s">
        <v>494</v>
      </c>
      <c r="C39" s="607">
        <v>1.25</v>
      </c>
      <c r="D39" s="112"/>
      <c r="E39" s="136">
        <v>18000</v>
      </c>
      <c r="F39" s="112">
        <v>0</v>
      </c>
      <c r="G39" s="112">
        <f t="shared" si="6"/>
        <v>3600</v>
      </c>
      <c r="H39" s="113">
        <v>50</v>
      </c>
      <c r="I39" s="607">
        <v>1.7</v>
      </c>
      <c r="J39" s="114">
        <f t="shared" si="7"/>
        <v>0</v>
      </c>
      <c r="K39" s="86"/>
    </row>
    <row r="40" spans="1:11" hidden="1" x14ac:dyDescent="0.3">
      <c r="A40" s="607">
        <v>4</v>
      </c>
      <c r="B40" s="111" t="s">
        <v>326</v>
      </c>
      <c r="C40" s="607">
        <v>1.25</v>
      </c>
      <c r="D40" s="112"/>
      <c r="E40" s="136">
        <v>13000</v>
      </c>
      <c r="F40" s="112">
        <v>0</v>
      </c>
      <c r="G40" s="112">
        <f t="shared" si="6"/>
        <v>2600</v>
      </c>
      <c r="H40" s="113">
        <v>50</v>
      </c>
      <c r="I40" s="607">
        <v>1.7</v>
      </c>
      <c r="J40" s="114">
        <f t="shared" si="7"/>
        <v>0</v>
      </c>
      <c r="K40" s="86"/>
    </row>
    <row r="41" spans="1:11" hidden="1" x14ac:dyDescent="0.3">
      <c r="A41" s="607">
        <v>5</v>
      </c>
      <c r="B41" s="111" t="s">
        <v>327</v>
      </c>
      <c r="C41" s="607">
        <v>1</v>
      </c>
      <c r="D41" s="112"/>
      <c r="E41" s="136">
        <v>13000</v>
      </c>
      <c r="F41" s="112">
        <v>0</v>
      </c>
      <c r="G41" s="112">
        <f t="shared" si="6"/>
        <v>2600</v>
      </c>
      <c r="H41" s="113">
        <v>50</v>
      </c>
      <c r="I41" s="607">
        <v>1.7</v>
      </c>
      <c r="J41" s="114">
        <f t="shared" si="7"/>
        <v>0</v>
      </c>
      <c r="K41" s="86"/>
    </row>
    <row r="42" spans="1:11" hidden="1" x14ac:dyDescent="0.3">
      <c r="A42" s="607">
        <v>6</v>
      </c>
      <c r="B42" s="111" t="s">
        <v>493</v>
      </c>
      <c r="C42" s="607">
        <v>1</v>
      </c>
      <c r="D42" s="112"/>
      <c r="E42" s="136">
        <v>11000</v>
      </c>
      <c r="F42" s="112">
        <v>0</v>
      </c>
      <c r="G42" s="112">
        <f t="shared" si="1"/>
        <v>2200</v>
      </c>
      <c r="H42" s="113">
        <v>50</v>
      </c>
      <c r="I42" s="607">
        <v>1.7</v>
      </c>
      <c r="J42" s="114">
        <f t="shared" si="4"/>
        <v>0</v>
      </c>
      <c r="K42" s="86"/>
    </row>
    <row r="43" spans="1:11" ht="27.6" hidden="1" x14ac:dyDescent="0.3">
      <c r="A43" s="607">
        <v>7</v>
      </c>
      <c r="B43" s="111" t="s">
        <v>492</v>
      </c>
      <c r="C43" s="607">
        <v>1</v>
      </c>
      <c r="D43" s="112"/>
      <c r="E43" s="136">
        <v>12000</v>
      </c>
      <c r="F43" s="112">
        <v>0</v>
      </c>
      <c r="G43" s="112">
        <f t="shared" si="1"/>
        <v>2400</v>
      </c>
      <c r="H43" s="113">
        <v>50</v>
      </c>
      <c r="I43" s="607">
        <v>1.7</v>
      </c>
      <c r="J43" s="114">
        <f t="shared" si="4"/>
        <v>0</v>
      </c>
      <c r="K43" s="86"/>
    </row>
    <row r="44" spans="1:11" ht="27.6" hidden="1" x14ac:dyDescent="0.3">
      <c r="A44" s="607">
        <v>8</v>
      </c>
      <c r="B44" s="111" t="s">
        <v>491</v>
      </c>
      <c r="C44" s="607">
        <v>1</v>
      </c>
      <c r="D44" s="112"/>
      <c r="E44" s="136">
        <v>22000</v>
      </c>
      <c r="F44" s="112">
        <v>0</v>
      </c>
      <c r="G44" s="112">
        <f t="shared" si="1"/>
        <v>4400</v>
      </c>
      <c r="H44" s="113">
        <v>50</v>
      </c>
      <c r="I44" s="607">
        <v>1.7</v>
      </c>
      <c r="J44" s="114">
        <f t="shared" si="4"/>
        <v>0</v>
      </c>
      <c r="K44" s="86"/>
    </row>
    <row r="45" spans="1:11" ht="27.6" hidden="1" x14ac:dyDescent="0.3">
      <c r="A45" s="607">
        <v>9</v>
      </c>
      <c r="B45" s="111" t="s">
        <v>325</v>
      </c>
      <c r="C45" s="607">
        <v>1</v>
      </c>
      <c r="D45" s="112"/>
      <c r="E45" s="136">
        <v>14000</v>
      </c>
      <c r="F45" s="112">
        <v>0</v>
      </c>
      <c r="G45" s="112">
        <f t="shared" si="1"/>
        <v>2800</v>
      </c>
      <c r="H45" s="113">
        <v>50</v>
      </c>
      <c r="I45" s="607">
        <v>1.7</v>
      </c>
      <c r="J45" s="114">
        <f>((C45*D45*(H45/100+I45))*12)*1.2</f>
        <v>0</v>
      </c>
      <c r="K45" s="137"/>
    </row>
    <row r="46" spans="1:11" hidden="1" x14ac:dyDescent="0.3">
      <c r="A46" s="607">
        <v>10</v>
      </c>
      <c r="B46" s="111" t="s">
        <v>497</v>
      </c>
      <c r="C46" s="607">
        <v>1</v>
      </c>
      <c r="D46" s="112"/>
      <c r="E46" s="136">
        <v>13000</v>
      </c>
      <c r="F46" s="112">
        <v>0</v>
      </c>
      <c r="G46" s="112">
        <f t="shared" si="1"/>
        <v>2600</v>
      </c>
      <c r="H46" s="113">
        <v>50</v>
      </c>
      <c r="I46" s="607">
        <v>1.7</v>
      </c>
      <c r="J46" s="114">
        <f>((C46*D46*(H46/100+I46))*12)*1</f>
        <v>0</v>
      </c>
    </row>
    <row r="47" spans="1:11" hidden="1" x14ac:dyDescent="0.3">
      <c r="A47" s="607">
        <v>11</v>
      </c>
      <c r="B47" s="111" t="s">
        <v>498</v>
      </c>
      <c r="C47" s="607">
        <v>1</v>
      </c>
      <c r="D47" s="112"/>
      <c r="E47" s="136">
        <v>12000</v>
      </c>
      <c r="F47" s="112">
        <v>0</v>
      </c>
      <c r="G47" s="112">
        <f t="shared" si="1"/>
        <v>2400</v>
      </c>
      <c r="H47" s="113">
        <v>50</v>
      </c>
      <c r="I47" s="607">
        <v>1.7</v>
      </c>
      <c r="J47" s="114">
        <f>((C47*D47*(H47/100+I47))*12)*1.4</f>
        <v>0</v>
      </c>
    </row>
    <row r="48" spans="1:11" hidden="1" x14ac:dyDescent="0.3">
      <c r="A48" s="607">
        <v>12</v>
      </c>
      <c r="B48" s="111" t="s">
        <v>499</v>
      </c>
      <c r="C48" s="607">
        <v>2</v>
      </c>
      <c r="D48" s="112"/>
      <c r="E48" s="136">
        <v>14000</v>
      </c>
      <c r="F48" s="112">
        <v>0</v>
      </c>
      <c r="G48" s="112">
        <f t="shared" si="1"/>
        <v>2800</v>
      </c>
      <c r="H48" s="113">
        <v>50</v>
      </c>
      <c r="I48" s="607">
        <v>1.7</v>
      </c>
      <c r="J48" s="114">
        <f>((C48*D48*(H48/100+I48))*12)*1.3</f>
        <v>0</v>
      </c>
    </row>
    <row r="49" spans="1:11" s="217" customFormat="1" hidden="1" x14ac:dyDescent="0.3">
      <c r="A49" s="214"/>
      <c r="B49" s="215" t="s">
        <v>500</v>
      </c>
      <c r="C49" s="214">
        <f>SUM(C37:C48)</f>
        <v>15</v>
      </c>
      <c r="D49" s="214"/>
      <c r="E49" s="214">
        <f t="shared" ref="E49:J49" si="8">SUM(E37:E48)</f>
        <v>176600</v>
      </c>
      <c r="F49" s="214">
        <f t="shared" si="8"/>
        <v>0</v>
      </c>
      <c r="G49" s="214">
        <f t="shared" si="8"/>
        <v>35320</v>
      </c>
      <c r="H49" s="214">
        <v>0</v>
      </c>
      <c r="I49" s="214">
        <v>0</v>
      </c>
      <c r="J49" s="214">
        <f t="shared" si="8"/>
        <v>0</v>
      </c>
    </row>
    <row r="50" spans="1:11" ht="27.6" hidden="1" x14ac:dyDescent="0.3">
      <c r="A50" s="115"/>
      <c r="B50" s="116" t="s">
        <v>501</v>
      </c>
      <c r="C50" s="117">
        <f>C35+C49</f>
        <v>118.66</v>
      </c>
      <c r="D50" s="117">
        <f>D35+D49</f>
        <v>0</v>
      </c>
      <c r="E50" s="117" t="s">
        <v>14</v>
      </c>
      <c r="F50" s="117" t="s">
        <v>14</v>
      </c>
      <c r="G50" s="117" t="s">
        <v>14</v>
      </c>
      <c r="H50" s="117" t="s">
        <v>14</v>
      </c>
      <c r="I50" s="117" t="s">
        <v>14</v>
      </c>
      <c r="J50" s="117">
        <f>J35+J49</f>
        <v>0</v>
      </c>
    </row>
    <row r="51" spans="1:11" hidden="1" x14ac:dyDescent="0.3">
      <c r="A51" s="1347" t="s">
        <v>505</v>
      </c>
      <c r="B51" s="1348"/>
      <c r="C51" s="1348"/>
      <c r="D51" s="1348"/>
      <c r="E51" s="1348"/>
      <c r="F51" s="1348"/>
      <c r="G51" s="1348"/>
      <c r="H51" s="1348"/>
      <c r="I51" s="1348"/>
      <c r="J51" s="1348"/>
    </row>
    <row r="52" spans="1:11" hidden="1" x14ac:dyDescent="0.3">
      <c r="A52" s="607">
        <v>1</v>
      </c>
      <c r="B52" s="111" t="s">
        <v>328</v>
      </c>
      <c r="C52" s="607">
        <v>1</v>
      </c>
      <c r="D52" s="112"/>
      <c r="E52" s="136">
        <v>10000</v>
      </c>
      <c r="F52" s="112">
        <v>0</v>
      </c>
      <c r="G52" s="112">
        <f>E52*20%</f>
        <v>2000</v>
      </c>
      <c r="H52" s="113">
        <v>50</v>
      </c>
      <c r="I52" s="607">
        <v>1.7</v>
      </c>
      <c r="J52" s="114">
        <f>((C52*D52*(H52/100+I52))*12)*1.37</f>
        <v>0</v>
      </c>
      <c r="K52" s="137"/>
    </row>
    <row r="53" spans="1:11" hidden="1" x14ac:dyDescent="0.3">
      <c r="A53" s="607">
        <v>2</v>
      </c>
      <c r="B53" s="111" t="s">
        <v>503</v>
      </c>
      <c r="C53" s="607">
        <v>1</v>
      </c>
      <c r="D53" s="112"/>
      <c r="E53" s="136">
        <v>9500</v>
      </c>
      <c r="F53" s="112">
        <v>0</v>
      </c>
      <c r="G53" s="112"/>
      <c r="H53" s="113">
        <v>50</v>
      </c>
      <c r="I53" s="607">
        <v>1.7</v>
      </c>
      <c r="J53" s="114">
        <f>((C53*D53*(H53/100+I53))*12)*1.37</f>
        <v>0</v>
      </c>
      <c r="K53" s="137"/>
    </row>
    <row r="54" spans="1:11" ht="27.6" hidden="1" x14ac:dyDescent="0.3">
      <c r="A54" s="607">
        <v>3</v>
      </c>
      <c r="B54" s="111" t="s">
        <v>504</v>
      </c>
      <c r="C54" s="607">
        <v>0.17</v>
      </c>
      <c r="D54" s="112"/>
      <c r="E54" s="136">
        <v>8500</v>
      </c>
      <c r="F54" s="112">
        <v>0</v>
      </c>
      <c r="G54" s="112">
        <f>E54*20%</f>
        <v>1700</v>
      </c>
      <c r="H54" s="113">
        <v>50</v>
      </c>
      <c r="I54" s="607">
        <v>1.7</v>
      </c>
      <c r="J54" s="114">
        <f>((C54*D54*(H54/100+I54))*12)*1.22</f>
        <v>0</v>
      </c>
    </row>
    <row r="55" spans="1:11" ht="27.6" hidden="1" x14ac:dyDescent="0.3">
      <c r="A55" s="115"/>
      <c r="B55" s="116" t="s">
        <v>502</v>
      </c>
      <c r="C55" s="117">
        <f>SUM(C52:C54)</f>
        <v>2.17</v>
      </c>
      <c r="D55" s="119">
        <f>SUM(D52:D54)</f>
        <v>0</v>
      </c>
      <c r="E55" s="117" t="s">
        <v>14</v>
      </c>
      <c r="F55" s="117" t="s">
        <v>14</v>
      </c>
      <c r="G55" s="117" t="s">
        <v>14</v>
      </c>
      <c r="H55" s="117" t="s">
        <v>14</v>
      </c>
      <c r="I55" s="117" t="s">
        <v>14</v>
      </c>
      <c r="J55" s="120">
        <f>SUM(J52:J54)</f>
        <v>0</v>
      </c>
    </row>
    <row r="56" spans="1:11" hidden="1" x14ac:dyDescent="0.3">
      <c r="A56" s="1347" t="s">
        <v>506</v>
      </c>
      <c r="B56" s="1354"/>
      <c r="C56" s="1354"/>
      <c r="D56" s="1354"/>
      <c r="E56" s="1354"/>
      <c r="F56" s="1354"/>
      <c r="G56" s="1354"/>
      <c r="H56" s="1354"/>
      <c r="I56" s="1354"/>
      <c r="J56" s="1354"/>
    </row>
    <row r="57" spans="1:11" ht="27.6" hidden="1" x14ac:dyDescent="0.3">
      <c r="A57" s="607">
        <v>1</v>
      </c>
      <c r="B57" s="111" t="s">
        <v>316</v>
      </c>
      <c r="C57" s="607">
        <v>14</v>
      </c>
      <c r="D57" s="112"/>
      <c r="E57" s="136">
        <v>12500</v>
      </c>
      <c r="F57" s="112">
        <f>E57*2%</f>
        <v>250</v>
      </c>
      <c r="G57" s="112">
        <f>E57*18%</f>
        <v>2250</v>
      </c>
      <c r="H57" s="113">
        <v>50</v>
      </c>
      <c r="I57" s="607">
        <v>1.7</v>
      </c>
      <c r="J57" s="114">
        <f>((C57*D57*(H57/100+I57))*12)*1.2</f>
        <v>0</v>
      </c>
      <c r="K57" s="137"/>
    </row>
    <row r="58" spans="1:11" hidden="1" x14ac:dyDescent="0.3">
      <c r="A58" s="607">
        <v>2</v>
      </c>
      <c r="B58" s="111" t="s">
        <v>507</v>
      </c>
      <c r="C58" s="607">
        <v>1</v>
      </c>
      <c r="D58" s="112"/>
      <c r="E58" s="136">
        <v>12000</v>
      </c>
      <c r="F58" s="112">
        <v>0</v>
      </c>
      <c r="G58" s="112">
        <f>E58*20%</f>
        <v>2400</v>
      </c>
      <c r="H58" s="113">
        <v>50</v>
      </c>
      <c r="I58" s="607">
        <v>1.7</v>
      </c>
      <c r="J58" s="114">
        <f>((C58*D58*(H58/100+I58))*12)*1.2</f>
        <v>0</v>
      </c>
      <c r="K58" s="137"/>
    </row>
    <row r="59" spans="1:11" ht="41.4" hidden="1" x14ac:dyDescent="0.3">
      <c r="A59" s="607">
        <v>3</v>
      </c>
      <c r="B59" s="111" t="s">
        <v>314</v>
      </c>
      <c r="C59" s="607">
        <v>1.5</v>
      </c>
      <c r="D59" s="112"/>
      <c r="E59" s="136">
        <v>11000</v>
      </c>
      <c r="F59" s="112">
        <v>0</v>
      </c>
      <c r="G59" s="112">
        <f>E59*20%</f>
        <v>2200</v>
      </c>
      <c r="H59" s="113">
        <v>50</v>
      </c>
      <c r="I59" s="607">
        <v>1.7</v>
      </c>
      <c r="J59" s="114">
        <f>((C59*D59*(H59/100+I59))*12)*1.13</f>
        <v>0</v>
      </c>
    </row>
    <row r="60" spans="1:11" hidden="1" x14ac:dyDescent="0.3">
      <c r="A60" s="607">
        <v>4</v>
      </c>
      <c r="B60" s="111" t="s">
        <v>317</v>
      </c>
      <c r="C60" s="607">
        <v>3</v>
      </c>
      <c r="D60" s="112"/>
      <c r="E60" s="136">
        <v>12000</v>
      </c>
      <c r="F60" s="112">
        <v>0</v>
      </c>
      <c r="G60" s="112">
        <f t="shared" ref="G60:G63" si="9">E60*20%</f>
        <v>2400</v>
      </c>
      <c r="H60" s="113">
        <v>50</v>
      </c>
      <c r="I60" s="607">
        <v>1.7</v>
      </c>
      <c r="J60" s="114">
        <f t="shared" ref="J60:J63" si="10">((C60*D60*(H60/100+I60))*12)*1.13</f>
        <v>0</v>
      </c>
    </row>
    <row r="61" spans="1:11" hidden="1" x14ac:dyDescent="0.3">
      <c r="A61" s="607">
        <v>5</v>
      </c>
      <c r="B61" s="111" t="s">
        <v>508</v>
      </c>
      <c r="C61" s="607">
        <v>2</v>
      </c>
      <c r="D61" s="112"/>
      <c r="E61" s="136">
        <v>8000</v>
      </c>
      <c r="F61" s="112">
        <v>0</v>
      </c>
      <c r="G61" s="112">
        <f t="shared" si="9"/>
        <v>1600</v>
      </c>
      <c r="H61" s="113">
        <v>50</v>
      </c>
      <c r="I61" s="607">
        <v>1.7</v>
      </c>
      <c r="J61" s="114">
        <f t="shared" si="10"/>
        <v>0</v>
      </c>
    </row>
    <row r="62" spans="1:11" hidden="1" x14ac:dyDescent="0.3">
      <c r="A62" s="607">
        <v>6</v>
      </c>
      <c r="B62" s="111" t="s">
        <v>315</v>
      </c>
      <c r="C62" s="607">
        <v>1</v>
      </c>
      <c r="D62" s="112"/>
      <c r="E62" s="136">
        <v>10000</v>
      </c>
      <c r="F62" s="112">
        <v>0</v>
      </c>
      <c r="G62" s="112">
        <f t="shared" si="9"/>
        <v>2000</v>
      </c>
      <c r="H62" s="113">
        <v>50</v>
      </c>
      <c r="I62" s="607">
        <v>1.7</v>
      </c>
      <c r="J62" s="114">
        <f t="shared" si="10"/>
        <v>0</v>
      </c>
    </row>
    <row r="63" spans="1:11" hidden="1" x14ac:dyDescent="0.3">
      <c r="A63" s="607">
        <v>7</v>
      </c>
      <c r="B63" s="111" t="s">
        <v>318</v>
      </c>
      <c r="C63" s="607">
        <v>2</v>
      </c>
      <c r="D63" s="112"/>
      <c r="E63" s="136">
        <v>10000</v>
      </c>
      <c r="F63" s="112">
        <v>0</v>
      </c>
      <c r="G63" s="112">
        <f t="shared" si="9"/>
        <v>2000</v>
      </c>
      <c r="H63" s="113">
        <v>50</v>
      </c>
      <c r="I63" s="607">
        <v>1.7</v>
      </c>
      <c r="J63" s="114">
        <f t="shared" si="10"/>
        <v>0</v>
      </c>
    </row>
    <row r="64" spans="1:11" ht="27.6" hidden="1" x14ac:dyDescent="0.3">
      <c r="A64" s="115"/>
      <c r="B64" s="116" t="s">
        <v>509</v>
      </c>
      <c r="C64" s="117">
        <f>SUM(C57:C63)</f>
        <v>24.5</v>
      </c>
      <c r="D64" s="119">
        <f>SUM(D57:D63)</f>
        <v>0</v>
      </c>
      <c r="E64" s="117" t="s">
        <v>14</v>
      </c>
      <c r="F64" s="117" t="s">
        <v>14</v>
      </c>
      <c r="G64" s="117" t="s">
        <v>14</v>
      </c>
      <c r="H64" s="117" t="s">
        <v>14</v>
      </c>
      <c r="I64" s="117" t="s">
        <v>14</v>
      </c>
      <c r="J64" s="120">
        <f>SUM(J57:J63)</f>
        <v>0</v>
      </c>
      <c r="K64" s="138"/>
    </row>
    <row r="65" spans="1:12" s="41" customFormat="1" ht="13.8" hidden="1" x14ac:dyDescent="0.3">
      <c r="A65" s="1359" t="s">
        <v>320</v>
      </c>
      <c r="B65" s="1360"/>
      <c r="C65" s="1360"/>
      <c r="D65" s="1360"/>
      <c r="E65" s="1360"/>
      <c r="F65" s="1360"/>
      <c r="G65" s="1360"/>
      <c r="H65" s="1360"/>
      <c r="I65" s="1360"/>
      <c r="J65" s="129"/>
    </row>
    <row r="66" spans="1:12" hidden="1" x14ac:dyDescent="0.3">
      <c r="A66" s="1361" t="s">
        <v>331</v>
      </c>
      <c r="B66" s="1361"/>
      <c r="C66" s="87">
        <f>C21+C50+C55+C64</f>
        <v>153.82999999999998</v>
      </c>
      <c r="D66" s="88">
        <f>D21+D50+D55+D64</f>
        <v>0</v>
      </c>
      <c r="E66" s="87" t="s">
        <v>14</v>
      </c>
      <c r="F66" s="87" t="s">
        <v>14</v>
      </c>
      <c r="G66" s="87" t="s">
        <v>14</v>
      </c>
      <c r="H66" s="87" t="s">
        <v>14</v>
      </c>
      <c r="I66" s="87" t="s">
        <v>14</v>
      </c>
      <c r="J66" s="153">
        <f>J21+J50+J55+J64</f>
        <v>0</v>
      </c>
      <c r="L66" s="86"/>
    </row>
    <row r="67" spans="1:12" ht="45.75" customHeight="1" x14ac:dyDescent="0.3">
      <c r="A67" s="1345" t="s">
        <v>634</v>
      </c>
      <c r="B67" s="1345"/>
      <c r="C67" s="611">
        <v>35</v>
      </c>
      <c r="D67" s="611">
        <f>E67</f>
        <v>5000</v>
      </c>
      <c r="E67" s="611">
        <v>5000</v>
      </c>
      <c r="F67" s="611"/>
      <c r="G67" s="611">
        <v>0</v>
      </c>
      <c r="H67" s="611">
        <v>0.5</v>
      </c>
      <c r="I67" s="611">
        <v>1.5</v>
      </c>
      <c r="J67" s="114">
        <v>4220000</v>
      </c>
      <c r="L67" s="86"/>
    </row>
    <row r="68" spans="1:12" ht="21.75" customHeight="1" x14ac:dyDescent="0.3">
      <c r="A68" s="1362" t="s">
        <v>722</v>
      </c>
      <c r="B68" s="1363"/>
      <c r="C68" s="1363"/>
      <c r="D68" s="1363"/>
      <c r="E68" s="1363"/>
      <c r="F68" s="1363"/>
      <c r="G68" s="1363"/>
      <c r="H68" s="1363"/>
      <c r="I68" s="1364"/>
      <c r="J68" s="221">
        <f>J66+J67</f>
        <v>4220000</v>
      </c>
      <c r="L68" s="86"/>
    </row>
    <row r="69" spans="1:12" ht="39.75" hidden="1" customHeight="1" x14ac:dyDescent="0.3">
      <c r="A69" s="613"/>
      <c r="B69" s="640"/>
      <c r="C69" s="640"/>
      <c r="D69" s="640"/>
      <c r="E69" s="640"/>
      <c r="F69" s="640"/>
      <c r="G69" s="640"/>
      <c r="H69" s="640"/>
      <c r="I69" s="641"/>
      <c r="J69" s="152"/>
      <c r="L69" s="86"/>
    </row>
    <row r="70" spans="1:12" ht="15.6" hidden="1" x14ac:dyDescent="0.3">
      <c r="A70" s="121"/>
      <c r="B70" s="121"/>
      <c r="C70" s="614"/>
      <c r="D70" s="122"/>
      <c r="E70" s="614"/>
      <c r="F70" s="614"/>
      <c r="G70" s="614"/>
      <c r="H70" s="614"/>
      <c r="I70" s="614"/>
      <c r="J70" s="123"/>
    </row>
    <row r="71" spans="1:12" hidden="1" x14ac:dyDescent="0.3">
      <c r="A71" s="1346" t="s">
        <v>1</v>
      </c>
      <c r="B71" s="1346" t="s">
        <v>2</v>
      </c>
      <c r="C71" s="1346" t="s">
        <v>3</v>
      </c>
      <c r="D71" s="1345" t="s">
        <v>4</v>
      </c>
      <c r="E71" s="1345"/>
      <c r="F71" s="1345"/>
      <c r="G71" s="1345"/>
      <c r="H71" s="1346" t="s">
        <v>5</v>
      </c>
      <c r="I71" s="1346" t="s">
        <v>6</v>
      </c>
      <c r="J71" s="1346" t="s">
        <v>312</v>
      </c>
    </row>
    <row r="72" spans="1:12" hidden="1" x14ac:dyDescent="0.3">
      <c r="A72" s="1346"/>
      <c r="B72" s="1346"/>
      <c r="C72" s="1346"/>
      <c r="D72" s="1346" t="s">
        <v>8</v>
      </c>
      <c r="E72" s="1345" t="s">
        <v>9</v>
      </c>
      <c r="F72" s="1345"/>
      <c r="G72" s="1345"/>
      <c r="H72" s="1346"/>
      <c r="I72" s="1346"/>
      <c r="J72" s="1346"/>
    </row>
    <row r="73" spans="1:12" ht="69" hidden="1" x14ac:dyDescent="0.3">
      <c r="A73" s="1346"/>
      <c r="B73" s="1346"/>
      <c r="C73" s="1346"/>
      <c r="D73" s="1346"/>
      <c r="E73" s="612" t="s">
        <v>10</v>
      </c>
      <c r="F73" s="612" t="s">
        <v>11</v>
      </c>
      <c r="G73" s="612" t="s">
        <v>12</v>
      </c>
      <c r="H73" s="1346"/>
      <c r="I73" s="1346"/>
      <c r="J73" s="1346"/>
    </row>
    <row r="74" spans="1:12" hidden="1" x14ac:dyDescent="0.3">
      <c r="A74" s="607">
        <v>1</v>
      </c>
      <c r="B74" s="607">
        <v>2</v>
      </c>
      <c r="C74" s="607">
        <v>3</v>
      </c>
      <c r="D74" s="607">
        <v>4</v>
      </c>
      <c r="E74" s="607">
        <v>5</v>
      </c>
      <c r="F74" s="607">
        <v>6</v>
      </c>
      <c r="G74" s="607">
        <v>7</v>
      </c>
      <c r="H74" s="607">
        <v>8</v>
      </c>
      <c r="I74" s="607">
        <v>9</v>
      </c>
      <c r="J74" s="607">
        <v>10</v>
      </c>
    </row>
    <row r="75" spans="1:12" hidden="1" x14ac:dyDescent="0.3">
      <c r="A75" s="1347" t="s">
        <v>313</v>
      </c>
      <c r="B75" s="1354"/>
      <c r="C75" s="1354"/>
      <c r="D75" s="1354"/>
      <c r="E75" s="1354"/>
      <c r="F75" s="1354"/>
      <c r="G75" s="1354"/>
      <c r="H75" s="1354"/>
      <c r="I75" s="1354"/>
      <c r="J75" s="1354"/>
    </row>
    <row r="76" spans="1:12" ht="41.4" hidden="1" x14ac:dyDescent="0.3">
      <c r="A76" s="607">
        <v>1</v>
      </c>
      <c r="B76" s="111" t="s">
        <v>314</v>
      </c>
      <c r="C76" s="607"/>
      <c r="D76" s="124">
        <f>E76+F76+G76</f>
        <v>0</v>
      </c>
      <c r="E76" s="139"/>
      <c r="F76" s="124"/>
      <c r="G76" s="124">
        <f>(E76+F76)*20%</f>
        <v>0</v>
      </c>
      <c r="H76" s="113">
        <v>50</v>
      </c>
      <c r="I76" s="607">
        <v>1.7</v>
      </c>
      <c r="J76" s="125">
        <f>(C76*D76*(H76/100+I76))*12.5</f>
        <v>0</v>
      </c>
      <c r="L76" s="86"/>
    </row>
    <row r="77" spans="1:12" ht="15.75" hidden="1" customHeight="1" x14ac:dyDescent="0.3">
      <c r="A77" s="607">
        <v>2</v>
      </c>
      <c r="B77" s="111" t="s">
        <v>315</v>
      </c>
      <c r="C77" s="607"/>
      <c r="D77" s="124">
        <f t="shared" ref="D77:D78" si="11">E77+F77+G77</f>
        <v>0</v>
      </c>
      <c r="E77" s="139"/>
      <c r="F77" s="124"/>
      <c r="G77" s="124">
        <f>(E77+F77)*20%</f>
        <v>0</v>
      </c>
      <c r="H77" s="113">
        <v>50</v>
      </c>
      <c r="I77" s="607">
        <v>1.7</v>
      </c>
      <c r="J77" s="125">
        <f>(C77*D77*(H77/100+I77))*12.5</f>
        <v>0</v>
      </c>
    </row>
    <row r="78" spans="1:12" ht="27.6" hidden="1" x14ac:dyDescent="0.3">
      <c r="A78" s="607">
        <v>3</v>
      </c>
      <c r="B78" s="111" t="s">
        <v>316</v>
      </c>
      <c r="C78" s="607"/>
      <c r="D78" s="124">
        <f t="shared" si="11"/>
        <v>0</v>
      </c>
      <c r="E78" s="124"/>
      <c r="F78" s="124"/>
      <c r="G78" s="124">
        <f>(E78+F78)*20%</f>
        <v>0</v>
      </c>
      <c r="H78" s="113">
        <v>50</v>
      </c>
      <c r="I78" s="607">
        <v>1.7</v>
      </c>
      <c r="J78" s="125">
        <f>(C78*D78*(H78/100+I78))*12.5</f>
        <v>0</v>
      </c>
    </row>
    <row r="79" spans="1:12" hidden="1" x14ac:dyDescent="0.3">
      <c r="A79" s="607">
        <v>4</v>
      </c>
      <c r="B79" s="111" t="s">
        <v>317</v>
      </c>
      <c r="C79" s="607"/>
      <c r="D79" s="124">
        <f>E79+F79+G79</f>
        <v>0</v>
      </c>
      <c r="E79" s="124"/>
      <c r="F79" s="124"/>
      <c r="G79" s="124">
        <f>(E79+F79)*20%</f>
        <v>0</v>
      </c>
      <c r="H79" s="113">
        <v>50</v>
      </c>
      <c r="I79" s="607">
        <v>1.7</v>
      </c>
      <c r="J79" s="125">
        <f>(C79*D79*(H79/100+I79))*12.5</f>
        <v>0</v>
      </c>
    </row>
    <row r="80" spans="1:12" ht="21.75" hidden="1" customHeight="1" x14ac:dyDescent="0.3">
      <c r="A80" s="607">
        <v>5</v>
      </c>
      <c r="B80" s="111" t="s">
        <v>318</v>
      </c>
      <c r="C80" s="607"/>
      <c r="D80" s="124">
        <f t="shared" ref="D80" si="12">E80+F80+G80</f>
        <v>0</v>
      </c>
      <c r="E80" s="124"/>
      <c r="F80" s="124"/>
      <c r="G80" s="124">
        <f t="shared" ref="G80" si="13">(E80+F80)*20%</f>
        <v>0</v>
      </c>
      <c r="H80" s="113">
        <v>50</v>
      </c>
      <c r="I80" s="607">
        <v>1.7</v>
      </c>
      <c r="J80" s="125">
        <f>(C80*D80*(H80/100+I80))*12.5</f>
        <v>0</v>
      </c>
      <c r="K80" s="86"/>
    </row>
    <row r="81" spans="1:12" ht="16.5" hidden="1" customHeight="1" x14ac:dyDescent="0.3">
      <c r="A81" s="115"/>
      <c r="B81" s="126" t="s">
        <v>319</v>
      </c>
      <c r="C81" s="127">
        <f>SUM(C76:C80)</f>
        <v>0</v>
      </c>
      <c r="D81" s="128">
        <f>SUM(D76:D80)</f>
        <v>0</v>
      </c>
      <c r="E81" s="127" t="s">
        <v>14</v>
      </c>
      <c r="F81" s="127" t="s">
        <v>14</v>
      </c>
      <c r="G81" s="127" t="s">
        <v>14</v>
      </c>
      <c r="H81" s="127" t="s">
        <v>14</v>
      </c>
      <c r="I81" s="127" t="s">
        <v>14</v>
      </c>
      <c r="J81" s="129">
        <f>SUM(J76:J80)</f>
        <v>0</v>
      </c>
    </row>
    <row r="82" spans="1:12" ht="15.75" hidden="1" customHeight="1" x14ac:dyDescent="0.3">
      <c r="A82" s="1365" t="s">
        <v>343</v>
      </c>
      <c r="B82" s="1366"/>
      <c r="C82" s="1366"/>
      <c r="D82" s="1366"/>
      <c r="E82" s="1366"/>
      <c r="F82" s="1366"/>
      <c r="G82" s="1366"/>
      <c r="H82" s="1366"/>
      <c r="I82" s="1367"/>
      <c r="J82" s="129"/>
    </row>
    <row r="83" spans="1:12" s="41" customFormat="1" ht="13.8" hidden="1" x14ac:dyDescent="0.3">
      <c r="A83" s="1365" t="s">
        <v>467</v>
      </c>
      <c r="B83" s="1366"/>
      <c r="C83" s="1366"/>
      <c r="D83" s="1366"/>
      <c r="E83" s="1366"/>
      <c r="F83" s="1366"/>
      <c r="G83" s="1366"/>
      <c r="H83" s="1366"/>
      <c r="I83" s="1367"/>
      <c r="J83" s="143"/>
    </row>
    <row r="84" spans="1:12" s="41" customFormat="1" hidden="1" x14ac:dyDescent="0.3">
      <c r="A84" s="218" t="s">
        <v>379</v>
      </c>
      <c r="B84" s="219"/>
      <c r="C84" s="220"/>
      <c r="D84" s="220"/>
      <c r="E84" s="220"/>
      <c r="F84" s="220"/>
      <c r="G84" s="220"/>
      <c r="H84" s="220"/>
      <c r="I84" s="220"/>
      <c r="J84" s="143"/>
    </row>
    <row r="85" spans="1:12" s="41" customFormat="1" ht="15.6" hidden="1" x14ac:dyDescent="0.3">
      <c r="A85" s="1368" t="s">
        <v>511</v>
      </c>
      <c r="B85" s="1369"/>
      <c r="C85" s="1369"/>
      <c r="D85" s="1369"/>
      <c r="E85" s="1369"/>
      <c r="F85" s="1369"/>
      <c r="G85" s="1369"/>
      <c r="H85" s="1369"/>
      <c r="I85" s="1369"/>
      <c r="J85" s="1370"/>
    </row>
    <row r="86" spans="1:12" ht="21" hidden="1" customHeight="1" x14ac:dyDescent="0.3">
      <c r="A86" s="1371" t="s">
        <v>512</v>
      </c>
      <c r="B86" s="1372"/>
      <c r="C86" s="130">
        <v>2.4</v>
      </c>
      <c r="D86" s="131">
        <f>D81</f>
        <v>0</v>
      </c>
      <c r="E86" s="132" t="s">
        <v>14</v>
      </c>
      <c r="F86" s="132" t="s">
        <v>14</v>
      </c>
      <c r="G86" s="132" t="s">
        <v>14</v>
      </c>
      <c r="H86" s="132" t="s">
        <v>14</v>
      </c>
      <c r="I86" s="132" t="s">
        <v>14</v>
      </c>
      <c r="J86" s="228">
        <v>0</v>
      </c>
      <c r="K86" s="86"/>
      <c r="L86" s="86"/>
    </row>
    <row r="87" spans="1:12" ht="21" customHeight="1" x14ac:dyDescent="0.3">
      <c r="A87" s="1373" t="s">
        <v>921</v>
      </c>
      <c r="B87" s="1374"/>
      <c r="C87" s="1374"/>
      <c r="D87" s="1374"/>
      <c r="E87" s="1374"/>
      <c r="F87" s="1374"/>
      <c r="G87" s="1374"/>
      <c r="H87" s="1374"/>
      <c r="I87" s="1374"/>
      <c r="J87" s="229">
        <f>J86+J68</f>
        <v>4220000</v>
      </c>
      <c r="K87" s="86"/>
      <c r="L87" s="86"/>
    </row>
    <row r="88" spans="1:12" ht="21" hidden="1" customHeight="1" x14ac:dyDescent="0.3">
      <c r="A88" s="599"/>
      <c r="B88" s="223"/>
      <c r="C88" s="593"/>
      <c r="D88" s="225"/>
      <c r="E88" s="601"/>
      <c r="F88" s="601"/>
      <c r="G88" s="601"/>
      <c r="H88" s="601"/>
      <c r="I88" s="601"/>
      <c r="J88" s="600"/>
      <c r="K88" s="86"/>
      <c r="L88" s="86"/>
    </row>
    <row r="89" spans="1:12" ht="20.25" hidden="1" customHeight="1" x14ac:dyDescent="0.3">
      <c r="A89" s="1325" t="s">
        <v>359</v>
      </c>
      <c r="B89" s="1326"/>
      <c r="C89" s="1326"/>
      <c r="D89" s="1326"/>
      <c r="E89" s="1326"/>
      <c r="F89" s="1326"/>
      <c r="G89" s="1326"/>
      <c r="H89" s="1326"/>
      <c r="I89" s="1326"/>
      <c r="J89" s="1327"/>
    </row>
    <row r="90" spans="1:12" ht="30" hidden="1" customHeight="1" x14ac:dyDescent="0.3">
      <c r="A90" s="610" t="s">
        <v>1</v>
      </c>
      <c r="B90" s="1335" t="s">
        <v>44</v>
      </c>
      <c r="C90" s="1335"/>
      <c r="D90" s="1335"/>
      <c r="E90" s="1335" t="s">
        <v>45</v>
      </c>
      <c r="F90" s="1335"/>
      <c r="G90" s="1335" t="s">
        <v>46</v>
      </c>
      <c r="H90" s="1335"/>
      <c r="I90" s="1335" t="s">
        <v>102</v>
      </c>
      <c r="J90" s="1335"/>
    </row>
    <row r="91" spans="1:12" ht="16.5" hidden="1" customHeight="1" x14ac:dyDescent="0.3">
      <c r="A91" s="615">
        <v>1</v>
      </c>
      <c r="B91" s="1302">
        <v>2</v>
      </c>
      <c r="C91" s="1302"/>
      <c r="D91" s="1302"/>
      <c r="E91" s="1302">
        <v>3</v>
      </c>
      <c r="F91" s="1302"/>
      <c r="G91" s="1302">
        <v>4</v>
      </c>
      <c r="H91" s="1302"/>
      <c r="I91" s="1302">
        <v>5</v>
      </c>
      <c r="J91" s="1302"/>
    </row>
    <row r="92" spans="1:12" ht="47.25" hidden="1" customHeight="1" x14ac:dyDescent="0.3">
      <c r="A92" s="159">
        <v>1</v>
      </c>
      <c r="B92" s="1226" t="s">
        <v>370</v>
      </c>
      <c r="C92" s="1227"/>
      <c r="D92" s="1228"/>
      <c r="E92" s="1336">
        <f>I92/G92</f>
        <v>0</v>
      </c>
      <c r="F92" s="1336"/>
      <c r="G92" s="1307">
        <v>12</v>
      </c>
      <c r="H92" s="1307"/>
      <c r="I92" s="1340">
        <v>0</v>
      </c>
      <c r="J92" s="1340"/>
    </row>
    <row r="93" spans="1:12" ht="51.75" hidden="1" customHeight="1" x14ac:dyDescent="0.3">
      <c r="A93" s="159" t="s">
        <v>75</v>
      </c>
      <c r="B93" s="1226" t="s">
        <v>723</v>
      </c>
      <c r="C93" s="1227"/>
      <c r="D93" s="1228"/>
      <c r="E93" s="1336">
        <v>0</v>
      </c>
      <c r="F93" s="1336"/>
      <c r="G93" s="1307"/>
      <c r="H93" s="1307"/>
      <c r="I93" s="1340">
        <v>0</v>
      </c>
      <c r="J93" s="1340"/>
      <c r="K93" s="1">
        <v>0</v>
      </c>
    </row>
    <row r="94" spans="1:12" ht="33.75" hidden="1" customHeight="1" x14ac:dyDescent="0.3">
      <c r="A94" s="248"/>
      <c r="B94" s="1341" t="s">
        <v>331</v>
      </c>
      <c r="C94" s="1342"/>
      <c r="D94" s="1343"/>
      <c r="E94" s="1337" t="s">
        <v>14</v>
      </c>
      <c r="F94" s="1338"/>
      <c r="G94" s="1337" t="s">
        <v>14</v>
      </c>
      <c r="H94" s="1339"/>
      <c r="I94" s="616"/>
      <c r="J94" s="367">
        <f>I93</f>
        <v>0</v>
      </c>
    </row>
    <row r="95" spans="1:12" s="41" customFormat="1" ht="40.5" customHeight="1" x14ac:dyDescent="0.3">
      <c r="A95" s="1275" t="s">
        <v>596</v>
      </c>
      <c r="B95" s="1275"/>
      <c r="C95" s="1275"/>
      <c r="D95" s="1275"/>
      <c r="E95" s="1275"/>
      <c r="F95" s="1275"/>
      <c r="G95" s="1275"/>
      <c r="H95" s="1275"/>
      <c r="I95" s="1275"/>
      <c r="J95" s="1275"/>
    </row>
    <row r="96" spans="1:12" ht="39.6" x14ac:dyDescent="0.3">
      <c r="A96" s="615" t="s">
        <v>1</v>
      </c>
      <c r="B96" s="1302" t="s">
        <v>15</v>
      </c>
      <c r="C96" s="1302"/>
      <c r="D96" s="1302"/>
      <c r="E96" s="1302" t="s">
        <v>16</v>
      </c>
      <c r="F96" s="1302"/>
      <c r="G96" s="615" t="s">
        <v>17</v>
      </c>
      <c r="H96" s="615" t="s">
        <v>18</v>
      </c>
      <c r="I96" s="1302" t="s">
        <v>104</v>
      </c>
      <c r="J96" s="1302"/>
    </row>
    <row r="97" spans="1:10" x14ac:dyDescent="0.3">
      <c r="A97" s="615">
        <v>1</v>
      </c>
      <c r="B97" s="1302">
        <v>2</v>
      </c>
      <c r="C97" s="1302"/>
      <c r="D97" s="1302"/>
      <c r="E97" s="1302">
        <v>3</v>
      </c>
      <c r="F97" s="1302"/>
      <c r="G97" s="615">
        <v>4</v>
      </c>
      <c r="H97" s="615">
        <v>5</v>
      </c>
      <c r="I97" s="1302">
        <v>6</v>
      </c>
      <c r="J97" s="1302"/>
    </row>
    <row r="98" spans="1:10" ht="16.5" customHeight="1" x14ac:dyDescent="0.3">
      <c r="A98" s="1330" t="s">
        <v>361</v>
      </c>
      <c r="B98" s="1331"/>
      <c r="C98" s="1331"/>
      <c r="D98" s="1331"/>
      <c r="E98" s="1331"/>
      <c r="F98" s="1331"/>
      <c r="G98" s="1331"/>
      <c r="H98" s="1331"/>
      <c r="I98" s="1331"/>
      <c r="J98" s="1332"/>
    </row>
    <row r="99" spans="1:10" ht="59.25" hidden="1" customHeight="1" x14ac:dyDescent="0.3">
      <c r="A99" s="1112" t="s">
        <v>570</v>
      </c>
      <c r="B99" s="1113"/>
      <c r="C99" s="1113"/>
      <c r="D99" s="1113"/>
      <c r="E99" s="1113"/>
      <c r="F99" s="1113"/>
      <c r="G99" s="1113"/>
      <c r="H99" s="1113"/>
      <c r="I99" s="1113"/>
      <c r="J99" s="1114"/>
    </row>
    <row r="100" spans="1:10" ht="49.5" hidden="1" customHeight="1" x14ac:dyDescent="0.3">
      <c r="A100" s="449">
        <v>1</v>
      </c>
      <c r="B100" s="1095" t="s">
        <v>571</v>
      </c>
      <c r="C100" s="1096"/>
      <c r="D100" s="1097"/>
      <c r="E100" s="1159">
        <v>0</v>
      </c>
      <c r="F100" s="1160"/>
      <c r="G100" s="1159">
        <v>300</v>
      </c>
      <c r="H100" s="1160"/>
      <c r="I100" s="1153">
        <f>E100*G100</f>
        <v>0</v>
      </c>
      <c r="J100" s="1154"/>
    </row>
    <row r="101" spans="1:10" ht="16.5" hidden="1" customHeight="1" x14ac:dyDescent="0.3">
      <c r="A101" s="578"/>
      <c r="B101" s="1155"/>
      <c r="C101" s="1158"/>
      <c r="D101" s="1156"/>
      <c r="E101" s="1155"/>
      <c r="F101" s="1156"/>
      <c r="G101" s="1155"/>
      <c r="H101" s="1156"/>
      <c r="I101" s="1155"/>
      <c r="J101" s="1156"/>
    </row>
    <row r="102" spans="1:10" ht="42.75" customHeight="1" x14ac:dyDescent="0.3">
      <c r="A102" s="1118" t="s">
        <v>995</v>
      </c>
      <c r="B102" s="1119"/>
      <c r="C102" s="1119"/>
      <c r="D102" s="1119"/>
      <c r="E102" s="1119"/>
      <c r="F102" s="1119"/>
      <c r="G102" s="1119"/>
      <c r="H102" s="1119"/>
      <c r="I102" s="1119"/>
      <c r="J102" s="1120"/>
    </row>
    <row r="103" spans="1:10" ht="36.75" customHeight="1" x14ac:dyDescent="0.3">
      <c r="A103" s="448">
        <v>1</v>
      </c>
      <c r="B103" s="1151" t="s">
        <v>573</v>
      </c>
      <c r="C103" s="1151"/>
      <c r="D103" s="1151"/>
      <c r="E103" s="1328" t="s">
        <v>574</v>
      </c>
      <c r="F103" s="1328"/>
      <c r="G103" s="1161">
        <v>300</v>
      </c>
      <c r="H103" s="1162"/>
      <c r="I103" s="1157">
        <v>16200</v>
      </c>
      <c r="J103" s="1157"/>
    </row>
    <row r="104" spans="1:10" ht="16.5" customHeight="1" x14ac:dyDescent="0.3">
      <c r="A104" s="582"/>
      <c r="B104" s="1329"/>
      <c r="C104" s="1329"/>
      <c r="D104" s="1329"/>
      <c r="E104" s="1158"/>
      <c r="F104" s="1158"/>
      <c r="G104" s="1158"/>
      <c r="H104" s="1158"/>
      <c r="I104" s="1158"/>
      <c r="J104" s="1156"/>
    </row>
    <row r="105" spans="1:10" ht="16.5" hidden="1" customHeight="1" x14ac:dyDescent="0.3">
      <c r="A105" s="609"/>
      <c r="B105" s="1158"/>
      <c r="C105" s="1158"/>
      <c r="D105" s="1158"/>
      <c r="E105" s="1158"/>
      <c r="F105" s="1158"/>
      <c r="G105" s="1158"/>
      <c r="H105" s="1158"/>
      <c r="I105" s="1158"/>
      <c r="J105" s="1156"/>
    </row>
    <row r="106" spans="1:10" ht="16.5" hidden="1" customHeight="1" x14ac:dyDescent="0.3">
      <c r="A106" s="609"/>
      <c r="B106" s="1158"/>
      <c r="C106" s="1158"/>
      <c r="D106" s="1158"/>
      <c r="E106" s="1158"/>
      <c r="F106" s="1158"/>
      <c r="G106" s="1158"/>
      <c r="H106" s="1158"/>
      <c r="I106" s="1158"/>
      <c r="J106" s="1156"/>
    </row>
    <row r="107" spans="1:10" ht="15" hidden="1" customHeight="1" x14ac:dyDescent="0.3">
      <c r="A107" s="1325" t="s">
        <v>363</v>
      </c>
      <c r="B107" s="1326"/>
      <c r="C107" s="1326"/>
      <c r="D107" s="1326"/>
      <c r="E107" s="1326"/>
      <c r="F107" s="1326"/>
      <c r="G107" s="1326"/>
      <c r="H107" s="1326"/>
      <c r="I107" s="1326"/>
      <c r="J107" s="1327"/>
    </row>
    <row r="108" spans="1:10" ht="53.25" hidden="1" customHeight="1" x14ac:dyDescent="0.3">
      <c r="A108" s="561" t="s">
        <v>70</v>
      </c>
      <c r="B108" s="1320" t="s">
        <v>513</v>
      </c>
      <c r="C108" s="1321"/>
      <c r="D108" s="1322"/>
      <c r="E108" s="1329"/>
      <c r="F108" s="1329"/>
      <c r="G108" s="617"/>
      <c r="H108" s="617">
        <v>1</v>
      </c>
      <c r="I108" s="1333">
        <v>0</v>
      </c>
      <c r="J108" s="1334"/>
    </row>
    <row r="109" spans="1:10" ht="48.75" hidden="1" customHeight="1" x14ac:dyDescent="0.3">
      <c r="A109" s="608" t="s">
        <v>75</v>
      </c>
      <c r="B109" s="1320" t="s">
        <v>514</v>
      </c>
      <c r="C109" s="1321"/>
      <c r="D109" s="1322"/>
      <c r="E109" s="1323"/>
      <c r="F109" s="1323"/>
      <c r="G109" s="140"/>
      <c r="H109" s="160">
        <v>1</v>
      </c>
      <c r="I109" s="1324">
        <f>E109*G109</f>
        <v>0</v>
      </c>
      <c r="J109" s="1324"/>
    </row>
    <row r="110" spans="1:10" x14ac:dyDescent="0.3">
      <c r="A110" s="1325" t="s">
        <v>364</v>
      </c>
      <c r="B110" s="1326"/>
      <c r="C110" s="1326"/>
      <c r="D110" s="1326"/>
      <c r="E110" s="1326"/>
      <c r="F110" s="1326"/>
      <c r="G110" s="1326"/>
      <c r="H110" s="1326"/>
      <c r="I110" s="1326"/>
      <c r="J110" s="1327"/>
    </row>
    <row r="111" spans="1:10" ht="51.75" hidden="1" customHeight="1" x14ac:dyDescent="0.3">
      <c r="A111" s="1112" t="s">
        <v>570</v>
      </c>
      <c r="B111" s="1113"/>
      <c r="C111" s="1113"/>
      <c r="D111" s="1113"/>
      <c r="E111" s="1113"/>
      <c r="F111" s="1113"/>
      <c r="G111" s="1113"/>
      <c r="H111" s="1113"/>
      <c r="I111" s="1113"/>
      <c r="J111" s="1114"/>
    </row>
    <row r="112" spans="1:10" ht="47.25" hidden="1" customHeight="1" x14ac:dyDescent="0.3">
      <c r="A112" s="624">
        <v>1</v>
      </c>
      <c r="B112" s="1115" t="s">
        <v>575</v>
      </c>
      <c r="C112" s="1115"/>
      <c r="D112" s="1115"/>
      <c r="E112" s="1116">
        <v>0</v>
      </c>
      <c r="F112" s="1117"/>
      <c r="G112" s="624"/>
      <c r="H112" s="624">
        <v>1</v>
      </c>
      <c r="I112" s="1121">
        <v>0</v>
      </c>
      <c r="J112" s="1122"/>
    </row>
    <row r="113" spans="1:10" ht="47.25" hidden="1" customHeight="1" x14ac:dyDescent="0.3">
      <c r="A113" s="353">
        <v>2</v>
      </c>
      <c r="B113" s="1115" t="s">
        <v>576</v>
      </c>
      <c r="C113" s="1115"/>
      <c r="D113" s="1115"/>
      <c r="E113" s="1355">
        <v>0</v>
      </c>
      <c r="F113" s="1356"/>
      <c r="G113" s="624"/>
      <c r="H113" s="624">
        <v>1</v>
      </c>
      <c r="I113" s="1121">
        <v>0</v>
      </c>
      <c r="J113" s="1122"/>
    </row>
    <row r="114" spans="1:10" ht="35.25" customHeight="1" x14ac:dyDescent="0.3">
      <c r="A114" s="1118" t="s">
        <v>993</v>
      </c>
      <c r="B114" s="1119"/>
      <c r="C114" s="1119"/>
      <c r="D114" s="1119"/>
      <c r="E114" s="1119"/>
      <c r="F114" s="1119"/>
      <c r="G114" s="1119"/>
      <c r="H114" s="1119"/>
      <c r="I114" s="1119"/>
      <c r="J114" s="1120"/>
    </row>
    <row r="115" spans="1:10" ht="35.25" customHeight="1" x14ac:dyDescent="0.3">
      <c r="A115" s="624">
        <v>2</v>
      </c>
      <c r="B115" s="1151" t="s">
        <v>581</v>
      </c>
      <c r="C115" s="1151"/>
      <c r="D115" s="1151"/>
      <c r="E115" s="1116">
        <v>0</v>
      </c>
      <c r="F115" s="1117"/>
      <c r="G115" s="624"/>
      <c r="H115" s="624">
        <v>0</v>
      </c>
      <c r="I115" s="1308">
        <v>76680</v>
      </c>
      <c r="J115" s="1309"/>
    </row>
    <row r="116" spans="1:10" ht="35.25" customHeight="1" x14ac:dyDescent="0.3">
      <c r="A116" s="624">
        <v>3</v>
      </c>
      <c r="B116" s="1151" t="s">
        <v>920</v>
      </c>
      <c r="C116" s="1151"/>
      <c r="D116" s="1151"/>
      <c r="E116" s="1116">
        <v>0</v>
      </c>
      <c r="F116" s="1117"/>
      <c r="G116" s="624"/>
      <c r="H116" s="624">
        <v>0</v>
      </c>
      <c r="I116" s="1357">
        <v>57120</v>
      </c>
      <c r="J116" s="1358"/>
    </row>
    <row r="117" spans="1:10" x14ac:dyDescent="0.3">
      <c r="A117" s="608"/>
      <c r="B117" s="1306" t="s">
        <v>13</v>
      </c>
      <c r="C117" s="1306"/>
      <c r="D117" s="1306"/>
      <c r="E117" s="1307" t="s">
        <v>14</v>
      </c>
      <c r="F117" s="1307"/>
      <c r="G117" s="608" t="s">
        <v>14</v>
      </c>
      <c r="H117" s="608" t="s">
        <v>14</v>
      </c>
      <c r="I117" s="1310">
        <f>I100+I103+I112+I115+I113+I116</f>
        <v>150000</v>
      </c>
      <c r="J117" s="1310"/>
    </row>
    <row r="118" spans="1:10" ht="19.5" hidden="1" customHeight="1" x14ac:dyDescent="0.3">
      <c r="A118" s="1243" t="s">
        <v>366</v>
      </c>
      <c r="B118" s="1243"/>
      <c r="C118" s="1243"/>
      <c r="D118" s="1243"/>
      <c r="E118" s="1243"/>
      <c r="F118" s="1243"/>
      <c r="G118" s="1243"/>
      <c r="H118" s="1243"/>
      <c r="I118" s="1243"/>
      <c r="J118" s="1243"/>
    </row>
    <row r="119" spans="1:10" ht="52.8" hidden="1" x14ac:dyDescent="0.3">
      <c r="A119" s="615" t="s">
        <v>1</v>
      </c>
      <c r="B119" s="1302" t="s">
        <v>15</v>
      </c>
      <c r="C119" s="1302"/>
      <c r="D119" s="1302"/>
      <c r="E119" s="1311" t="s">
        <v>20</v>
      </c>
      <c r="F119" s="1312"/>
      <c r="G119" s="615" t="s">
        <v>21</v>
      </c>
      <c r="H119" s="615" t="s">
        <v>22</v>
      </c>
      <c r="I119" s="1302" t="s">
        <v>19</v>
      </c>
      <c r="J119" s="1302"/>
    </row>
    <row r="120" spans="1:10" hidden="1" x14ac:dyDescent="0.3">
      <c r="A120" s="615">
        <v>1</v>
      </c>
      <c r="B120" s="1302">
        <v>2</v>
      </c>
      <c r="C120" s="1302"/>
      <c r="D120" s="1302"/>
      <c r="E120" s="1311">
        <v>3</v>
      </c>
      <c r="F120" s="1312"/>
      <c r="G120" s="615">
        <v>4</v>
      </c>
      <c r="H120" s="615">
        <v>5</v>
      </c>
      <c r="I120" s="1302">
        <v>6</v>
      </c>
      <c r="J120" s="1302"/>
    </row>
    <row r="121" spans="1:10" ht="47.25" hidden="1" customHeight="1" x14ac:dyDescent="0.3">
      <c r="A121" s="607" t="s">
        <v>70</v>
      </c>
      <c r="B121" s="1313" t="s">
        <v>79</v>
      </c>
      <c r="C121" s="1314"/>
      <c r="D121" s="1315"/>
      <c r="E121" s="1316"/>
      <c r="F121" s="1317"/>
      <c r="G121" s="163">
        <v>12</v>
      </c>
      <c r="H121" s="163">
        <v>85</v>
      </c>
      <c r="I121" s="1318">
        <f>E121*G121*H121</f>
        <v>0</v>
      </c>
      <c r="J121" s="1318"/>
    </row>
    <row r="122" spans="1:10" ht="17.25" hidden="1" customHeight="1" x14ac:dyDescent="0.3">
      <c r="A122" s="162"/>
      <c r="B122" s="1303" t="s">
        <v>13</v>
      </c>
      <c r="C122" s="1303"/>
      <c r="D122" s="1303"/>
      <c r="E122" s="1304" t="s">
        <v>14</v>
      </c>
      <c r="F122" s="1305"/>
      <c r="G122" s="608" t="s">
        <v>14</v>
      </c>
      <c r="H122" s="608" t="s">
        <v>14</v>
      </c>
      <c r="I122" s="1310">
        <f>SUM(I121)</f>
        <v>0</v>
      </c>
      <c r="J122" s="1319"/>
    </row>
    <row r="123" spans="1:10" s="41" customFormat="1" ht="54" customHeight="1" x14ac:dyDescent="0.3">
      <c r="A123" s="1275" t="s">
        <v>295</v>
      </c>
      <c r="B123" s="1275"/>
      <c r="C123" s="1275"/>
      <c r="D123" s="1275"/>
      <c r="E123" s="1275"/>
      <c r="F123" s="1275"/>
      <c r="G123" s="1275"/>
      <c r="H123" s="1275"/>
      <c r="I123" s="1275"/>
      <c r="J123" s="1275"/>
    </row>
    <row r="124" spans="1:10" ht="25.5" customHeight="1" x14ac:dyDescent="0.3">
      <c r="A124" s="627" t="s">
        <v>1</v>
      </c>
      <c r="B124" s="1276" t="s">
        <v>23</v>
      </c>
      <c r="C124" s="1276"/>
      <c r="D124" s="1276"/>
      <c r="E124" s="1276"/>
      <c r="F124" s="1276"/>
      <c r="G124" s="1276" t="s">
        <v>24</v>
      </c>
      <c r="H124" s="1276"/>
      <c r="I124" s="1276" t="s">
        <v>25</v>
      </c>
      <c r="J124" s="1276"/>
    </row>
    <row r="125" spans="1:10" ht="12" customHeight="1" x14ac:dyDescent="0.3">
      <c r="A125" s="623">
        <v>1</v>
      </c>
      <c r="B125" s="1110">
        <v>2</v>
      </c>
      <c r="C125" s="1110"/>
      <c r="D125" s="1110"/>
      <c r="E125" s="1110"/>
      <c r="F125" s="1110"/>
      <c r="G125" s="1110">
        <v>3</v>
      </c>
      <c r="H125" s="1110"/>
      <c r="I125" s="1110">
        <v>4</v>
      </c>
      <c r="J125" s="1110"/>
    </row>
    <row r="126" spans="1:10" ht="17.25" customHeight="1" x14ac:dyDescent="0.3">
      <c r="A126" s="618" t="s">
        <v>70</v>
      </c>
      <c r="B126" s="1295" t="s">
        <v>26</v>
      </c>
      <c r="C126" s="1295"/>
      <c r="D126" s="1295"/>
      <c r="E126" s="1295"/>
      <c r="F126" s="1295"/>
      <c r="G126" s="1300" t="s">
        <v>14</v>
      </c>
      <c r="H126" s="1300"/>
      <c r="I126" s="1299">
        <f>SUM(I128:J130)</f>
        <v>928400</v>
      </c>
      <c r="J126" s="1299"/>
    </row>
    <row r="127" spans="1:10" ht="16.5" customHeight="1" x14ac:dyDescent="0.3">
      <c r="A127" s="98"/>
      <c r="B127" s="1116" t="s">
        <v>9</v>
      </c>
      <c r="C127" s="1212"/>
      <c r="D127" s="1212"/>
      <c r="E127" s="1212"/>
      <c r="F127" s="1117"/>
      <c r="G127" s="1273"/>
      <c r="H127" s="1273"/>
      <c r="I127" s="1272"/>
      <c r="J127" s="1272"/>
    </row>
    <row r="128" spans="1:10" ht="17.25" customHeight="1" x14ac:dyDescent="0.3">
      <c r="A128" s="624" t="s">
        <v>27</v>
      </c>
      <c r="B128" s="1301" t="s">
        <v>28</v>
      </c>
      <c r="C128" s="1301"/>
      <c r="D128" s="1301"/>
      <c r="E128" s="1301"/>
      <c r="F128" s="1301"/>
      <c r="G128" s="1271">
        <f>J68</f>
        <v>4220000</v>
      </c>
      <c r="H128" s="1271"/>
      <c r="I128" s="1272">
        <f>G128*22%</f>
        <v>928400</v>
      </c>
      <c r="J128" s="1272"/>
    </row>
    <row r="129" spans="1:10" ht="15" customHeight="1" x14ac:dyDescent="0.3">
      <c r="A129" s="624" t="s">
        <v>29</v>
      </c>
      <c r="B129" s="1143" t="s">
        <v>30</v>
      </c>
      <c r="C129" s="1143"/>
      <c r="D129" s="1143"/>
      <c r="E129" s="1143"/>
      <c r="F129" s="1143"/>
      <c r="G129" s="1273"/>
      <c r="H129" s="1273"/>
      <c r="I129" s="1272">
        <f>G129*10%</f>
        <v>0</v>
      </c>
      <c r="J129" s="1272"/>
    </row>
    <row r="130" spans="1:10" ht="29.4" customHeight="1" x14ac:dyDescent="0.3">
      <c r="A130" s="624" t="s">
        <v>31</v>
      </c>
      <c r="B130" s="1274" t="s">
        <v>32</v>
      </c>
      <c r="C130" s="1274"/>
      <c r="D130" s="1274"/>
      <c r="E130" s="1274"/>
      <c r="F130" s="1274"/>
      <c r="G130" s="1273"/>
      <c r="H130" s="1273"/>
      <c r="I130" s="1272"/>
      <c r="J130" s="1272"/>
    </row>
    <row r="131" spans="1:10" ht="29.25" customHeight="1" x14ac:dyDescent="0.3">
      <c r="A131" s="618" t="s">
        <v>75</v>
      </c>
      <c r="B131" s="1295" t="s">
        <v>33</v>
      </c>
      <c r="C131" s="1295"/>
      <c r="D131" s="1295"/>
      <c r="E131" s="1295"/>
      <c r="F131" s="1295"/>
      <c r="G131" s="1300" t="s">
        <v>14</v>
      </c>
      <c r="H131" s="1300"/>
      <c r="I131" s="1299">
        <f>SUM(I133:J137)</f>
        <v>130819.99999999999</v>
      </c>
      <c r="J131" s="1299"/>
    </row>
    <row r="132" spans="1:10" ht="15.75" customHeight="1" x14ac:dyDescent="0.3">
      <c r="A132" s="98"/>
      <c r="B132" s="1116" t="s">
        <v>9</v>
      </c>
      <c r="C132" s="1212"/>
      <c r="D132" s="1212"/>
      <c r="E132" s="1212"/>
      <c r="F132" s="1117"/>
      <c r="G132" s="1273"/>
      <c r="H132" s="1273"/>
      <c r="I132" s="1272"/>
      <c r="J132" s="1272"/>
    </row>
    <row r="133" spans="1:10" ht="27.75" customHeight="1" x14ac:dyDescent="0.3">
      <c r="A133" s="624" t="s">
        <v>34</v>
      </c>
      <c r="B133" s="1274" t="s">
        <v>35</v>
      </c>
      <c r="C133" s="1274"/>
      <c r="D133" s="1274"/>
      <c r="E133" s="1274"/>
      <c r="F133" s="1274"/>
      <c r="G133" s="1271">
        <f>G128+G129</f>
        <v>4220000</v>
      </c>
      <c r="H133" s="1271"/>
      <c r="I133" s="1272">
        <f>G133*2.9%</f>
        <v>122379.99999999999</v>
      </c>
      <c r="J133" s="1272"/>
    </row>
    <row r="134" spans="1:10" ht="15" customHeight="1" x14ac:dyDescent="0.3">
      <c r="A134" s="624" t="s">
        <v>36</v>
      </c>
      <c r="B134" s="1274" t="s">
        <v>37</v>
      </c>
      <c r="C134" s="1274"/>
      <c r="D134" s="1274"/>
      <c r="E134" s="1274"/>
      <c r="F134" s="1274"/>
      <c r="G134" s="1273"/>
      <c r="H134" s="1273"/>
      <c r="I134" s="1272"/>
      <c r="J134" s="1272"/>
    </row>
    <row r="135" spans="1:10" ht="35.25" customHeight="1" x14ac:dyDescent="0.3">
      <c r="A135" s="624" t="s">
        <v>38</v>
      </c>
      <c r="B135" s="1274" t="s">
        <v>39</v>
      </c>
      <c r="C135" s="1274"/>
      <c r="D135" s="1274"/>
      <c r="E135" s="1274"/>
      <c r="F135" s="1274"/>
      <c r="G135" s="1271">
        <f>G128+G129</f>
        <v>4220000</v>
      </c>
      <c r="H135" s="1271"/>
      <c r="I135" s="1272">
        <f>G135*0.2%</f>
        <v>8440</v>
      </c>
      <c r="J135" s="1272"/>
    </row>
    <row r="136" spans="1:10" s="41" customFormat="1" ht="15" customHeight="1" x14ac:dyDescent="0.3">
      <c r="A136" s="624" t="s">
        <v>40</v>
      </c>
      <c r="B136" s="1274" t="s">
        <v>41</v>
      </c>
      <c r="C136" s="1274"/>
      <c r="D136" s="1274"/>
      <c r="E136" s="1274"/>
      <c r="F136" s="1274"/>
      <c r="G136" s="1273"/>
      <c r="H136" s="1273"/>
      <c r="I136" s="1272"/>
      <c r="J136" s="1272"/>
    </row>
    <row r="137" spans="1:10" ht="15" customHeight="1" x14ac:dyDescent="0.3">
      <c r="A137" s="624" t="s">
        <v>42</v>
      </c>
      <c r="B137" s="1274" t="s">
        <v>41</v>
      </c>
      <c r="C137" s="1274"/>
      <c r="D137" s="1274"/>
      <c r="E137" s="1274"/>
      <c r="F137" s="1274"/>
      <c r="G137" s="1273"/>
      <c r="H137" s="1273"/>
      <c r="I137" s="1272"/>
      <c r="J137" s="1272"/>
    </row>
    <row r="138" spans="1:10" ht="30" customHeight="1" x14ac:dyDescent="0.3">
      <c r="A138" s="618" t="s">
        <v>77</v>
      </c>
      <c r="B138" s="1295" t="s">
        <v>43</v>
      </c>
      <c r="C138" s="1295"/>
      <c r="D138" s="1295"/>
      <c r="E138" s="1295"/>
      <c r="F138" s="1295"/>
      <c r="G138" s="1298">
        <f>G128+G129</f>
        <v>4220000</v>
      </c>
      <c r="H138" s="1298"/>
      <c r="I138" s="1299">
        <f>G138*5.1%-51440+400</f>
        <v>164180</v>
      </c>
      <c r="J138" s="1299"/>
    </row>
    <row r="139" spans="1:10" ht="19.5" customHeight="1" x14ac:dyDescent="0.3">
      <c r="A139" s="624"/>
      <c r="B139" s="1098" t="s">
        <v>722</v>
      </c>
      <c r="C139" s="1098"/>
      <c r="D139" s="1098"/>
      <c r="E139" s="1098"/>
      <c r="F139" s="1098"/>
      <c r="G139" s="1090" t="s">
        <v>14</v>
      </c>
      <c r="H139" s="1090"/>
      <c r="I139" s="1297">
        <f>I126+I131+I138</f>
        <v>1223400</v>
      </c>
      <c r="J139" s="1297"/>
    </row>
    <row r="140" spans="1:10" ht="36" hidden="1" customHeight="1" x14ac:dyDescent="0.3">
      <c r="A140" s="627" t="s">
        <v>1</v>
      </c>
      <c r="B140" s="1269" t="s">
        <v>23</v>
      </c>
      <c r="C140" s="1296"/>
      <c r="D140" s="1296"/>
      <c r="E140" s="1296"/>
      <c r="F140" s="1270"/>
      <c r="G140" s="1269" t="s">
        <v>24</v>
      </c>
      <c r="H140" s="1270"/>
      <c r="I140" s="1269" t="s">
        <v>25</v>
      </c>
      <c r="J140" s="1270"/>
    </row>
    <row r="141" spans="1:10" ht="11.25" hidden="1" customHeight="1" x14ac:dyDescent="0.3">
      <c r="A141" s="623">
        <v>1</v>
      </c>
      <c r="B141" s="1139">
        <v>2</v>
      </c>
      <c r="C141" s="1210"/>
      <c r="D141" s="1210"/>
      <c r="E141" s="1210"/>
      <c r="F141" s="1140"/>
      <c r="G141" s="1139">
        <v>3</v>
      </c>
      <c r="H141" s="1140"/>
      <c r="I141" s="1139">
        <v>4</v>
      </c>
      <c r="J141" s="1140"/>
    </row>
    <row r="142" spans="1:10" ht="20.25" hidden="1" customHeight="1" x14ac:dyDescent="0.3">
      <c r="A142" s="618" t="s">
        <v>70</v>
      </c>
      <c r="B142" s="1252" t="s">
        <v>26</v>
      </c>
      <c r="C142" s="1253"/>
      <c r="D142" s="1253"/>
      <c r="E142" s="1253"/>
      <c r="F142" s="1254"/>
      <c r="G142" s="1187" t="s">
        <v>14</v>
      </c>
      <c r="H142" s="1188"/>
      <c r="I142" s="1255">
        <f>SUM(I144:J146)</f>
        <v>0</v>
      </c>
      <c r="J142" s="1256"/>
    </row>
    <row r="143" spans="1:10" ht="18" hidden="1" customHeight="1" x14ac:dyDescent="0.3">
      <c r="A143" s="98"/>
      <c r="B143" s="1116" t="s">
        <v>9</v>
      </c>
      <c r="C143" s="1212"/>
      <c r="D143" s="1212"/>
      <c r="E143" s="1212"/>
      <c r="F143" s="1117"/>
      <c r="G143" s="1257"/>
      <c r="H143" s="1258"/>
      <c r="I143" s="1259"/>
      <c r="J143" s="1260"/>
    </row>
    <row r="144" spans="1:10" s="41" customFormat="1" ht="20.25" hidden="1" customHeight="1" x14ac:dyDescent="0.3">
      <c r="A144" s="624" t="s">
        <v>27</v>
      </c>
      <c r="B144" s="1263" t="s">
        <v>28</v>
      </c>
      <c r="C144" s="1264"/>
      <c r="D144" s="1264"/>
      <c r="E144" s="1264"/>
      <c r="F144" s="1265"/>
      <c r="G144" s="1261">
        <f>J86</f>
        <v>0</v>
      </c>
      <c r="H144" s="1262"/>
      <c r="I144" s="1259">
        <f>G144*22%</f>
        <v>0</v>
      </c>
      <c r="J144" s="1260"/>
    </row>
    <row r="145" spans="1:12" hidden="1" x14ac:dyDescent="0.3">
      <c r="A145" s="624" t="s">
        <v>29</v>
      </c>
      <c r="B145" s="1197" t="s">
        <v>30</v>
      </c>
      <c r="C145" s="1198"/>
      <c r="D145" s="1198"/>
      <c r="E145" s="1198"/>
      <c r="F145" s="1199"/>
      <c r="G145" s="1257"/>
      <c r="H145" s="1258"/>
      <c r="I145" s="1259"/>
      <c r="J145" s="1260"/>
    </row>
    <row r="146" spans="1:12" ht="15" hidden="1" customHeight="1" x14ac:dyDescent="0.3">
      <c r="A146" s="624" t="s">
        <v>31</v>
      </c>
      <c r="B146" s="1266" t="s">
        <v>32</v>
      </c>
      <c r="C146" s="1267"/>
      <c r="D146" s="1267"/>
      <c r="E146" s="1267"/>
      <c r="F146" s="1268"/>
      <c r="G146" s="1257"/>
      <c r="H146" s="1258"/>
      <c r="I146" s="1259"/>
      <c r="J146" s="1260"/>
    </row>
    <row r="147" spans="1:12" ht="15" hidden="1" customHeight="1" x14ac:dyDescent="0.3">
      <c r="A147" s="618" t="s">
        <v>75</v>
      </c>
      <c r="B147" s="1252" t="s">
        <v>33</v>
      </c>
      <c r="C147" s="1253"/>
      <c r="D147" s="1253"/>
      <c r="E147" s="1253"/>
      <c r="F147" s="1254"/>
      <c r="G147" s="1187" t="s">
        <v>14</v>
      </c>
      <c r="H147" s="1188"/>
      <c r="I147" s="1255">
        <f>SUM(I149:J153)</f>
        <v>-4.0000000000000001E-3</v>
      </c>
      <c r="J147" s="1256"/>
    </row>
    <row r="148" spans="1:12" ht="15" hidden="1" customHeight="1" x14ac:dyDescent="0.3">
      <c r="A148" s="98"/>
      <c r="B148" s="1116" t="s">
        <v>9</v>
      </c>
      <c r="C148" s="1212"/>
      <c r="D148" s="1212"/>
      <c r="E148" s="1212"/>
      <c r="F148" s="1117"/>
      <c r="G148" s="1257"/>
      <c r="H148" s="1258"/>
      <c r="I148" s="1259"/>
      <c r="J148" s="1260"/>
    </row>
    <row r="149" spans="1:12" ht="26.25" hidden="1" customHeight="1" x14ac:dyDescent="0.3">
      <c r="A149" s="624" t="s">
        <v>34</v>
      </c>
      <c r="B149" s="1266" t="s">
        <v>35</v>
      </c>
      <c r="C149" s="1267"/>
      <c r="D149" s="1267"/>
      <c r="E149" s="1267"/>
      <c r="F149" s="1268"/>
      <c r="G149" s="1261">
        <f>G144</f>
        <v>0</v>
      </c>
      <c r="H149" s="1262"/>
      <c r="I149" s="1259">
        <f>G149*2.9%</f>
        <v>0</v>
      </c>
      <c r="J149" s="1260"/>
    </row>
    <row r="150" spans="1:12" hidden="1" x14ac:dyDescent="0.3">
      <c r="A150" s="624" t="s">
        <v>36</v>
      </c>
      <c r="B150" s="1266" t="s">
        <v>37</v>
      </c>
      <c r="C150" s="1267"/>
      <c r="D150" s="1267"/>
      <c r="E150" s="1267"/>
      <c r="F150" s="1268"/>
      <c r="G150" s="1257"/>
      <c r="H150" s="1258"/>
      <c r="I150" s="1259"/>
      <c r="J150" s="1260"/>
    </row>
    <row r="151" spans="1:12" ht="26.25" hidden="1" customHeight="1" x14ac:dyDescent="0.3">
      <c r="A151" s="624" t="s">
        <v>38</v>
      </c>
      <c r="B151" s="1266" t="s">
        <v>39</v>
      </c>
      <c r="C151" s="1267"/>
      <c r="D151" s="1267"/>
      <c r="E151" s="1267"/>
      <c r="F151" s="1268"/>
      <c r="G151" s="1261">
        <f>G144</f>
        <v>0</v>
      </c>
      <c r="H151" s="1262"/>
      <c r="I151" s="1259">
        <f>G151*0.2%-0.004</f>
        <v>-4.0000000000000001E-3</v>
      </c>
      <c r="J151" s="1260"/>
    </row>
    <row r="152" spans="1:12" s="41" customFormat="1" ht="14.25" hidden="1" customHeight="1" x14ac:dyDescent="0.3">
      <c r="A152" s="624" t="s">
        <v>40</v>
      </c>
      <c r="B152" s="1266" t="s">
        <v>41</v>
      </c>
      <c r="C152" s="1267"/>
      <c r="D152" s="1267"/>
      <c r="E152" s="1267"/>
      <c r="F152" s="1268"/>
      <c r="G152" s="1257"/>
      <c r="H152" s="1258"/>
      <c r="I152" s="1259"/>
      <c r="J152" s="1260"/>
    </row>
    <row r="153" spans="1:12" ht="15" hidden="1" customHeight="1" x14ac:dyDescent="0.3">
      <c r="A153" s="624" t="s">
        <v>42</v>
      </c>
      <c r="B153" s="1266" t="s">
        <v>41</v>
      </c>
      <c r="C153" s="1267"/>
      <c r="D153" s="1267"/>
      <c r="E153" s="1267"/>
      <c r="F153" s="1268"/>
      <c r="G153" s="1257"/>
      <c r="H153" s="1258"/>
      <c r="I153" s="1259"/>
      <c r="J153" s="1260"/>
    </row>
    <row r="154" spans="1:12" hidden="1" x14ac:dyDescent="0.3">
      <c r="A154" s="618" t="s">
        <v>77</v>
      </c>
      <c r="B154" s="1252" t="s">
        <v>43</v>
      </c>
      <c r="C154" s="1253"/>
      <c r="D154" s="1253"/>
      <c r="E154" s="1253"/>
      <c r="F154" s="1254"/>
      <c r="G154" s="1292">
        <f>G144</f>
        <v>0</v>
      </c>
      <c r="H154" s="1293"/>
      <c r="I154" s="1255">
        <f>G154*5.1%</f>
        <v>0</v>
      </c>
      <c r="J154" s="1256"/>
    </row>
    <row r="155" spans="1:12" hidden="1" x14ac:dyDescent="0.3">
      <c r="A155" s="624"/>
      <c r="B155" s="1249" t="s">
        <v>380</v>
      </c>
      <c r="C155" s="1250"/>
      <c r="D155" s="1250"/>
      <c r="E155" s="1250"/>
      <c r="F155" s="1251"/>
      <c r="G155" s="1244" t="s">
        <v>14</v>
      </c>
      <c r="H155" s="1245"/>
      <c r="I155" s="1288">
        <f>I142+I147+I154</f>
        <v>-4.0000000000000001E-3</v>
      </c>
      <c r="J155" s="1289"/>
    </row>
    <row r="156" spans="1:12" hidden="1" x14ac:dyDescent="0.3">
      <c r="A156" s="624"/>
      <c r="B156" s="1249" t="s">
        <v>567</v>
      </c>
      <c r="C156" s="1250"/>
      <c r="D156" s="1250"/>
      <c r="E156" s="1250"/>
      <c r="F156" s="1251"/>
      <c r="G156" s="621"/>
      <c r="H156" s="622"/>
      <c r="I156" s="1288">
        <v>0</v>
      </c>
      <c r="J156" s="1289"/>
    </row>
    <row r="157" spans="1:12" s="41" customFormat="1" ht="18.75" customHeight="1" x14ac:dyDescent="0.3">
      <c r="A157" s="109"/>
      <c r="B157" s="1294" t="s">
        <v>922</v>
      </c>
      <c r="C157" s="1294"/>
      <c r="D157" s="1294"/>
      <c r="E157" s="1294"/>
      <c r="F157" s="1294"/>
      <c r="G157" s="1290" t="s">
        <v>14</v>
      </c>
      <c r="H157" s="1290"/>
      <c r="I157" s="1291">
        <f>I139+I155+I156</f>
        <v>1223399.996</v>
      </c>
      <c r="J157" s="1291"/>
      <c r="K157" s="1237"/>
      <c r="L157" s="1237"/>
    </row>
    <row r="158" spans="1:12" s="41" customFormat="1" ht="38.25" hidden="1" customHeight="1" x14ac:dyDescent="0.3">
      <c r="A158" s="1240" t="s">
        <v>468</v>
      </c>
      <c r="B158" s="1240"/>
      <c r="C158" s="1240"/>
      <c r="D158" s="1240"/>
      <c r="E158" s="1240"/>
      <c r="F158" s="1240"/>
      <c r="G158" s="1240"/>
      <c r="H158" s="1240"/>
      <c r="I158" s="1240"/>
      <c r="J158" s="1240"/>
    </row>
    <row r="159" spans="1:12" ht="19.5" hidden="1" customHeight="1" x14ac:dyDescent="0.3">
      <c r="A159" s="1243" t="s">
        <v>609</v>
      </c>
      <c r="B159" s="1243"/>
      <c r="C159" s="1243"/>
      <c r="D159" s="1243"/>
      <c r="E159" s="1243"/>
      <c r="F159" s="1243"/>
      <c r="G159" s="1243"/>
      <c r="H159" s="1243"/>
      <c r="I159" s="1243"/>
      <c r="J159" s="1243"/>
      <c r="K159" s="11"/>
      <c r="L159" s="11"/>
    </row>
    <row r="160" spans="1:12" ht="15" hidden="1" customHeight="1" x14ac:dyDescent="0.3">
      <c r="A160" s="89" t="s">
        <v>80</v>
      </c>
      <c r="B160" s="90"/>
      <c r="C160" s="349">
        <v>350</v>
      </c>
      <c r="D160" s="349"/>
      <c r="E160" s="349"/>
      <c r="F160" s="94"/>
      <c r="G160" s="94"/>
      <c r="H160" s="94"/>
      <c r="I160" s="94"/>
      <c r="J160" s="94"/>
      <c r="K160" s="11"/>
      <c r="L160" s="11"/>
    </row>
    <row r="161" spans="1:12" ht="16.5" hidden="1" customHeight="1" x14ac:dyDescent="0.3">
      <c r="A161" s="89" t="s">
        <v>81</v>
      </c>
      <c r="B161" s="90"/>
      <c r="C161" s="90"/>
      <c r="D161" s="90"/>
      <c r="E161" s="95"/>
      <c r="F161" s="96"/>
      <c r="G161" s="96"/>
      <c r="H161" s="96"/>
      <c r="I161" s="96"/>
      <c r="J161" s="96"/>
      <c r="K161" s="11"/>
      <c r="L161" s="11"/>
    </row>
    <row r="162" spans="1:12" ht="36" hidden="1" customHeight="1" x14ac:dyDescent="0.3">
      <c r="A162" s="623" t="s">
        <v>1</v>
      </c>
      <c r="B162" s="1139" t="s">
        <v>44</v>
      </c>
      <c r="C162" s="1210"/>
      <c r="D162" s="1140"/>
      <c r="E162" s="1139" t="s">
        <v>45</v>
      </c>
      <c r="F162" s="1140"/>
      <c r="G162" s="1139" t="s">
        <v>46</v>
      </c>
      <c r="H162" s="1140"/>
      <c r="I162" s="1139" t="s">
        <v>102</v>
      </c>
      <c r="J162" s="1140"/>
      <c r="K162" s="11"/>
      <c r="L162" s="11"/>
    </row>
    <row r="163" spans="1:12" ht="16.5" hidden="1" customHeight="1" x14ac:dyDescent="0.3">
      <c r="A163" s="623">
        <v>1</v>
      </c>
      <c r="B163" s="1139">
        <v>2</v>
      </c>
      <c r="C163" s="1210"/>
      <c r="D163" s="1140"/>
      <c r="E163" s="1139">
        <v>3</v>
      </c>
      <c r="F163" s="1140"/>
      <c r="G163" s="1139">
        <v>4</v>
      </c>
      <c r="H163" s="1140"/>
      <c r="I163" s="1139">
        <v>5</v>
      </c>
      <c r="J163" s="1140"/>
      <c r="K163" s="11"/>
      <c r="L163" s="11"/>
    </row>
    <row r="164" spans="1:12" ht="132" hidden="1" customHeight="1" x14ac:dyDescent="0.3">
      <c r="A164" s="1148" t="s">
        <v>612</v>
      </c>
      <c r="B164" s="1149"/>
      <c r="C164" s="1149"/>
      <c r="D164" s="1149"/>
      <c r="E164" s="1149"/>
      <c r="F164" s="1149"/>
      <c r="G164" s="1149"/>
      <c r="H164" s="1149"/>
      <c r="I164" s="1149"/>
      <c r="J164" s="1150"/>
    </row>
    <row r="165" spans="1:12" ht="40.5" hidden="1" customHeight="1" x14ac:dyDescent="0.3">
      <c r="A165" s="624">
        <v>1</v>
      </c>
      <c r="B165" s="1115" t="s">
        <v>610</v>
      </c>
      <c r="C165" s="1115"/>
      <c r="D165" s="1115"/>
      <c r="E165" s="1116"/>
      <c r="F165" s="1117"/>
      <c r="G165" s="1241"/>
      <c r="H165" s="1242"/>
      <c r="I165" s="1241"/>
      <c r="J165" s="1242"/>
    </row>
    <row r="166" spans="1:12" ht="33.75" hidden="1" customHeight="1" x14ac:dyDescent="0.3">
      <c r="A166" s="624">
        <v>2</v>
      </c>
      <c r="B166" s="1215" t="s">
        <v>611</v>
      </c>
      <c r="C166" s="1216"/>
      <c r="D166" s="1217"/>
      <c r="E166" s="1116"/>
      <c r="F166" s="1156"/>
      <c r="G166" s="1116"/>
      <c r="H166" s="1156"/>
      <c r="I166" s="1241"/>
      <c r="J166" s="1248"/>
    </row>
    <row r="167" spans="1:12" hidden="1" x14ac:dyDescent="0.3">
      <c r="A167" s="620"/>
      <c r="B167" s="1249" t="s">
        <v>13</v>
      </c>
      <c r="C167" s="1250"/>
      <c r="D167" s="1251"/>
      <c r="E167" s="1244" t="s">
        <v>14</v>
      </c>
      <c r="F167" s="1245"/>
      <c r="G167" s="1244" t="s">
        <v>14</v>
      </c>
      <c r="H167" s="1245"/>
      <c r="I167" s="1246">
        <f>SUM(I165:J166)</f>
        <v>0</v>
      </c>
      <c r="J167" s="1247"/>
    </row>
    <row r="168" spans="1:12" s="41" customFormat="1" ht="21" hidden="1" customHeight="1" x14ac:dyDescent="0.3">
      <c r="A168" s="1243" t="s">
        <v>369</v>
      </c>
      <c r="B168" s="1243"/>
      <c r="C168" s="1243"/>
      <c r="D168" s="1243"/>
      <c r="E168" s="1243"/>
      <c r="F168" s="1243"/>
      <c r="G168" s="1243"/>
      <c r="H168" s="1243"/>
      <c r="I168" s="1243"/>
      <c r="J168" s="1243"/>
    </row>
    <row r="169" spans="1:12" s="41" customFormat="1" ht="21" hidden="1" customHeight="1" x14ac:dyDescent="0.3">
      <c r="A169" s="89" t="s">
        <v>80</v>
      </c>
      <c r="B169" s="90"/>
      <c r="C169" s="349">
        <v>851</v>
      </c>
      <c r="D169" s="349">
        <v>852</v>
      </c>
      <c r="E169" s="349">
        <v>853</v>
      </c>
      <c r="F169" s="94"/>
      <c r="G169" s="94"/>
      <c r="H169" s="94"/>
      <c r="I169" s="94"/>
      <c r="J169" s="94"/>
      <c r="K169" s="42"/>
      <c r="L169" s="43"/>
    </row>
    <row r="170" spans="1:12" s="41" customFormat="1" ht="15.6" hidden="1" x14ac:dyDescent="0.3">
      <c r="A170" s="89" t="s">
        <v>81</v>
      </c>
      <c r="B170" s="90"/>
      <c r="C170" s="90"/>
      <c r="D170" s="90"/>
      <c r="E170" s="95"/>
      <c r="F170" s="96"/>
      <c r="G170" s="96"/>
      <c r="H170" s="96"/>
      <c r="I170" s="96"/>
      <c r="J170" s="96"/>
    </row>
    <row r="171" spans="1:12" ht="39.75" hidden="1" customHeight="1" x14ac:dyDescent="0.3">
      <c r="A171" s="623" t="s">
        <v>1</v>
      </c>
      <c r="B171" s="1110" t="s">
        <v>15</v>
      </c>
      <c r="C171" s="1110"/>
      <c r="D171" s="1110"/>
      <c r="E171" s="1110" t="s">
        <v>47</v>
      </c>
      <c r="F171" s="1110"/>
      <c r="G171" s="1110" t="s">
        <v>48</v>
      </c>
      <c r="H171" s="1110"/>
      <c r="I171" s="1110" t="s">
        <v>103</v>
      </c>
      <c r="J171" s="1110"/>
    </row>
    <row r="172" spans="1:12" ht="15" hidden="1" customHeight="1" x14ac:dyDescent="0.3">
      <c r="A172" s="623">
        <v>1</v>
      </c>
      <c r="B172" s="1110">
        <v>2</v>
      </c>
      <c r="C172" s="1110"/>
      <c r="D172" s="1110"/>
      <c r="E172" s="1110">
        <v>3</v>
      </c>
      <c r="F172" s="1110"/>
      <c r="G172" s="1110">
        <v>4</v>
      </c>
      <c r="H172" s="1110"/>
      <c r="I172" s="1110">
        <v>5</v>
      </c>
      <c r="J172" s="1110"/>
    </row>
    <row r="173" spans="1:12" ht="20.25" hidden="1" customHeight="1" x14ac:dyDescent="0.3">
      <c r="A173" s="1280" t="s">
        <v>70</v>
      </c>
      <c r="B173" s="1285" t="s">
        <v>296</v>
      </c>
      <c r="C173" s="1286"/>
      <c r="D173" s="625" t="s">
        <v>515</v>
      </c>
      <c r="E173" s="1287"/>
      <c r="F173" s="1287"/>
      <c r="G173" s="1284">
        <v>2.1999999999999999E-2</v>
      </c>
      <c r="H173" s="1284"/>
      <c r="I173" s="1231">
        <v>0</v>
      </c>
      <c r="J173" s="1231"/>
    </row>
    <row r="174" spans="1:12" ht="17.25" hidden="1" customHeight="1" x14ac:dyDescent="0.3">
      <c r="A174" s="1281"/>
      <c r="B174" s="1286"/>
      <c r="C174" s="1286"/>
      <c r="D174" s="626" t="s">
        <v>516</v>
      </c>
      <c r="E174" s="1287"/>
      <c r="F174" s="1287"/>
      <c r="G174" s="1284">
        <v>2.1999999999999999E-2</v>
      </c>
      <c r="H174" s="1284"/>
      <c r="I174" s="1231">
        <v>0</v>
      </c>
      <c r="J174" s="1231"/>
    </row>
    <row r="175" spans="1:12" ht="18" hidden="1" customHeight="1" x14ac:dyDescent="0.3">
      <c r="A175" s="624" t="s">
        <v>75</v>
      </c>
      <c r="B175" s="1197" t="s">
        <v>298</v>
      </c>
      <c r="C175" s="1198"/>
      <c r="D175" s="1199"/>
      <c r="E175" s="1213">
        <v>0</v>
      </c>
      <c r="F175" s="1213"/>
      <c r="G175" s="1213">
        <v>0</v>
      </c>
      <c r="H175" s="1213"/>
      <c r="I175" s="1231">
        <v>0</v>
      </c>
      <c r="J175" s="1231"/>
    </row>
    <row r="176" spans="1:12" ht="31.5" hidden="1" customHeight="1" x14ac:dyDescent="0.3">
      <c r="A176" s="624" t="s">
        <v>77</v>
      </c>
      <c r="B176" s="1197" t="s">
        <v>299</v>
      </c>
      <c r="C176" s="1198"/>
      <c r="D176" s="1199"/>
      <c r="E176" s="1213">
        <v>0</v>
      </c>
      <c r="F176" s="1213"/>
      <c r="G176" s="1213">
        <v>0</v>
      </c>
      <c r="H176" s="1213"/>
      <c r="I176" s="1231">
        <v>0</v>
      </c>
      <c r="J176" s="1231"/>
    </row>
    <row r="177" spans="1:12" ht="31.5" hidden="1" customHeight="1" x14ac:dyDescent="0.3">
      <c r="A177" s="624" t="s">
        <v>86</v>
      </c>
      <c r="B177" s="1197" t="s">
        <v>297</v>
      </c>
      <c r="C177" s="1198"/>
      <c r="D177" s="1199"/>
      <c r="E177" s="1116">
        <v>0</v>
      </c>
      <c r="F177" s="1117"/>
      <c r="G177" s="1116">
        <v>0</v>
      </c>
      <c r="H177" s="1117"/>
      <c r="I177" s="1282">
        <v>0</v>
      </c>
      <c r="J177" s="1283"/>
    </row>
    <row r="178" spans="1:12" ht="15.75" hidden="1" customHeight="1" x14ac:dyDescent="0.3">
      <c r="A178" s="620"/>
      <c r="B178" s="1098" t="s">
        <v>13</v>
      </c>
      <c r="C178" s="1098"/>
      <c r="D178" s="1098"/>
      <c r="E178" s="1090" t="s">
        <v>74</v>
      </c>
      <c r="F178" s="1090"/>
      <c r="G178" s="1090" t="s">
        <v>14</v>
      </c>
      <c r="H178" s="1090"/>
      <c r="I178" s="1101">
        <f>SUM(I173:J177)</f>
        <v>0</v>
      </c>
      <c r="J178" s="1090"/>
    </row>
    <row r="179" spans="1:12" ht="27" hidden="1" customHeight="1" x14ac:dyDescent="0.3">
      <c r="A179" s="1243" t="s">
        <v>85</v>
      </c>
      <c r="B179" s="1243"/>
      <c r="C179" s="1243"/>
      <c r="D179" s="1243"/>
      <c r="E179" s="1243"/>
      <c r="F179" s="1243"/>
      <c r="G179" s="1243"/>
      <c r="H179" s="1243"/>
      <c r="I179" s="1243"/>
      <c r="J179" s="1243"/>
      <c r="K179" s="1237"/>
      <c r="L179" s="1237"/>
    </row>
    <row r="180" spans="1:12" s="41" customFormat="1" ht="15.75" hidden="1" customHeight="1" x14ac:dyDescent="0.3">
      <c r="A180" s="89" t="s">
        <v>80</v>
      </c>
      <c r="B180" s="90"/>
      <c r="C180" s="349"/>
      <c r="D180" s="349"/>
      <c r="E180" s="349"/>
      <c r="F180" s="94"/>
      <c r="G180" s="94"/>
      <c r="H180" s="94"/>
      <c r="I180" s="94"/>
      <c r="J180" s="94"/>
      <c r="K180" s="42"/>
      <c r="L180" s="43"/>
    </row>
    <row r="181" spans="1:12" s="41" customFormat="1" ht="15.6" hidden="1" x14ac:dyDescent="0.3">
      <c r="A181" s="89" t="s">
        <v>81</v>
      </c>
      <c r="B181" s="90"/>
      <c r="C181" s="90"/>
      <c r="D181" s="90"/>
      <c r="E181" s="95"/>
      <c r="F181" s="96"/>
      <c r="G181" s="96"/>
      <c r="H181" s="96"/>
      <c r="I181" s="96"/>
      <c r="J181" s="96"/>
    </row>
    <row r="182" spans="1:12" ht="24.75" hidden="1" customHeight="1" x14ac:dyDescent="0.3">
      <c r="A182" s="623" t="s">
        <v>1</v>
      </c>
      <c r="B182" s="1110" t="s">
        <v>44</v>
      </c>
      <c r="C182" s="1110"/>
      <c r="D182" s="1110"/>
      <c r="E182" s="1110" t="s">
        <v>45</v>
      </c>
      <c r="F182" s="1110"/>
      <c r="G182" s="1110" t="s">
        <v>46</v>
      </c>
      <c r="H182" s="1110"/>
      <c r="I182" s="1110" t="s">
        <v>102</v>
      </c>
      <c r="J182" s="1110"/>
      <c r="K182" s="11"/>
      <c r="L182" s="11"/>
    </row>
    <row r="183" spans="1:12" ht="14.25" hidden="1" customHeight="1" x14ac:dyDescent="0.3">
      <c r="A183" s="623">
        <v>1</v>
      </c>
      <c r="B183" s="1110">
        <v>2</v>
      </c>
      <c r="C183" s="1110"/>
      <c r="D183" s="1110"/>
      <c r="E183" s="1110">
        <v>3</v>
      </c>
      <c r="F183" s="1110"/>
      <c r="G183" s="1110">
        <v>4</v>
      </c>
      <c r="H183" s="1110"/>
      <c r="I183" s="1110">
        <v>5</v>
      </c>
      <c r="J183" s="1110"/>
      <c r="K183" s="650"/>
      <c r="L183" s="651"/>
    </row>
    <row r="184" spans="1:12" ht="15" hidden="1" customHeight="1" x14ac:dyDescent="0.3">
      <c r="A184" s="624"/>
      <c r="B184" s="1116"/>
      <c r="C184" s="1212"/>
      <c r="D184" s="1117"/>
      <c r="E184" s="1116"/>
      <c r="F184" s="1117"/>
      <c r="G184" s="1116"/>
      <c r="H184" s="1117"/>
      <c r="I184" s="1116"/>
      <c r="J184" s="1117"/>
      <c r="K184" s="11"/>
      <c r="L184" s="11"/>
    </row>
    <row r="185" spans="1:12" ht="17.25" hidden="1" customHeight="1" x14ac:dyDescent="0.3">
      <c r="A185" s="620"/>
      <c r="B185" s="1098" t="s">
        <v>13</v>
      </c>
      <c r="C185" s="1098"/>
      <c r="D185" s="1098"/>
      <c r="E185" s="1090" t="s">
        <v>14</v>
      </c>
      <c r="F185" s="1090"/>
      <c r="G185" s="1090" t="s">
        <v>14</v>
      </c>
      <c r="H185" s="1090"/>
      <c r="I185" s="1090"/>
      <c r="J185" s="1090"/>
      <c r="K185" s="11"/>
      <c r="L185" s="11"/>
    </row>
    <row r="186" spans="1:12" ht="16.5" hidden="1" customHeight="1" x14ac:dyDescent="0.3">
      <c r="A186" s="1218" t="s">
        <v>91</v>
      </c>
      <c r="B186" s="1218"/>
      <c r="C186" s="1218"/>
      <c r="D186" s="1218"/>
      <c r="E186" s="1218"/>
      <c r="F186" s="1218"/>
      <c r="G186" s="1218"/>
      <c r="H186" s="1218"/>
      <c r="I186" s="1218"/>
      <c r="J186" s="1218"/>
      <c r="K186" s="11"/>
      <c r="L186" s="11"/>
    </row>
    <row r="187" spans="1:12" ht="18" hidden="1" customHeight="1" x14ac:dyDescent="0.3">
      <c r="A187" s="89" t="s">
        <v>80</v>
      </c>
      <c r="B187" s="90"/>
      <c r="C187" s="349">
        <v>244</v>
      </c>
      <c r="D187" s="349"/>
      <c r="E187" s="349"/>
      <c r="F187" s="94"/>
      <c r="G187" s="94"/>
      <c r="H187" s="94"/>
      <c r="I187" s="94"/>
      <c r="J187" s="94"/>
      <c r="K187" s="11"/>
      <c r="L187" s="11"/>
    </row>
    <row r="188" spans="1:12" ht="18" hidden="1" customHeight="1" x14ac:dyDescent="0.3">
      <c r="A188" s="89" t="s">
        <v>81</v>
      </c>
      <c r="B188" s="90"/>
      <c r="C188" s="90"/>
      <c r="D188" s="90"/>
      <c r="E188" s="95" t="s">
        <v>82</v>
      </c>
      <c r="F188" s="96"/>
      <c r="G188" s="95"/>
      <c r="H188" s="96"/>
      <c r="I188" s="96"/>
      <c r="J188" s="96"/>
      <c r="K188" s="11"/>
      <c r="L188" s="11"/>
    </row>
    <row r="189" spans="1:12" ht="18" hidden="1" customHeight="1" x14ac:dyDescent="0.3">
      <c r="A189" s="1214" t="s">
        <v>568</v>
      </c>
      <c r="B189" s="1214"/>
      <c r="C189" s="1214"/>
      <c r="D189" s="1214"/>
      <c r="E189" s="1214"/>
      <c r="F189" s="1214"/>
      <c r="G189" s="1214"/>
      <c r="H189" s="1214"/>
      <c r="I189" s="1214"/>
      <c r="J189" s="1214"/>
      <c r="K189" s="11"/>
      <c r="L189" s="11"/>
    </row>
    <row r="190" spans="1:12" ht="30" hidden="1" customHeight="1" x14ac:dyDescent="0.3">
      <c r="A190" s="623" t="s">
        <v>1</v>
      </c>
      <c r="B190" s="1110" t="s">
        <v>44</v>
      </c>
      <c r="C190" s="1110"/>
      <c r="D190" s="1110"/>
      <c r="E190" s="1110" t="s">
        <v>45</v>
      </c>
      <c r="F190" s="1110"/>
      <c r="G190" s="1110" t="s">
        <v>46</v>
      </c>
      <c r="H190" s="1110"/>
      <c r="I190" s="1110" t="s">
        <v>102</v>
      </c>
      <c r="J190" s="1110"/>
      <c r="K190" s="144"/>
      <c r="L190" s="11"/>
    </row>
    <row r="191" spans="1:12" ht="17.25" hidden="1" customHeight="1" x14ac:dyDescent="0.3">
      <c r="A191" s="623">
        <v>1</v>
      </c>
      <c r="B191" s="1110">
        <v>2</v>
      </c>
      <c r="C191" s="1110"/>
      <c r="D191" s="1110"/>
      <c r="E191" s="1110">
        <v>3</v>
      </c>
      <c r="F191" s="1110"/>
      <c r="G191" s="1110">
        <v>4</v>
      </c>
      <c r="H191" s="1110"/>
      <c r="I191" s="1110">
        <v>5</v>
      </c>
      <c r="J191" s="1110"/>
      <c r="K191" s="11"/>
      <c r="L191" s="11"/>
    </row>
    <row r="192" spans="1:12" ht="21.75" hidden="1" customHeight="1" x14ac:dyDescent="0.3">
      <c r="A192" s="624" t="s">
        <v>70</v>
      </c>
      <c r="B192" s="1197" t="s">
        <v>569</v>
      </c>
      <c r="C192" s="1198"/>
      <c r="D192" s="1199"/>
      <c r="E192" s="1116">
        <v>0</v>
      </c>
      <c r="F192" s="1117"/>
      <c r="G192" s="1116">
        <v>1</v>
      </c>
      <c r="H192" s="1117"/>
      <c r="I192" s="1238">
        <f>E192*G192</f>
        <v>0</v>
      </c>
      <c r="J192" s="1239"/>
      <c r="K192" s="11"/>
      <c r="L192" s="145"/>
    </row>
    <row r="193" spans="1:14" ht="38.25" hidden="1" customHeight="1" x14ac:dyDescent="0.3">
      <c r="A193" s="624" t="s">
        <v>75</v>
      </c>
      <c r="B193" s="1215" t="s">
        <v>542</v>
      </c>
      <c r="C193" s="1216"/>
      <c r="D193" s="1217"/>
      <c r="E193" s="1116">
        <v>0</v>
      </c>
      <c r="F193" s="1117"/>
      <c r="G193" s="1116">
        <v>2</v>
      </c>
      <c r="H193" s="1117"/>
      <c r="I193" s="1238">
        <f>E193*G193</f>
        <v>0</v>
      </c>
      <c r="J193" s="1239"/>
      <c r="K193" s="11"/>
      <c r="L193" s="145"/>
    </row>
    <row r="194" spans="1:14" ht="15" hidden="1" customHeight="1" x14ac:dyDescent="0.3">
      <c r="A194" s="251"/>
      <c r="B194" s="1277" t="s">
        <v>13</v>
      </c>
      <c r="C194" s="1277"/>
      <c r="D194" s="1277"/>
      <c r="E194" s="1278" t="s">
        <v>14</v>
      </c>
      <c r="F194" s="1278"/>
      <c r="G194" s="1278" t="s">
        <v>14</v>
      </c>
      <c r="H194" s="1278"/>
      <c r="I194" s="1279">
        <f>I192+I193</f>
        <v>0</v>
      </c>
      <c r="J194" s="1279"/>
      <c r="K194" s="11"/>
      <c r="L194" s="11"/>
      <c r="M194" s="14"/>
    </row>
    <row r="195" spans="1:14" ht="22.5" customHeight="1" x14ac:dyDescent="0.3">
      <c r="A195" s="1218" t="s">
        <v>49</v>
      </c>
      <c r="B195" s="1218"/>
      <c r="C195" s="1218"/>
      <c r="D195" s="1218"/>
      <c r="E195" s="1218"/>
      <c r="F195" s="1218"/>
      <c r="G195" s="1218"/>
      <c r="H195" s="1218"/>
      <c r="I195" s="1218"/>
      <c r="J195" s="1218"/>
      <c r="K195" s="11"/>
      <c r="L195" s="11"/>
      <c r="M195" s="14"/>
    </row>
    <row r="196" spans="1:14" ht="19.5" customHeight="1" x14ac:dyDescent="0.3">
      <c r="A196" s="89" t="s">
        <v>80</v>
      </c>
      <c r="B196" s="90"/>
      <c r="C196" s="349">
        <v>244</v>
      </c>
      <c r="D196" s="349"/>
      <c r="E196" s="349"/>
      <c r="F196" s="94"/>
      <c r="G196" s="94"/>
      <c r="H196" s="94"/>
      <c r="I196" s="94"/>
      <c r="J196" s="94"/>
      <c r="K196" s="11"/>
      <c r="L196" s="11"/>
      <c r="M196" s="14"/>
    </row>
    <row r="197" spans="1:14" ht="17.25" customHeight="1" x14ac:dyDescent="0.3">
      <c r="A197" s="89" t="s">
        <v>81</v>
      </c>
      <c r="B197" s="90"/>
      <c r="C197" s="90"/>
      <c r="D197" s="90"/>
      <c r="E197" s="95" t="s">
        <v>82</v>
      </c>
      <c r="F197" s="96"/>
      <c r="G197" s="95" t="s">
        <v>195</v>
      </c>
      <c r="H197" s="96"/>
      <c r="I197" s="96"/>
      <c r="J197" s="96"/>
      <c r="K197" s="11"/>
      <c r="L197" s="11"/>
      <c r="M197" s="14"/>
    </row>
    <row r="198" spans="1:14" ht="17.25" hidden="1" customHeight="1" x14ac:dyDescent="0.3">
      <c r="A198" s="1218" t="s">
        <v>301</v>
      </c>
      <c r="B198" s="1218"/>
      <c r="C198" s="1218"/>
      <c r="D198" s="1218"/>
      <c r="E198" s="1218"/>
      <c r="F198" s="1218"/>
      <c r="G198" s="1218"/>
      <c r="H198" s="1218"/>
      <c r="I198" s="1218"/>
      <c r="J198" s="1218"/>
      <c r="K198" s="11"/>
      <c r="L198" s="11"/>
      <c r="M198" s="14"/>
    </row>
    <row r="199" spans="1:14" ht="39.75" hidden="1" customHeight="1" x14ac:dyDescent="0.3">
      <c r="A199" s="623" t="s">
        <v>1</v>
      </c>
      <c r="B199" s="1110" t="s">
        <v>15</v>
      </c>
      <c r="C199" s="1110"/>
      <c r="D199" s="1110"/>
      <c r="E199" s="623" t="s">
        <v>50</v>
      </c>
      <c r="F199" s="623" t="s">
        <v>51</v>
      </c>
      <c r="G199" s="1110" t="s">
        <v>52</v>
      </c>
      <c r="H199" s="1110"/>
      <c r="I199" s="1110" t="s">
        <v>104</v>
      </c>
      <c r="J199" s="1110"/>
      <c r="K199" s="11"/>
      <c r="L199" s="11"/>
      <c r="M199" s="14"/>
    </row>
    <row r="200" spans="1:14" ht="15" hidden="1" customHeight="1" x14ac:dyDescent="0.3">
      <c r="A200" s="623">
        <v>1</v>
      </c>
      <c r="B200" s="1110">
        <v>2</v>
      </c>
      <c r="C200" s="1110"/>
      <c r="D200" s="1110"/>
      <c r="E200" s="623">
        <v>3</v>
      </c>
      <c r="F200" s="623">
        <v>4</v>
      </c>
      <c r="G200" s="1110">
        <v>5</v>
      </c>
      <c r="H200" s="1110"/>
      <c r="I200" s="1110">
        <v>6</v>
      </c>
      <c r="J200" s="1110"/>
      <c r="K200" s="11"/>
      <c r="L200" s="11"/>
      <c r="M200" s="14"/>
    </row>
    <row r="201" spans="1:14" ht="14.25" hidden="1" customHeight="1" x14ac:dyDescent="0.3">
      <c r="A201" s="618">
        <v>1</v>
      </c>
      <c r="B201" s="1125" t="s">
        <v>348</v>
      </c>
      <c r="C201" s="1126"/>
      <c r="D201" s="1127"/>
      <c r="E201" s="155" t="s">
        <v>74</v>
      </c>
      <c r="F201" s="155" t="s">
        <v>74</v>
      </c>
      <c r="G201" s="1232" t="s">
        <v>74</v>
      </c>
      <c r="H201" s="1232"/>
      <c r="I201" s="1233">
        <f>I202+I203+I204+I205</f>
        <v>0</v>
      </c>
      <c r="J201" s="1233"/>
      <c r="K201" s="11"/>
      <c r="L201" s="11"/>
      <c r="M201" s="14"/>
    </row>
    <row r="202" spans="1:14" ht="15" hidden="1" customHeight="1" x14ac:dyDescent="0.3">
      <c r="A202" s="624" t="s">
        <v>349</v>
      </c>
      <c r="B202" s="1143" t="s">
        <v>93</v>
      </c>
      <c r="C202" s="1143"/>
      <c r="D202" s="1143"/>
      <c r="E202" s="624">
        <v>6</v>
      </c>
      <c r="F202" s="624">
        <v>12</v>
      </c>
      <c r="G202" s="1234">
        <v>0</v>
      </c>
      <c r="H202" s="1234"/>
      <c r="I202" s="1231">
        <v>0</v>
      </c>
      <c r="J202" s="1231"/>
      <c r="K202" s="13"/>
      <c r="L202" s="13"/>
      <c r="M202" s="14"/>
    </row>
    <row r="203" spans="1:14" hidden="1" x14ac:dyDescent="0.3">
      <c r="A203" s="624" t="s">
        <v>350</v>
      </c>
      <c r="B203" s="1143" t="s">
        <v>95</v>
      </c>
      <c r="C203" s="1143"/>
      <c r="D203" s="1143"/>
      <c r="E203" s="624"/>
      <c r="F203" s="624"/>
      <c r="G203" s="1235"/>
      <c r="H203" s="1235"/>
      <c r="I203" s="1231"/>
      <c r="J203" s="1231"/>
      <c r="M203" s="14"/>
    </row>
    <row r="204" spans="1:14" hidden="1" x14ac:dyDescent="0.3">
      <c r="A204" s="624" t="s">
        <v>351</v>
      </c>
      <c r="B204" s="1143" t="s">
        <v>96</v>
      </c>
      <c r="C204" s="1143"/>
      <c r="D204" s="1143"/>
      <c r="E204" s="624"/>
      <c r="F204" s="624"/>
      <c r="G204" s="1230"/>
      <c r="H204" s="1230"/>
      <c r="I204" s="1236"/>
      <c r="J204" s="1236"/>
      <c r="M204" s="14"/>
    </row>
    <row r="205" spans="1:14" hidden="1" x14ac:dyDescent="0.3">
      <c r="A205" s="624" t="s">
        <v>268</v>
      </c>
      <c r="B205" s="1143" t="s">
        <v>199</v>
      </c>
      <c r="C205" s="1143"/>
      <c r="D205" s="1143"/>
      <c r="E205" s="624"/>
      <c r="F205" s="624"/>
      <c r="G205" s="1230"/>
      <c r="H205" s="1230"/>
      <c r="I205" s="1231"/>
      <c r="J205" s="1231"/>
      <c r="M205" s="14"/>
    </row>
    <row r="206" spans="1:14" hidden="1" x14ac:dyDescent="0.3">
      <c r="A206" s="618">
        <v>2</v>
      </c>
      <c r="B206" s="1125" t="s">
        <v>352</v>
      </c>
      <c r="C206" s="1126"/>
      <c r="D206" s="1127"/>
      <c r="E206" s="155" t="s">
        <v>74</v>
      </c>
      <c r="F206" s="155" t="s">
        <v>74</v>
      </c>
      <c r="G206" s="1232" t="s">
        <v>74</v>
      </c>
      <c r="H206" s="1232"/>
      <c r="I206" s="1233">
        <f>I207</f>
        <v>0</v>
      </c>
      <c r="J206" s="1233"/>
      <c r="M206" s="14"/>
    </row>
    <row r="207" spans="1:14" s="41" customFormat="1" ht="19.5" hidden="1" customHeight="1" x14ac:dyDescent="0.3">
      <c r="A207" s="624" t="s">
        <v>353</v>
      </c>
      <c r="B207" s="1143" t="s">
        <v>199</v>
      </c>
      <c r="C207" s="1143"/>
      <c r="D207" s="1143"/>
      <c r="E207" s="624">
        <v>1</v>
      </c>
      <c r="F207" s="624">
        <v>10</v>
      </c>
      <c r="G207" s="1230">
        <v>25000</v>
      </c>
      <c r="H207" s="1230"/>
      <c r="I207" s="1231">
        <v>0</v>
      </c>
      <c r="J207" s="1231"/>
    </row>
    <row r="208" spans="1:14" ht="16.5" hidden="1" customHeight="1" x14ac:dyDescent="0.3">
      <c r="A208" s="624"/>
      <c r="B208" s="1098" t="s">
        <v>332</v>
      </c>
      <c r="C208" s="1098"/>
      <c r="D208" s="1098"/>
      <c r="E208" s="620" t="s">
        <v>14</v>
      </c>
      <c r="F208" s="620" t="s">
        <v>14</v>
      </c>
      <c r="G208" s="1090" t="s">
        <v>14</v>
      </c>
      <c r="H208" s="1090"/>
      <c r="I208" s="1101">
        <f>I201+I206</f>
        <v>0</v>
      </c>
      <c r="J208" s="1090"/>
      <c r="K208" s="133"/>
      <c r="N208" s="135"/>
    </row>
    <row r="209" spans="1:13" ht="12" hidden="1" customHeight="1" x14ac:dyDescent="0.3">
      <c r="A209" s="97"/>
      <c r="B209" s="90"/>
      <c r="C209" s="90"/>
      <c r="D209" s="90"/>
      <c r="E209" s="90"/>
      <c r="F209" s="90"/>
      <c r="G209" s="90"/>
      <c r="H209" s="90"/>
      <c r="I209" s="90"/>
      <c r="J209" s="90"/>
      <c r="K209" s="14"/>
      <c r="M209" s="82"/>
    </row>
    <row r="210" spans="1:13" ht="18.75" hidden="1" customHeight="1" x14ac:dyDescent="0.3">
      <c r="A210" s="1218" t="s">
        <v>285</v>
      </c>
      <c r="B210" s="1218"/>
      <c r="C210" s="1218"/>
      <c r="D210" s="1218"/>
      <c r="E210" s="1218"/>
      <c r="F210" s="1218"/>
      <c r="G210" s="1218"/>
      <c r="H210" s="1218"/>
      <c r="I210" s="1218"/>
      <c r="J210" s="1218"/>
      <c r="K210" s="14"/>
      <c r="M210" s="82"/>
    </row>
    <row r="211" spans="1:13" ht="12.75" hidden="1" customHeight="1" x14ac:dyDescent="0.3">
      <c r="A211" s="623" t="s">
        <v>1</v>
      </c>
      <c r="B211" s="1110" t="s">
        <v>15</v>
      </c>
      <c r="C211" s="1110"/>
      <c r="D211" s="1110"/>
      <c r="E211" s="1110" t="s">
        <v>53</v>
      </c>
      <c r="F211" s="1110"/>
      <c r="G211" s="1110" t="s">
        <v>54</v>
      </c>
      <c r="H211" s="1110"/>
      <c r="I211" s="1110" t="s">
        <v>264</v>
      </c>
      <c r="J211" s="1110"/>
      <c r="K211" s="14"/>
      <c r="M211" s="82"/>
    </row>
    <row r="212" spans="1:13" ht="15" hidden="1" customHeight="1" x14ac:dyDescent="0.3">
      <c r="A212" s="623">
        <v>1</v>
      </c>
      <c r="B212" s="1110">
        <v>2</v>
      </c>
      <c r="C212" s="1110"/>
      <c r="D212" s="1110"/>
      <c r="E212" s="1110">
        <v>3</v>
      </c>
      <c r="F212" s="1110"/>
      <c r="G212" s="1110">
        <v>4</v>
      </c>
      <c r="H212" s="1110"/>
      <c r="I212" s="1110">
        <v>5</v>
      </c>
      <c r="J212" s="1110"/>
      <c r="K212" s="14"/>
      <c r="M212" s="82"/>
    </row>
    <row r="213" spans="1:13" ht="17.25" hidden="1" customHeight="1" x14ac:dyDescent="0.3">
      <c r="A213" s="624">
        <v>1</v>
      </c>
      <c r="B213" s="1226" t="s">
        <v>329</v>
      </c>
      <c r="C213" s="1227"/>
      <c r="D213" s="1228"/>
      <c r="E213" s="1213"/>
      <c r="F213" s="1213"/>
      <c r="G213" s="1229"/>
      <c r="H213" s="1229"/>
      <c r="I213" s="1229">
        <f>E213*G213</f>
        <v>0</v>
      </c>
      <c r="J213" s="1229"/>
      <c r="K213" s="14"/>
      <c r="M213" s="82"/>
    </row>
    <row r="214" spans="1:13" hidden="1" x14ac:dyDescent="0.3">
      <c r="A214" s="624"/>
      <c r="B214" s="1098" t="s">
        <v>13</v>
      </c>
      <c r="C214" s="1098"/>
      <c r="D214" s="1098"/>
      <c r="E214" s="1090" t="s">
        <v>74</v>
      </c>
      <c r="F214" s="1090"/>
      <c r="G214" s="1090" t="s">
        <v>74</v>
      </c>
      <c r="H214" s="1090"/>
      <c r="I214" s="1203">
        <f>I213</f>
        <v>0</v>
      </c>
      <c r="J214" s="1090"/>
    </row>
    <row r="215" spans="1:13" ht="24" hidden="1" customHeight="1" x14ac:dyDescent="0.3">
      <c r="A215" s="1218" t="s">
        <v>281</v>
      </c>
      <c r="B215" s="1218"/>
      <c r="C215" s="1218"/>
      <c r="D215" s="1218"/>
      <c r="E215" s="1218"/>
      <c r="F215" s="1218"/>
      <c r="G215" s="1218"/>
      <c r="H215" s="1218"/>
      <c r="I215" s="1218"/>
      <c r="J215" s="1218"/>
    </row>
    <row r="216" spans="1:13" s="41" customFormat="1" ht="25.5" hidden="1" customHeight="1" x14ac:dyDescent="0.3">
      <c r="A216" s="623" t="s">
        <v>1</v>
      </c>
      <c r="B216" s="1110" t="s">
        <v>44</v>
      </c>
      <c r="C216" s="1110"/>
      <c r="D216" s="1110"/>
      <c r="E216" s="623" t="s">
        <v>55</v>
      </c>
      <c r="F216" s="1110" t="s">
        <v>56</v>
      </c>
      <c r="G216" s="1110"/>
      <c r="H216" s="623" t="s">
        <v>57</v>
      </c>
      <c r="I216" s="1110" t="s">
        <v>104</v>
      </c>
      <c r="J216" s="1110"/>
    </row>
    <row r="217" spans="1:13" s="41" customFormat="1" ht="13.8" hidden="1" x14ac:dyDescent="0.3">
      <c r="A217" s="623">
        <v>1</v>
      </c>
      <c r="B217" s="1110">
        <v>2</v>
      </c>
      <c r="C217" s="1110"/>
      <c r="D217" s="1110"/>
      <c r="E217" s="623">
        <v>3</v>
      </c>
      <c r="F217" s="1110">
        <v>4</v>
      </c>
      <c r="G217" s="1110"/>
      <c r="H217" s="623">
        <v>5</v>
      </c>
      <c r="I217" s="1110">
        <v>6</v>
      </c>
      <c r="J217" s="1110"/>
    </row>
    <row r="218" spans="1:13" ht="15" hidden="1" customHeight="1" x14ac:dyDescent="0.3">
      <c r="A218" s="618" t="s">
        <v>70</v>
      </c>
      <c r="B218" s="1125" t="s">
        <v>151</v>
      </c>
      <c r="C218" s="1126"/>
      <c r="D218" s="1127"/>
      <c r="E218" s="99">
        <f>E219+E220</f>
        <v>1242.06</v>
      </c>
      <c r="F218" s="1223"/>
      <c r="G218" s="1224"/>
      <c r="H218" s="100">
        <f>F220/F219-100%</f>
        <v>3.5000412984224072E-2</v>
      </c>
      <c r="I218" s="1225"/>
      <c r="J218" s="1225"/>
      <c r="K218" s="14"/>
    </row>
    <row r="219" spans="1:13" ht="15" hidden="1" customHeight="1" x14ac:dyDescent="0.3">
      <c r="A219" s="624"/>
      <c r="B219" s="1213" t="s">
        <v>100</v>
      </c>
      <c r="C219" s="1213"/>
      <c r="D219" s="1213"/>
      <c r="E219" s="628">
        <f>679+21.16</f>
        <v>700.16</v>
      </c>
      <c r="F219" s="1192">
        <v>1937.12</v>
      </c>
      <c r="G219" s="1193"/>
      <c r="H219" s="624"/>
      <c r="I219" s="1222"/>
      <c r="J219" s="1222"/>
      <c r="K219" s="14"/>
    </row>
    <row r="220" spans="1:13" ht="15" hidden="1" customHeight="1" x14ac:dyDescent="0.3">
      <c r="A220" s="624"/>
      <c r="B220" s="1213" t="s">
        <v>101</v>
      </c>
      <c r="C220" s="1213"/>
      <c r="D220" s="1213"/>
      <c r="E220" s="628">
        <f>318+203+14.4+4.5+2</f>
        <v>541.9</v>
      </c>
      <c r="F220" s="1192">
        <v>2004.92</v>
      </c>
      <c r="G220" s="1193"/>
      <c r="H220" s="624"/>
      <c r="I220" s="1222"/>
      <c r="J220" s="1222"/>
      <c r="K220" s="14"/>
    </row>
    <row r="221" spans="1:13" ht="15" hidden="1" customHeight="1" x14ac:dyDescent="0.3">
      <c r="A221" s="618" t="s">
        <v>75</v>
      </c>
      <c r="B221" s="1125" t="s">
        <v>152</v>
      </c>
      <c r="C221" s="1126"/>
      <c r="D221" s="1127"/>
      <c r="E221" s="99">
        <f>E222+E223</f>
        <v>854</v>
      </c>
      <c r="F221" s="1223"/>
      <c r="G221" s="1224"/>
      <c r="H221" s="100">
        <f>F223/F222-100%</f>
        <v>3.5040944581984368E-2</v>
      </c>
      <c r="I221" s="1225"/>
      <c r="J221" s="1225"/>
      <c r="K221" s="14"/>
    </row>
    <row r="222" spans="1:13" ht="15" hidden="1" customHeight="1" x14ac:dyDescent="0.3">
      <c r="A222" s="624"/>
      <c r="B222" s="1213" t="s">
        <v>100</v>
      </c>
      <c r="C222" s="1213"/>
      <c r="D222" s="1213"/>
      <c r="E222" s="628">
        <v>460</v>
      </c>
      <c r="F222" s="1192">
        <v>52.51</v>
      </c>
      <c r="G222" s="1193"/>
      <c r="H222" s="624"/>
      <c r="I222" s="1222"/>
      <c r="J222" s="1222"/>
      <c r="K222" s="14"/>
    </row>
    <row r="223" spans="1:13" ht="15" hidden="1" customHeight="1" x14ac:dyDescent="0.3">
      <c r="A223" s="624"/>
      <c r="B223" s="1213" t="s">
        <v>101</v>
      </c>
      <c r="C223" s="1213"/>
      <c r="D223" s="1213"/>
      <c r="E223" s="628">
        <f>313+81</f>
        <v>394</v>
      </c>
      <c r="F223" s="1192">
        <v>54.35</v>
      </c>
      <c r="G223" s="1193"/>
      <c r="H223" s="624"/>
      <c r="I223" s="1222"/>
      <c r="J223" s="1222"/>
      <c r="K223" s="108"/>
    </row>
    <row r="224" spans="1:13" ht="15" hidden="1" customHeight="1" x14ac:dyDescent="0.3">
      <c r="A224" s="618" t="s">
        <v>77</v>
      </c>
      <c r="B224" s="1125" t="s">
        <v>153</v>
      </c>
      <c r="C224" s="1126"/>
      <c r="D224" s="1127"/>
      <c r="E224" s="99">
        <f>E225+E226</f>
        <v>1517</v>
      </c>
      <c r="F224" s="1223"/>
      <c r="G224" s="1224"/>
      <c r="H224" s="100">
        <f>F226/F225-100%</f>
        <v>3.5040944581984368E-2</v>
      </c>
      <c r="I224" s="1225"/>
      <c r="J224" s="1225"/>
      <c r="K224" s="14"/>
    </row>
    <row r="225" spans="1:11" ht="15" hidden="1" customHeight="1" x14ac:dyDescent="0.3">
      <c r="A225" s="624"/>
      <c r="B225" s="1213" t="s">
        <v>100</v>
      </c>
      <c r="C225" s="1213"/>
      <c r="D225" s="1213"/>
      <c r="E225" s="628">
        <f>722</f>
        <v>722</v>
      </c>
      <c r="F225" s="1192">
        <v>52.51</v>
      </c>
      <c r="G225" s="1193"/>
      <c r="H225" s="624"/>
      <c r="I225" s="1222"/>
      <c r="J225" s="1222"/>
      <c r="K225" s="14"/>
    </row>
    <row r="226" spans="1:11" ht="15" hidden="1" customHeight="1" x14ac:dyDescent="0.3">
      <c r="A226" s="624"/>
      <c r="B226" s="1213" t="s">
        <v>101</v>
      </c>
      <c r="C226" s="1213"/>
      <c r="D226" s="1213"/>
      <c r="E226" s="628">
        <f>559+236</f>
        <v>795</v>
      </c>
      <c r="F226" s="1192">
        <v>54.35</v>
      </c>
      <c r="G226" s="1193"/>
      <c r="H226" s="624"/>
      <c r="I226" s="1222"/>
      <c r="J226" s="1222"/>
      <c r="K226" s="14"/>
    </row>
    <row r="227" spans="1:11" ht="15" hidden="1" customHeight="1" x14ac:dyDescent="0.3">
      <c r="A227" s="618" t="s">
        <v>86</v>
      </c>
      <c r="B227" s="1125" t="s">
        <v>154</v>
      </c>
      <c r="C227" s="1126"/>
      <c r="D227" s="1127"/>
      <c r="E227" s="99">
        <f>E228+E229</f>
        <v>2426</v>
      </c>
      <c r="F227" s="1223"/>
      <c r="G227" s="1224"/>
      <c r="H227" s="100">
        <f>F229/F228-100%</f>
        <v>3.461841070023608E-2</v>
      </c>
      <c r="I227" s="1225"/>
      <c r="J227" s="1225"/>
      <c r="K227" s="176">
        <f>I227+I224</f>
        <v>0</v>
      </c>
    </row>
    <row r="228" spans="1:11" ht="15" hidden="1" customHeight="1" x14ac:dyDescent="0.4">
      <c r="A228" s="624"/>
      <c r="B228" s="1213" t="s">
        <v>100</v>
      </c>
      <c r="C228" s="1213"/>
      <c r="D228" s="1213"/>
      <c r="E228" s="628">
        <v>1249</v>
      </c>
      <c r="F228" s="1192">
        <v>63.55</v>
      </c>
      <c r="G228" s="1193"/>
      <c r="H228" s="624"/>
      <c r="I228" s="1222"/>
      <c r="J228" s="1222"/>
      <c r="K228" s="146"/>
    </row>
    <row r="229" spans="1:11" ht="15" hidden="1" customHeight="1" x14ac:dyDescent="0.3">
      <c r="A229" s="624"/>
      <c r="B229" s="1213" t="s">
        <v>101</v>
      </c>
      <c r="C229" s="1213"/>
      <c r="D229" s="1213"/>
      <c r="E229" s="628">
        <f>860+317</f>
        <v>1177</v>
      </c>
      <c r="F229" s="1192">
        <v>65.75</v>
      </c>
      <c r="G229" s="1193"/>
      <c r="H229" s="624"/>
      <c r="I229" s="1222"/>
      <c r="J229" s="1222"/>
      <c r="K229" s="15"/>
    </row>
    <row r="230" spans="1:11" ht="15" hidden="1" customHeight="1" x14ac:dyDescent="0.3">
      <c r="A230" s="618" t="s">
        <v>87</v>
      </c>
      <c r="B230" s="1125" t="s">
        <v>155</v>
      </c>
      <c r="C230" s="1126"/>
      <c r="D230" s="1127"/>
      <c r="E230" s="643">
        <f>E231+E232</f>
        <v>149022</v>
      </c>
      <c r="F230" s="1223"/>
      <c r="G230" s="1224"/>
      <c r="H230" s="100">
        <f>F232/F231-100%</f>
        <v>3.7676609105180559E-2</v>
      </c>
      <c r="I230" s="1225"/>
      <c r="J230" s="1225"/>
      <c r="K230" s="14"/>
    </row>
    <row r="231" spans="1:11" ht="15" hidden="1" customHeight="1" x14ac:dyDescent="0.3">
      <c r="A231" s="624"/>
      <c r="B231" s="1213" t="s">
        <v>100</v>
      </c>
      <c r="C231" s="1213"/>
      <c r="D231" s="1213"/>
      <c r="E231" s="603">
        <v>75960</v>
      </c>
      <c r="F231" s="1192">
        <v>6.37</v>
      </c>
      <c r="G231" s="1193"/>
      <c r="H231" s="624"/>
      <c r="I231" s="1222"/>
      <c r="J231" s="1222"/>
      <c r="K231" s="14"/>
    </row>
    <row r="232" spans="1:11" ht="15" hidden="1" customHeight="1" x14ac:dyDescent="0.3">
      <c r="A232" s="624"/>
      <c r="B232" s="1213" t="s">
        <v>101</v>
      </c>
      <c r="C232" s="1213"/>
      <c r="D232" s="1213"/>
      <c r="E232" s="603">
        <f>53108+19954</f>
        <v>73062</v>
      </c>
      <c r="F232" s="1192">
        <v>6.61</v>
      </c>
      <c r="G232" s="1193"/>
      <c r="H232" s="624"/>
      <c r="I232" s="1222"/>
      <c r="J232" s="1222"/>
    </row>
    <row r="233" spans="1:11" ht="15" hidden="1" customHeight="1" x14ac:dyDescent="0.3">
      <c r="A233" s="618" t="s">
        <v>97</v>
      </c>
      <c r="B233" s="1125" t="s">
        <v>378</v>
      </c>
      <c r="C233" s="1126"/>
      <c r="D233" s="1127"/>
      <c r="E233" s="643">
        <f>E234+E235</f>
        <v>147.19999999999999</v>
      </c>
      <c r="F233" s="1223"/>
      <c r="G233" s="1224"/>
      <c r="H233" s="100">
        <v>0</v>
      </c>
      <c r="I233" s="1225"/>
      <c r="J233" s="1225"/>
      <c r="K233" s="135"/>
    </row>
    <row r="234" spans="1:11" ht="15" hidden="1" customHeight="1" x14ac:dyDescent="0.3">
      <c r="A234" s="624"/>
      <c r="B234" s="1213" t="s">
        <v>100</v>
      </c>
      <c r="C234" s="1213"/>
      <c r="D234" s="1213"/>
      <c r="E234" s="603">
        <v>73.599999999999994</v>
      </c>
      <c r="F234" s="1192">
        <v>747.07</v>
      </c>
      <c r="G234" s="1193"/>
      <c r="H234" s="624"/>
      <c r="I234" s="1222"/>
      <c r="J234" s="1222"/>
    </row>
    <row r="235" spans="1:11" ht="15" hidden="1" customHeight="1" x14ac:dyDescent="0.3">
      <c r="A235" s="624"/>
      <c r="B235" s="1213" t="s">
        <v>101</v>
      </c>
      <c r="C235" s="1213"/>
      <c r="D235" s="1213"/>
      <c r="E235" s="603">
        <v>73.599999999999994</v>
      </c>
      <c r="F235" s="1192">
        <v>747.07</v>
      </c>
      <c r="G235" s="1193"/>
      <c r="H235" s="624"/>
      <c r="I235" s="1222"/>
      <c r="J235" s="1222"/>
    </row>
    <row r="236" spans="1:11" ht="15" hidden="1" customHeight="1" x14ac:dyDescent="0.3">
      <c r="A236" s="624"/>
      <c r="B236" s="1098" t="s">
        <v>13</v>
      </c>
      <c r="C236" s="1098"/>
      <c r="D236" s="1098"/>
      <c r="E236" s="620" t="s">
        <v>14</v>
      </c>
      <c r="F236" s="1090" t="s">
        <v>14</v>
      </c>
      <c r="G236" s="1090"/>
      <c r="H236" s="620" t="s">
        <v>14</v>
      </c>
      <c r="I236" s="1101">
        <f>I218+I221+I224+I227+I230+I233</f>
        <v>0</v>
      </c>
      <c r="J236" s="1101"/>
    </row>
    <row r="237" spans="1:11" s="41" customFormat="1" ht="19.5" hidden="1" customHeight="1" x14ac:dyDescent="0.3">
      <c r="A237" s="1218" t="s">
        <v>286</v>
      </c>
      <c r="B237" s="1218"/>
      <c r="C237" s="1218"/>
      <c r="D237" s="1218"/>
      <c r="E237" s="1218"/>
      <c r="F237" s="1218"/>
      <c r="G237" s="1218"/>
      <c r="H237" s="1218"/>
      <c r="I237" s="1218"/>
      <c r="J237" s="1218"/>
    </row>
    <row r="238" spans="1:11" s="41" customFormat="1" ht="15" hidden="1" customHeight="1" x14ac:dyDescent="0.3">
      <c r="A238" s="623" t="s">
        <v>1</v>
      </c>
      <c r="B238" s="1110" t="s">
        <v>44</v>
      </c>
      <c r="C238" s="1110"/>
      <c r="D238" s="1110"/>
      <c r="E238" s="1110" t="s">
        <v>58</v>
      </c>
      <c r="F238" s="1110"/>
      <c r="G238" s="1110" t="s">
        <v>59</v>
      </c>
      <c r="H238" s="1110"/>
      <c r="I238" s="1110" t="s">
        <v>60</v>
      </c>
      <c r="J238" s="1110"/>
    </row>
    <row r="239" spans="1:11" ht="15" hidden="1" customHeight="1" x14ac:dyDescent="0.3">
      <c r="A239" s="623">
        <v>1</v>
      </c>
      <c r="B239" s="1110">
        <v>2</v>
      </c>
      <c r="C239" s="1110"/>
      <c r="D239" s="1110"/>
      <c r="E239" s="1110">
        <v>3</v>
      </c>
      <c r="F239" s="1110"/>
      <c r="G239" s="1110">
        <v>4</v>
      </c>
      <c r="H239" s="1110"/>
      <c r="I239" s="1110">
        <v>5</v>
      </c>
      <c r="J239" s="1110"/>
      <c r="K239" s="15"/>
    </row>
    <row r="240" spans="1:11" ht="15" hidden="1" customHeight="1" x14ac:dyDescent="0.3">
      <c r="A240" s="624"/>
      <c r="B240" s="1116"/>
      <c r="C240" s="1212"/>
      <c r="D240" s="1117"/>
      <c r="E240" s="1213"/>
      <c r="F240" s="1213"/>
      <c r="G240" s="1213"/>
      <c r="H240" s="1213"/>
      <c r="I240" s="1213"/>
      <c r="J240" s="1213"/>
      <c r="K240" s="14"/>
    </row>
    <row r="241" spans="1:12" ht="15" hidden="1" customHeight="1" x14ac:dyDescent="0.3">
      <c r="A241" s="620"/>
      <c r="B241" s="1098" t="s">
        <v>13</v>
      </c>
      <c r="C241" s="1098"/>
      <c r="D241" s="1098"/>
      <c r="E241" s="1090" t="s">
        <v>14</v>
      </c>
      <c r="F241" s="1090"/>
      <c r="G241" s="1090" t="s">
        <v>14</v>
      </c>
      <c r="H241" s="1090"/>
      <c r="I241" s="1090"/>
      <c r="J241" s="1090"/>
    </row>
    <row r="242" spans="1:12" ht="16.5" hidden="1" customHeight="1" x14ac:dyDescent="0.3">
      <c r="A242" s="1218" t="s">
        <v>282</v>
      </c>
      <c r="B242" s="1218"/>
      <c r="C242" s="1218"/>
      <c r="D242" s="1218"/>
      <c r="E242" s="1218"/>
      <c r="F242" s="1218"/>
      <c r="G242" s="1218"/>
      <c r="H242" s="1218"/>
      <c r="I242" s="1218"/>
      <c r="J242" s="1218"/>
    </row>
    <row r="243" spans="1:12" ht="15" hidden="1" customHeight="1" x14ac:dyDescent="0.3">
      <c r="A243" s="1174" t="s">
        <v>1</v>
      </c>
      <c r="B243" s="1176" t="s">
        <v>15</v>
      </c>
      <c r="C243" s="1177"/>
      <c r="D243" s="1178"/>
      <c r="E243" s="1174" t="s">
        <v>61</v>
      </c>
      <c r="F243" s="1174" t="s">
        <v>62</v>
      </c>
      <c r="G243" s="1110" t="s">
        <v>63</v>
      </c>
      <c r="H243" s="1110"/>
      <c r="I243" s="1110"/>
      <c r="J243" s="1110"/>
    </row>
    <row r="244" spans="1:12" ht="24" hidden="1" customHeight="1" x14ac:dyDescent="0.3">
      <c r="A244" s="1175"/>
      <c r="B244" s="1179"/>
      <c r="C244" s="1180"/>
      <c r="D244" s="1181"/>
      <c r="E244" s="1175"/>
      <c r="F244" s="1175"/>
      <c r="G244" s="623" t="s">
        <v>305</v>
      </c>
      <c r="H244" s="623" t="s">
        <v>302</v>
      </c>
      <c r="I244" s="619" t="s">
        <v>303</v>
      </c>
      <c r="J244" s="623" t="s">
        <v>304</v>
      </c>
    </row>
    <row r="245" spans="1:12" ht="11.25" hidden="1" customHeight="1" x14ac:dyDescent="0.3">
      <c r="A245" s="623">
        <v>1</v>
      </c>
      <c r="B245" s="1110">
        <v>2</v>
      </c>
      <c r="C245" s="1110"/>
      <c r="D245" s="1110"/>
      <c r="E245" s="623">
        <v>3</v>
      </c>
      <c r="F245" s="623">
        <v>4</v>
      </c>
      <c r="G245" s="1139">
        <v>5</v>
      </c>
      <c r="H245" s="1210"/>
      <c r="I245" s="1210"/>
      <c r="J245" s="1140"/>
    </row>
    <row r="246" spans="1:12" ht="39" hidden="1" customHeight="1" x14ac:dyDescent="0.3">
      <c r="A246" s="1092" t="s">
        <v>965</v>
      </c>
      <c r="B246" s="1093"/>
      <c r="C246" s="1093"/>
      <c r="D246" s="1093"/>
      <c r="E246" s="1093"/>
      <c r="F246" s="1093"/>
      <c r="G246" s="1093"/>
      <c r="H246" s="1093"/>
      <c r="I246" s="1093"/>
      <c r="J246" s="1094"/>
    </row>
    <row r="247" spans="1:12" ht="0.75" hidden="1" customHeight="1" x14ac:dyDescent="0.3">
      <c r="A247" s="624" t="s">
        <v>75</v>
      </c>
      <c r="B247" s="1219"/>
      <c r="C247" s="1219"/>
      <c r="D247" s="1219"/>
      <c r="E247" s="624"/>
      <c r="F247" s="624"/>
      <c r="G247" s="624"/>
      <c r="H247" s="624"/>
      <c r="I247" s="171"/>
      <c r="J247" s="563"/>
    </row>
    <row r="248" spans="1:12" ht="30" hidden="1" customHeight="1" x14ac:dyDescent="0.3">
      <c r="A248" s="624">
        <v>1</v>
      </c>
      <c r="B248" s="835" t="s">
        <v>966</v>
      </c>
      <c r="C248" s="835"/>
      <c r="D248" s="835"/>
      <c r="E248" s="624" t="s">
        <v>910</v>
      </c>
      <c r="F248" s="624">
        <v>1</v>
      </c>
      <c r="G248" s="624" t="s">
        <v>306</v>
      </c>
      <c r="H248" s="624">
        <v>1</v>
      </c>
      <c r="I248" s="172">
        <v>0</v>
      </c>
      <c r="J248" s="639">
        <f>H248*I248</f>
        <v>0</v>
      </c>
      <c r="K248" s="175">
        <v>34000</v>
      </c>
    </row>
    <row r="249" spans="1:12" ht="30" hidden="1" customHeight="1" x14ac:dyDescent="0.3">
      <c r="A249" s="604">
        <v>2</v>
      </c>
      <c r="B249" s="809"/>
      <c r="C249" s="810"/>
      <c r="D249" s="811"/>
      <c r="E249" s="624"/>
      <c r="F249" s="624">
        <v>1</v>
      </c>
      <c r="G249" s="624" t="s">
        <v>306</v>
      </c>
      <c r="H249" s="624">
        <v>1</v>
      </c>
      <c r="I249" s="172">
        <v>0</v>
      </c>
      <c r="J249" s="274">
        <f>I249</f>
        <v>0</v>
      </c>
      <c r="K249" s="269"/>
    </row>
    <row r="250" spans="1:12" ht="30" hidden="1" customHeight="1" x14ac:dyDescent="0.3">
      <c r="A250" s="624"/>
      <c r="B250" s="820"/>
      <c r="C250" s="821"/>
      <c r="D250" s="822"/>
      <c r="E250" s="624"/>
      <c r="F250" s="624">
        <v>1</v>
      </c>
      <c r="G250" s="624" t="s">
        <v>306</v>
      </c>
      <c r="H250" s="624">
        <v>1</v>
      </c>
      <c r="I250" s="172">
        <v>0</v>
      </c>
      <c r="J250" s="280">
        <f>I250</f>
        <v>0</v>
      </c>
      <c r="K250" s="269"/>
    </row>
    <row r="251" spans="1:12" ht="66" hidden="1" customHeight="1" x14ac:dyDescent="0.3">
      <c r="A251" s="1136" t="s">
        <v>629</v>
      </c>
      <c r="B251" s="1137"/>
      <c r="C251" s="1137"/>
      <c r="D251" s="1137"/>
      <c r="E251" s="1137"/>
      <c r="F251" s="1137"/>
      <c r="G251" s="1137"/>
      <c r="H251" s="1137"/>
      <c r="I251" s="1137"/>
      <c r="J251" s="1138"/>
    </row>
    <row r="252" spans="1:12" ht="41.25" hidden="1" customHeight="1" x14ac:dyDescent="0.3">
      <c r="A252" s="624">
        <v>2</v>
      </c>
      <c r="B252" s="835" t="s">
        <v>620</v>
      </c>
      <c r="C252" s="835"/>
      <c r="D252" s="835"/>
      <c r="E252" s="624"/>
      <c r="F252" s="624">
        <v>1</v>
      </c>
      <c r="G252" s="624" t="s">
        <v>306</v>
      </c>
      <c r="H252" s="624">
        <v>1</v>
      </c>
      <c r="I252" s="172"/>
      <c r="J252" s="639">
        <f>I252</f>
        <v>0</v>
      </c>
    </row>
    <row r="253" spans="1:12" ht="42" hidden="1" customHeight="1" x14ac:dyDescent="0.3">
      <c r="A253" s="624"/>
      <c r="B253" s="835"/>
      <c r="C253" s="835"/>
      <c r="D253" s="835"/>
      <c r="E253" s="624"/>
      <c r="F253" s="624"/>
      <c r="G253" s="624"/>
      <c r="H253" s="624"/>
      <c r="I253" s="172"/>
      <c r="J253" s="639"/>
      <c r="K253" s="166"/>
      <c r="L253" s="142"/>
    </row>
    <row r="254" spans="1:12" ht="45.75" hidden="1" customHeight="1" x14ac:dyDescent="0.3">
      <c r="A254" s="624"/>
      <c r="B254" s="835"/>
      <c r="C254" s="835"/>
      <c r="D254" s="835"/>
      <c r="E254" s="624"/>
      <c r="F254" s="624"/>
      <c r="G254" s="624"/>
      <c r="H254" s="624"/>
      <c r="I254" s="172"/>
      <c r="J254" s="639"/>
      <c r="K254" s="166"/>
      <c r="L254" s="142"/>
    </row>
    <row r="255" spans="1:12" ht="24" hidden="1" customHeight="1" x14ac:dyDescent="0.3">
      <c r="A255" s="624"/>
      <c r="B255" s="835"/>
      <c r="C255" s="835"/>
      <c r="D255" s="835"/>
      <c r="E255" s="624"/>
      <c r="F255" s="624"/>
      <c r="G255" s="624"/>
      <c r="H255" s="624"/>
      <c r="I255" s="172"/>
      <c r="J255" s="639"/>
    </row>
    <row r="256" spans="1:12" ht="30" hidden="1" customHeight="1" x14ac:dyDescent="0.3">
      <c r="A256" s="624"/>
      <c r="B256" s="1219"/>
      <c r="C256" s="1219"/>
      <c r="D256" s="1219"/>
      <c r="E256" s="624"/>
      <c r="F256" s="624"/>
      <c r="G256" s="624"/>
      <c r="H256" s="624"/>
      <c r="I256" s="171"/>
      <c r="J256" s="563"/>
      <c r="K256" s="11"/>
      <c r="L256" s="11"/>
    </row>
    <row r="257" spans="1:12" ht="29.25" hidden="1" customHeight="1" x14ac:dyDescent="0.3">
      <c r="A257" s="624"/>
      <c r="B257" s="835"/>
      <c r="C257" s="835"/>
      <c r="D257" s="835"/>
      <c r="E257" s="624"/>
      <c r="F257" s="624"/>
      <c r="G257" s="624"/>
      <c r="H257" s="624"/>
      <c r="I257" s="172"/>
      <c r="J257" s="639"/>
      <c r="K257" s="11"/>
      <c r="L257" s="11"/>
    </row>
    <row r="258" spans="1:12" ht="23.25" hidden="1" customHeight="1" x14ac:dyDescent="0.3">
      <c r="A258" s="624"/>
      <c r="B258" s="835"/>
      <c r="C258" s="835"/>
      <c r="D258" s="835"/>
      <c r="E258" s="624"/>
      <c r="F258" s="624"/>
      <c r="G258" s="624"/>
      <c r="H258" s="624"/>
      <c r="I258" s="172"/>
      <c r="J258" s="639"/>
      <c r="K258" s="11"/>
      <c r="L258" s="11"/>
    </row>
    <row r="259" spans="1:12" ht="46.5" hidden="1" customHeight="1" x14ac:dyDescent="0.3">
      <c r="A259" s="624"/>
      <c r="B259" s="835"/>
      <c r="C259" s="835"/>
      <c r="D259" s="835"/>
      <c r="E259" s="624"/>
      <c r="F259" s="624"/>
      <c r="G259" s="624"/>
      <c r="H259" s="624"/>
      <c r="I259" s="172"/>
      <c r="J259" s="639"/>
    </row>
    <row r="260" spans="1:12" ht="25.5" hidden="1" customHeight="1" x14ac:dyDescent="0.3">
      <c r="A260" s="624"/>
      <c r="B260" s="809"/>
      <c r="C260" s="1220"/>
      <c r="D260" s="1221"/>
      <c r="E260" s="624"/>
      <c r="F260" s="624"/>
      <c r="G260" s="624"/>
      <c r="H260" s="624"/>
      <c r="I260" s="172"/>
      <c r="J260" s="639"/>
    </row>
    <row r="261" spans="1:12" ht="38.25" hidden="1" customHeight="1" x14ac:dyDescent="0.3">
      <c r="A261" s="624"/>
      <c r="B261" s="835"/>
      <c r="C261" s="835"/>
      <c r="D261" s="835"/>
      <c r="E261" s="624"/>
      <c r="F261" s="624"/>
      <c r="G261" s="624"/>
      <c r="H261" s="624"/>
      <c r="I261" s="172"/>
      <c r="J261" s="639"/>
    </row>
    <row r="262" spans="1:12" ht="38.25" hidden="1" customHeight="1" x14ac:dyDescent="0.3">
      <c r="A262" s="624"/>
      <c r="B262" s="809"/>
      <c r="C262" s="810"/>
      <c r="D262" s="811"/>
      <c r="E262" s="624"/>
      <c r="F262" s="624"/>
      <c r="G262" s="624"/>
      <c r="H262" s="624"/>
      <c r="I262" s="172"/>
      <c r="J262" s="639"/>
    </row>
    <row r="263" spans="1:12" ht="38.25" hidden="1" customHeight="1" x14ac:dyDescent="0.3">
      <c r="A263" s="624"/>
      <c r="B263" s="809"/>
      <c r="C263" s="810"/>
      <c r="D263" s="811"/>
      <c r="E263" s="624"/>
      <c r="F263" s="624"/>
      <c r="G263" s="624"/>
      <c r="H263" s="624"/>
      <c r="I263" s="172"/>
      <c r="J263" s="639"/>
    </row>
    <row r="264" spans="1:12" ht="38.25" hidden="1" customHeight="1" x14ac:dyDescent="0.3">
      <c r="A264" s="624"/>
      <c r="B264" s="820"/>
      <c r="C264" s="821"/>
      <c r="D264" s="822"/>
      <c r="E264" s="624"/>
      <c r="F264" s="624"/>
      <c r="G264" s="624"/>
      <c r="H264" s="624"/>
      <c r="I264" s="172"/>
      <c r="J264" s="639"/>
    </row>
    <row r="265" spans="1:12" ht="38.25" hidden="1" customHeight="1" x14ac:dyDescent="0.3">
      <c r="A265" s="624"/>
      <c r="B265" s="820"/>
      <c r="C265" s="821"/>
      <c r="D265" s="822"/>
      <c r="E265" s="624"/>
      <c r="F265" s="624"/>
      <c r="G265" s="624"/>
      <c r="H265" s="624"/>
      <c r="I265" s="172"/>
      <c r="J265" s="639"/>
    </row>
    <row r="266" spans="1:12" hidden="1" x14ac:dyDescent="0.3">
      <c r="A266" s="620"/>
      <c r="B266" s="1098" t="s">
        <v>13</v>
      </c>
      <c r="C266" s="1098"/>
      <c r="D266" s="1098"/>
      <c r="E266" s="620" t="s">
        <v>14</v>
      </c>
      <c r="F266" s="620" t="s">
        <v>14</v>
      </c>
      <c r="G266" s="1167">
        <f>J252+J249+J248+J250</f>
        <v>0</v>
      </c>
      <c r="H266" s="1168"/>
      <c r="I266" s="1168"/>
      <c r="J266" s="1168"/>
    </row>
    <row r="267" spans="1:12" ht="17.25" customHeight="1" x14ac:dyDescent="0.3">
      <c r="A267" s="1218" t="s">
        <v>287</v>
      </c>
      <c r="B267" s="1218"/>
      <c r="C267" s="1218"/>
      <c r="D267" s="1218"/>
      <c r="E267" s="1218"/>
      <c r="F267" s="1218"/>
      <c r="G267" s="1218"/>
      <c r="H267" s="1218"/>
      <c r="I267" s="1218"/>
      <c r="J267" s="1218"/>
    </row>
    <row r="268" spans="1:12" ht="17.25" customHeight="1" x14ac:dyDescent="0.3">
      <c r="A268" s="1174" t="s">
        <v>1</v>
      </c>
      <c r="B268" s="1176" t="s">
        <v>15</v>
      </c>
      <c r="C268" s="1177"/>
      <c r="D268" s="1178"/>
      <c r="E268" s="1176" t="s">
        <v>64</v>
      </c>
      <c r="F268" s="1178"/>
      <c r="G268" s="1110" t="s">
        <v>65</v>
      </c>
      <c r="H268" s="1110"/>
      <c r="I268" s="1110"/>
      <c r="J268" s="1110"/>
    </row>
    <row r="269" spans="1:12" ht="27.75" customHeight="1" x14ac:dyDescent="0.3">
      <c r="A269" s="1175"/>
      <c r="B269" s="1179"/>
      <c r="C269" s="1180"/>
      <c r="D269" s="1181"/>
      <c r="E269" s="1179"/>
      <c r="F269" s="1181"/>
      <c r="G269" s="623" t="s">
        <v>305</v>
      </c>
      <c r="H269" s="623" t="s">
        <v>302</v>
      </c>
      <c r="I269" s="623" t="s">
        <v>303</v>
      </c>
      <c r="J269" s="623" t="s">
        <v>304</v>
      </c>
    </row>
    <row r="270" spans="1:12" ht="14.25" customHeight="1" x14ac:dyDescent="0.3">
      <c r="A270" s="623">
        <v>1</v>
      </c>
      <c r="B270" s="1110">
        <v>2</v>
      </c>
      <c r="C270" s="1110"/>
      <c r="D270" s="1110"/>
      <c r="E270" s="1139">
        <v>3</v>
      </c>
      <c r="F270" s="1140"/>
      <c r="G270" s="1110">
        <v>4</v>
      </c>
      <c r="H270" s="1110"/>
      <c r="I270" s="1110"/>
      <c r="J270" s="1110"/>
    </row>
    <row r="271" spans="1:12" ht="51.75" hidden="1" customHeight="1" x14ac:dyDescent="0.3">
      <c r="A271" s="1112" t="s">
        <v>570</v>
      </c>
      <c r="B271" s="1113"/>
      <c r="C271" s="1113"/>
      <c r="D271" s="1113"/>
      <c r="E271" s="1113"/>
      <c r="F271" s="1113"/>
      <c r="G271" s="1113"/>
      <c r="H271" s="1113"/>
      <c r="I271" s="1113"/>
      <c r="J271" s="1114"/>
    </row>
    <row r="272" spans="1:12" ht="24" hidden="1" customHeight="1" x14ac:dyDescent="0.3">
      <c r="A272" s="624">
        <v>1</v>
      </c>
      <c r="B272" s="1115" t="s">
        <v>577</v>
      </c>
      <c r="C272" s="1115"/>
      <c r="D272" s="1115"/>
      <c r="E272" s="1116">
        <v>1</v>
      </c>
      <c r="F272" s="1117"/>
      <c r="G272" s="624"/>
      <c r="H272" s="624">
        <v>1</v>
      </c>
      <c r="I272" s="170">
        <v>0</v>
      </c>
      <c r="J272" s="639">
        <f t="shared" ref="J272" si="14">H272*I272</f>
        <v>0</v>
      </c>
    </row>
    <row r="273" spans="1:11" ht="43.5" customHeight="1" x14ac:dyDescent="0.3">
      <c r="A273" s="1118" t="s">
        <v>993</v>
      </c>
      <c r="B273" s="1119"/>
      <c r="C273" s="1119"/>
      <c r="D273" s="1119"/>
      <c r="E273" s="1119"/>
      <c r="F273" s="1119"/>
      <c r="G273" s="1119"/>
      <c r="H273" s="1119"/>
      <c r="I273" s="1119"/>
      <c r="J273" s="1120"/>
    </row>
    <row r="274" spans="1:11" ht="22.5" customHeight="1" x14ac:dyDescent="0.3">
      <c r="A274" s="624">
        <v>1</v>
      </c>
      <c r="B274" s="1215" t="s">
        <v>579</v>
      </c>
      <c r="C274" s="1216"/>
      <c r="D274" s="1217"/>
      <c r="E274" s="1116">
        <v>1</v>
      </c>
      <c r="F274" s="1117"/>
      <c r="G274" s="624"/>
      <c r="H274" s="624">
        <v>1</v>
      </c>
      <c r="I274" s="170">
        <v>20000</v>
      </c>
      <c r="J274" s="110">
        <f>H274*I274</f>
        <v>20000</v>
      </c>
    </row>
    <row r="275" spans="1:11" ht="30" customHeight="1" x14ac:dyDescent="0.3">
      <c r="A275" s="624">
        <v>2</v>
      </c>
      <c r="B275" s="1151" t="s">
        <v>580</v>
      </c>
      <c r="C275" s="1151"/>
      <c r="D275" s="1151"/>
      <c r="E275" s="1116">
        <v>1</v>
      </c>
      <c r="F275" s="1117"/>
      <c r="G275" s="624"/>
      <c r="H275" s="624">
        <v>1</v>
      </c>
      <c r="I275" s="170">
        <v>30000</v>
      </c>
      <c r="J275" s="110">
        <f t="shared" ref="J275:J277" si="15">H275*I275</f>
        <v>30000</v>
      </c>
    </row>
    <row r="276" spans="1:11" ht="30" customHeight="1" x14ac:dyDescent="0.3">
      <c r="A276" s="624">
        <v>3</v>
      </c>
      <c r="B276" s="1151" t="s">
        <v>923</v>
      </c>
      <c r="C276" s="1151"/>
      <c r="D276" s="1151"/>
      <c r="E276" s="820">
        <v>1</v>
      </c>
      <c r="F276" s="822"/>
      <c r="G276" s="576"/>
      <c r="H276" s="576">
        <v>1</v>
      </c>
      <c r="I276" s="170">
        <v>8000</v>
      </c>
      <c r="J276" s="110">
        <f t="shared" si="15"/>
        <v>8000</v>
      </c>
      <c r="K276" s="173"/>
    </row>
    <row r="277" spans="1:11" ht="51.75" hidden="1" customHeight="1" x14ac:dyDescent="0.3">
      <c r="A277" s="624">
        <v>4</v>
      </c>
      <c r="B277" s="1215"/>
      <c r="C277" s="1216"/>
      <c r="D277" s="1217"/>
      <c r="E277" s="1116">
        <v>1</v>
      </c>
      <c r="F277" s="1117"/>
      <c r="G277" s="624"/>
      <c r="H277" s="624">
        <v>1</v>
      </c>
      <c r="I277" s="170">
        <f>6000-6000</f>
        <v>0</v>
      </c>
      <c r="J277" s="110">
        <f t="shared" si="15"/>
        <v>0</v>
      </c>
    </row>
    <row r="278" spans="1:11" ht="48" hidden="1" customHeight="1" x14ac:dyDescent="0.3">
      <c r="A278" s="624"/>
      <c r="B278" s="1143"/>
      <c r="C278" s="1143"/>
      <c r="D278" s="1143"/>
      <c r="E278" s="1116"/>
      <c r="F278" s="1117"/>
      <c r="G278" s="624"/>
      <c r="H278" s="624"/>
      <c r="I278" s="170"/>
      <c r="J278" s="110"/>
    </row>
    <row r="279" spans="1:11" ht="30" hidden="1" customHeight="1" x14ac:dyDescent="0.3">
      <c r="A279" s="624"/>
      <c r="B279" s="1143"/>
      <c r="C279" s="1143"/>
      <c r="D279" s="1143"/>
      <c r="E279" s="1116"/>
      <c r="F279" s="1117"/>
      <c r="G279" s="624"/>
      <c r="H279" s="628"/>
      <c r="I279" s="170"/>
      <c r="J279" s="110"/>
    </row>
    <row r="280" spans="1:11" ht="30" hidden="1" customHeight="1" x14ac:dyDescent="0.3">
      <c r="A280" s="624"/>
      <c r="B280" s="835"/>
      <c r="C280" s="835"/>
      <c r="D280" s="835"/>
      <c r="E280" s="1116"/>
      <c r="F280" s="1117"/>
      <c r="G280" s="624"/>
      <c r="H280" s="624"/>
      <c r="I280" s="170"/>
      <c r="J280" s="110"/>
    </row>
    <row r="281" spans="1:11" ht="30" customHeight="1" x14ac:dyDescent="0.3">
      <c r="A281" s="1118" t="s">
        <v>992</v>
      </c>
      <c r="B281" s="1119"/>
      <c r="C281" s="1119"/>
      <c r="D281" s="1119"/>
      <c r="E281" s="1119"/>
      <c r="F281" s="1119"/>
      <c r="G281" s="1119"/>
      <c r="H281" s="1119"/>
      <c r="I281" s="1119"/>
      <c r="J281" s="1120"/>
    </row>
    <row r="282" spans="1:11" ht="30" customHeight="1" x14ac:dyDescent="0.3">
      <c r="A282" s="624">
        <v>4</v>
      </c>
      <c r="B282" s="1143" t="s">
        <v>924</v>
      </c>
      <c r="C282" s="1143"/>
      <c r="D282" s="1143"/>
      <c r="E282" s="1116">
        <v>1</v>
      </c>
      <c r="F282" s="1117"/>
      <c r="G282" s="624"/>
      <c r="H282" s="624">
        <v>1</v>
      </c>
      <c r="I282" s="101">
        <v>20000</v>
      </c>
      <c r="J282" s="110">
        <v>20000</v>
      </c>
    </row>
    <row r="283" spans="1:11" ht="30" hidden="1" customHeight="1" x14ac:dyDescent="0.3">
      <c r="A283" s="624">
        <v>5</v>
      </c>
      <c r="B283" s="1143"/>
      <c r="C283" s="1143"/>
      <c r="D283" s="1143"/>
      <c r="E283" s="1116"/>
      <c r="F283" s="1117"/>
      <c r="G283" s="624"/>
      <c r="H283" s="624"/>
      <c r="I283" s="101"/>
      <c r="J283" s="110"/>
    </row>
    <row r="284" spans="1:11" ht="30" hidden="1" customHeight="1" x14ac:dyDescent="0.3">
      <c r="A284" s="618" t="s">
        <v>86</v>
      </c>
      <c r="B284" s="1125" t="s">
        <v>356</v>
      </c>
      <c r="C284" s="1126"/>
      <c r="D284" s="1127"/>
      <c r="E284" s="1128" t="s">
        <v>74</v>
      </c>
      <c r="F284" s="1129"/>
      <c r="G284" s="155" t="s">
        <v>74</v>
      </c>
      <c r="H284" s="155" t="s">
        <v>74</v>
      </c>
      <c r="I284" s="359" t="s">
        <v>74</v>
      </c>
      <c r="J284" s="363">
        <f>J285+J286</f>
        <v>0</v>
      </c>
      <c r="K284" s="1" t="s">
        <v>533</v>
      </c>
    </row>
    <row r="285" spans="1:11" ht="30" hidden="1" customHeight="1" x14ac:dyDescent="0.3">
      <c r="A285" s="576" t="s">
        <v>528</v>
      </c>
      <c r="B285" s="809"/>
      <c r="C285" s="810"/>
      <c r="D285" s="811"/>
      <c r="E285" s="858"/>
      <c r="F285" s="859"/>
      <c r="G285" s="590"/>
      <c r="H285" s="590"/>
      <c r="I285" s="234"/>
      <c r="J285" s="639"/>
    </row>
    <row r="286" spans="1:11" ht="30" hidden="1" customHeight="1" x14ac:dyDescent="0.3">
      <c r="A286" s="576" t="s">
        <v>529</v>
      </c>
      <c r="B286" s="809"/>
      <c r="C286" s="810"/>
      <c r="D286" s="811"/>
      <c r="E286" s="584"/>
      <c r="F286" s="585"/>
      <c r="G286" s="590"/>
      <c r="H286" s="590"/>
      <c r="I286" s="234"/>
      <c r="J286" s="639"/>
    </row>
    <row r="287" spans="1:11" ht="55.5" hidden="1" customHeight="1" x14ac:dyDescent="0.3">
      <c r="A287" s="618" t="s">
        <v>87</v>
      </c>
      <c r="B287" s="1125" t="s">
        <v>530</v>
      </c>
      <c r="C287" s="1126"/>
      <c r="D287" s="1127"/>
      <c r="E287" s="1128" t="s">
        <v>74</v>
      </c>
      <c r="F287" s="1129"/>
      <c r="G287" s="155" t="s">
        <v>74</v>
      </c>
      <c r="H287" s="155" t="s">
        <v>74</v>
      </c>
      <c r="I287" s="359" t="s">
        <v>74</v>
      </c>
      <c r="J287" s="238">
        <f>J288</f>
        <v>0</v>
      </c>
    </row>
    <row r="288" spans="1:11" ht="30" hidden="1" customHeight="1" x14ac:dyDescent="0.3">
      <c r="A288" s="576" t="s">
        <v>531</v>
      </c>
      <c r="B288" s="809"/>
      <c r="C288" s="810"/>
      <c r="D288" s="811"/>
      <c r="E288" s="858"/>
      <c r="F288" s="859"/>
      <c r="G288" s="590"/>
      <c r="H288" s="590"/>
      <c r="I288" s="234"/>
      <c r="J288" s="237"/>
    </row>
    <row r="289" spans="1:11" ht="54.75" hidden="1" customHeight="1" x14ac:dyDescent="0.3">
      <c r="A289" s="618" t="s">
        <v>97</v>
      </c>
      <c r="B289" s="1125" t="s">
        <v>534</v>
      </c>
      <c r="C289" s="1126"/>
      <c r="D289" s="1127"/>
      <c r="E289" s="1128" t="s">
        <v>74</v>
      </c>
      <c r="F289" s="1129"/>
      <c r="G289" s="155" t="s">
        <v>74</v>
      </c>
      <c r="H289" s="155" t="s">
        <v>74</v>
      </c>
      <c r="I289" s="359" t="s">
        <v>74</v>
      </c>
      <c r="J289" s="238">
        <f>J290+J291+J292+J293</f>
        <v>0</v>
      </c>
    </row>
    <row r="290" spans="1:11" ht="30" hidden="1" customHeight="1" x14ac:dyDescent="0.3">
      <c r="A290" s="576" t="s">
        <v>535</v>
      </c>
      <c r="B290" s="999"/>
      <c r="C290" s="1000"/>
      <c r="D290" s="1001"/>
      <c r="E290" s="858"/>
      <c r="F290" s="859"/>
      <c r="G290" s="590"/>
      <c r="H290" s="590"/>
      <c r="I290" s="234"/>
      <c r="J290" s="639"/>
    </row>
    <row r="291" spans="1:11" ht="30" hidden="1" customHeight="1" x14ac:dyDescent="0.3">
      <c r="A291" s="576" t="s">
        <v>536</v>
      </c>
      <c r="B291" s="999"/>
      <c r="C291" s="1000"/>
      <c r="D291" s="1001"/>
      <c r="E291" s="858"/>
      <c r="F291" s="859"/>
      <c r="G291" s="590"/>
      <c r="H291" s="590"/>
      <c r="I291" s="234"/>
      <c r="J291" s="639"/>
    </row>
    <row r="292" spans="1:11" ht="30" hidden="1" customHeight="1" x14ac:dyDescent="0.3">
      <c r="A292" s="576" t="s">
        <v>537</v>
      </c>
      <c r="B292" s="999"/>
      <c r="C292" s="1000"/>
      <c r="D292" s="1001"/>
      <c r="E292" s="858"/>
      <c r="F292" s="859"/>
      <c r="G292" s="590"/>
      <c r="H292" s="590"/>
      <c r="I292" s="234"/>
      <c r="J292" s="639"/>
    </row>
    <row r="293" spans="1:11" ht="30" hidden="1" customHeight="1" x14ac:dyDescent="0.3">
      <c r="A293" s="576" t="s">
        <v>538</v>
      </c>
      <c r="B293" s="1151"/>
      <c r="C293" s="1151"/>
      <c r="D293" s="1151"/>
      <c r="E293" s="1116"/>
      <c r="F293" s="1117"/>
      <c r="G293" s="624"/>
      <c r="H293" s="624"/>
      <c r="I293" s="101"/>
      <c r="J293" s="110"/>
    </row>
    <row r="294" spans="1:11" ht="30" customHeight="1" x14ac:dyDescent="0.3">
      <c r="A294" s="448"/>
      <c r="B294" s="1164" t="s">
        <v>332</v>
      </c>
      <c r="C294" s="1164"/>
      <c r="D294" s="1164"/>
      <c r="E294" s="1165" t="s">
        <v>14</v>
      </c>
      <c r="F294" s="1166"/>
      <c r="G294" s="1167">
        <f>J272+J274+J275+J276+J277+J282</f>
        <v>78000</v>
      </c>
      <c r="H294" s="1168"/>
      <c r="I294" s="1168"/>
      <c r="J294" s="1168"/>
    </row>
    <row r="295" spans="1:11" ht="30" hidden="1" customHeight="1" x14ac:dyDescent="0.3">
      <c r="A295" s="893" t="s">
        <v>382</v>
      </c>
      <c r="B295" s="893"/>
      <c r="C295" s="893"/>
      <c r="D295" s="893"/>
      <c r="E295" s="893"/>
      <c r="F295" s="893"/>
      <c r="G295" s="893"/>
      <c r="H295" s="893"/>
      <c r="I295" s="893"/>
      <c r="J295" s="893"/>
    </row>
    <row r="296" spans="1:11" ht="30" hidden="1" customHeight="1" x14ac:dyDescent="0.3">
      <c r="A296" s="623" t="s">
        <v>1</v>
      </c>
      <c r="B296" s="1110" t="s">
        <v>44</v>
      </c>
      <c r="C296" s="1110"/>
      <c r="D296" s="1110"/>
      <c r="E296" s="1110" t="s">
        <v>58</v>
      </c>
      <c r="F296" s="1110"/>
      <c r="G296" s="1139" t="s">
        <v>66</v>
      </c>
      <c r="H296" s="1140"/>
      <c r="I296" s="1110" t="s">
        <v>60</v>
      </c>
      <c r="J296" s="1110"/>
    </row>
    <row r="297" spans="1:11" ht="18" hidden="1" customHeight="1" x14ac:dyDescent="0.3">
      <c r="A297" s="623">
        <v>1</v>
      </c>
      <c r="B297" s="1110">
        <v>2</v>
      </c>
      <c r="C297" s="1110"/>
      <c r="D297" s="1110"/>
      <c r="E297" s="1110">
        <v>3</v>
      </c>
      <c r="F297" s="1110"/>
      <c r="G297" s="1110">
        <v>4</v>
      </c>
      <c r="H297" s="1110"/>
      <c r="I297" s="1110">
        <v>5</v>
      </c>
      <c r="J297" s="1110"/>
    </row>
    <row r="298" spans="1:11" ht="36.75" hidden="1" customHeight="1" x14ac:dyDescent="0.3">
      <c r="A298" s="1118"/>
      <c r="B298" s="1119"/>
      <c r="C298" s="1119"/>
      <c r="D298" s="1119"/>
      <c r="E298" s="1119"/>
      <c r="F298" s="1119"/>
      <c r="G298" s="1119"/>
      <c r="H298" s="1119"/>
      <c r="I298" s="1119"/>
      <c r="J298" s="1120"/>
    </row>
    <row r="299" spans="1:11" ht="36.75" hidden="1" customHeight="1" x14ac:dyDescent="0.3">
      <c r="A299" s="602">
        <v>1</v>
      </c>
      <c r="B299" s="854"/>
      <c r="C299" s="854"/>
      <c r="D299" s="854"/>
      <c r="E299" s="1141"/>
      <c r="F299" s="1142"/>
      <c r="G299" s="1134"/>
      <c r="H299" s="1135"/>
      <c r="I299" s="1134"/>
      <c r="J299" s="1135"/>
      <c r="K299" s="1">
        <v>57077</v>
      </c>
    </row>
    <row r="300" spans="1:11" ht="36.75" hidden="1" customHeight="1" x14ac:dyDescent="0.3">
      <c r="A300" s="602">
        <v>2</v>
      </c>
      <c r="B300" s="854"/>
      <c r="C300" s="854"/>
      <c r="D300" s="854"/>
      <c r="E300" s="1141"/>
      <c r="F300" s="1142"/>
      <c r="G300" s="1134"/>
      <c r="H300" s="1135"/>
      <c r="I300" s="1134"/>
      <c r="J300" s="1135"/>
      <c r="K300" s="1">
        <v>50925</v>
      </c>
    </row>
    <row r="301" spans="1:11" s="287" customFormat="1" ht="36.75" hidden="1" customHeight="1" x14ac:dyDescent="0.3">
      <c r="A301" s="638">
        <v>3</v>
      </c>
      <c r="B301" s="999"/>
      <c r="C301" s="1000"/>
      <c r="D301" s="1001"/>
      <c r="E301" s="1132"/>
      <c r="F301" s="1133"/>
      <c r="G301" s="1146"/>
      <c r="H301" s="1147"/>
      <c r="I301" s="1144"/>
      <c r="J301" s="1145"/>
    </row>
    <row r="302" spans="1:11" ht="30" hidden="1" customHeight="1" x14ac:dyDescent="0.3">
      <c r="A302" s="624"/>
      <c r="B302" s="1116"/>
      <c r="C302" s="1212"/>
      <c r="D302" s="1117"/>
      <c r="E302" s="1213"/>
      <c r="F302" s="1213"/>
      <c r="G302" s="1213"/>
      <c r="H302" s="1213"/>
      <c r="I302" s="1134"/>
      <c r="J302" s="1135"/>
    </row>
    <row r="303" spans="1:11" ht="30" hidden="1" customHeight="1" x14ac:dyDescent="0.3">
      <c r="A303" s="620"/>
      <c r="B303" s="1098" t="s">
        <v>13</v>
      </c>
      <c r="C303" s="1098"/>
      <c r="D303" s="1098"/>
      <c r="E303" s="1090" t="s">
        <v>14</v>
      </c>
      <c r="F303" s="1090"/>
      <c r="G303" s="1090" t="s">
        <v>14</v>
      </c>
      <c r="H303" s="1090"/>
      <c r="I303" s="1203">
        <f>SUM(I299:J302)</f>
        <v>0</v>
      </c>
      <c r="J303" s="1090"/>
    </row>
    <row r="304" spans="1:11" ht="15.75" customHeight="1" x14ac:dyDescent="0.3">
      <c r="A304" s="1214" t="s">
        <v>383</v>
      </c>
      <c r="B304" s="1214"/>
      <c r="C304" s="1214"/>
      <c r="D304" s="1214"/>
      <c r="E304" s="1214"/>
      <c r="F304" s="1214"/>
      <c r="G304" s="1214"/>
      <c r="H304" s="1214"/>
      <c r="I304" s="1214"/>
      <c r="J304" s="1214"/>
    </row>
    <row r="305" spans="1:11" ht="17.25" customHeight="1" x14ac:dyDescent="0.3">
      <c r="A305" s="623" t="s">
        <v>1</v>
      </c>
      <c r="B305" s="1139" t="s">
        <v>15</v>
      </c>
      <c r="C305" s="1210"/>
      <c r="D305" s="1140"/>
      <c r="E305" s="1139" t="s">
        <v>58</v>
      </c>
      <c r="F305" s="1140"/>
      <c r="G305" s="1139" t="s">
        <v>66</v>
      </c>
      <c r="H305" s="1140"/>
      <c r="I305" s="1139" t="s">
        <v>264</v>
      </c>
      <c r="J305" s="1140"/>
    </row>
    <row r="306" spans="1:11" ht="16.5" customHeight="1" x14ac:dyDescent="0.3">
      <c r="A306" s="623">
        <v>1</v>
      </c>
      <c r="B306" s="1139">
        <v>2</v>
      </c>
      <c r="C306" s="1210"/>
      <c r="D306" s="1140"/>
      <c r="E306" s="1139">
        <v>3</v>
      </c>
      <c r="F306" s="1140"/>
      <c r="G306" s="1139">
        <v>4</v>
      </c>
      <c r="H306" s="1140"/>
      <c r="I306" s="1139">
        <v>5</v>
      </c>
      <c r="J306" s="1140"/>
    </row>
    <row r="307" spans="1:11" ht="30" hidden="1" customHeight="1" x14ac:dyDescent="0.3">
      <c r="A307" s="618" t="s">
        <v>70</v>
      </c>
      <c r="B307" s="1125" t="s">
        <v>170</v>
      </c>
      <c r="C307" s="1126"/>
      <c r="D307" s="1127"/>
      <c r="E307" s="102"/>
      <c r="F307" s="102"/>
      <c r="G307" s="1187"/>
      <c r="H307" s="1188"/>
      <c r="I307" s="1211">
        <f>I308</f>
        <v>0</v>
      </c>
      <c r="J307" s="1190"/>
    </row>
    <row r="308" spans="1:11" ht="17.25" hidden="1" customHeight="1" x14ac:dyDescent="0.3">
      <c r="A308" s="624" t="s">
        <v>27</v>
      </c>
      <c r="B308" s="1104" t="s">
        <v>334</v>
      </c>
      <c r="C308" s="1105"/>
      <c r="D308" s="1106"/>
      <c r="E308" s="356" t="s">
        <v>307</v>
      </c>
      <c r="F308" s="356">
        <v>4</v>
      </c>
      <c r="G308" s="1192" t="s">
        <v>260</v>
      </c>
      <c r="H308" s="1193"/>
      <c r="I308" s="1204"/>
      <c r="J308" s="1109"/>
    </row>
    <row r="309" spans="1:11" ht="36" customHeight="1" x14ac:dyDescent="0.3">
      <c r="A309" s="1118" t="s">
        <v>993</v>
      </c>
      <c r="B309" s="1119"/>
      <c r="C309" s="1119"/>
      <c r="D309" s="1119"/>
      <c r="E309" s="1119"/>
      <c r="F309" s="1119"/>
      <c r="G309" s="1119"/>
      <c r="H309" s="1119"/>
      <c r="I309" s="1119"/>
      <c r="J309" s="1120"/>
    </row>
    <row r="310" spans="1:11" ht="17.25" customHeight="1" x14ac:dyDescent="0.3">
      <c r="A310" s="624">
        <v>1</v>
      </c>
      <c r="B310" s="854" t="s">
        <v>912</v>
      </c>
      <c r="C310" s="854"/>
      <c r="D310" s="854"/>
      <c r="E310" s="1141">
        <v>1</v>
      </c>
      <c r="F310" s="1142"/>
      <c r="G310" s="1134">
        <v>12230</v>
      </c>
      <c r="H310" s="1135"/>
      <c r="I310" s="1134">
        <f>E310*G310</f>
        <v>12230</v>
      </c>
      <c r="J310" s="1135"/>
    </row>
    <row r="311" spans="1:11" ht="17.25" customHeight="1" x14ac:dyDescent="0.3">
      <c r="A311" s="604">
        <v>2</v>
      </c>
      <c r="B311" s="854" t="s">
        <v>913</v>
      </c>
      <c r="C311" s="854"/>
      <c r="D311" s="854"/>
      <c r="E311" s="1141">
        <v>1</v>
      </c>
      <c r="F311" s="1142"/>
      <c r="G311" s="1134">
        <v>2770</v>
      </c>
      <c r="H311" s="1135"/>
      <c r="I311" s="1134">
        <f t="shared" ref="I311" si="16">E311*G311</f>
        <v>2770</v>
      </c>
      <c r="J311" s="1135"/>
    </row>
    <row r="312" spans="1:11" ht="51" hidden="1" customHeight="1" x14ac:dyDescent="0.3">
      <c r="A312" s="1112" t="s">
        <v>582</v>
      </c>
      <c r="B312" s="1113"/>
      <c r="C312" s="1113"/>
      <c r="D312" s="1113"/>
      <c r="E312" s="1113"/>
      <c r="F312" s="1113"/>
      <c r="G312" s="1113"/>
      <c r="H312" s="1113"/>
      <c r="I312" s="1113"/>
      <c r="J312" s="1114"/>
    </row>
    <row r="313" spans="1:11" s="41" customFormat="1" ht="30" hidden="1" customHeight="1" x14ac:dyDescent="0.3">
      <c r="A313" s="624">
        <v>1</v>
      </c>
      <c r="B313" s="1205" t="s">
        <v>583</v>
      </c>
      <c r="C313" s="1206"/>
      <c r="D313" s="1207"/>
      <c r="E313" s="356" t="s">
        <v>543</v>
      </c>
      <c r="F313" s="628">
        <v>33</v>
      </c>
      <c r="G313" s="1192" t="s">
        <v>74</v>
      </c>
      <c r="H313" s="1193"/>
      <c r="I313" s="1208"/>
      <c r="J313" s="1209"/>
    </row>
    <row r="314" spans="1:11" s="41" customFormat="1" ht="72.75" hidden="1" customHeight="1" x14ac:dyDescent="0.3">
      <c r="A314" s="1136" t="s">
        <v>640</v>
      </c>
      <c r="B314" s="1137"/>
      <c r="C314" s="1137"/>
      <c r="D314" s="1137"/>
      <c r="E314" s="1137"/>
      <c r="F314" s="1137"/>
      <c r="G314" s="1137"/>
      <c r="H314" s="1137"/>
      <c r="I314" s="1137"/>
      <c r="J314" s="1138"/>
    </row>
    <row r="315" spans="1:11" s="41" customFormat="1" ht="62.25" hidden="1" customHeight="1" x14ac:dyDescent="0.3">
      <c r="A315" s="624">
        <v>1</v>
      </c>
      <c r="B315" s="999" t="s">
        <v>622</v>
      </c>
      <c r="C315" s="1000"/>
      <c r="D315" s="1001"/>
      <c r="E315" s="356" t="s">
        <v>543</v>
      </c>
      <c r="F315" s="157">
        <v>33</v>
      </c>
      <c r="G315" s="1192" t="s">
        <v>74</v>
      </c>
      <c r="H315" s="1193"/>
      <c r="I315" s="1375"/>
      <c r="J315" s="1376"/>
    </row>
    <row r="316" spans="1:11" ht="30" hidden="1" customHeight="1" x14ac:dyDescent="0.3">
      <c r="A316" s="624"/>
      <c r="B316" s="999"/>
      <c r="C316" s="1000"/>
      <c r="D316" s="1001"/>
      <c r="E316" s="356" t="s">
        <v>543</v>
      </c>
      <c r="F316" s="157">
        <v>33</v>
      </c>
      <c r="G316" s="1192" t="s">
        <v>74</v>
      </c>
      <c r="H316" s="1193"/>
      <c r="I316" s="1377">
        <v>0</v>
      </c>
      <c r="J316" s="1378"/>
    </row>
    <row r="317" spans="1:11" ht="77.25" hidden="1" customHeight="1" x14ac:dyDescent="0.3">
      <c r="A317" s="1092" t="s">
        <v>641</v>
      </c>
      <c r="B317" s="1093"/>
      <c r="C317" s="1093"/>
      <c r="D317" s="1093"/>
      <c r="E317" s="1093"/>
      <c r="F317" s="1093"/>
      <c r="G317" s="1093"/>
      <c r="H317" s="1093"/>
      <c r="I317" s="1093"/>
      <c r="J317" s="1094"/>
    </row>
    <row r="318" spans="1:11" s="41" customFormat="1" ht="30" hidden="1" customHeight="1" x14ac:dyDescent="0.3">
      <c r="A318" s="624">
        <v>1</v>
      </c>
      <c r="B318" s="999" t="s">
        <v>618</v>
      </c>
      <c r="C318" s="1000"/>
      <c r="D318" s="1001"/>
      <c r="E318" s="356" t="s">
        <v>308</v>
      </c>
      <c r="F318" s="628"/>
      <c r="G318" s="1107" t="s">
        <v>260</v>
      </c>
      <c r="H318" s="1107"/>
      <c r="I318" s="1102">
        <v>0</v>
      </c>
      <c r="J318" s="1103"/>
    </row>
    <row r="319" spans="1:11" ht="30" hidden="1" customHeight="1" x14ac:dyDescent="0.3">
      <c r="A319" s="624">
        <v>2</v>
      </c>
      <c r="B319" s="1143" t="s">
        <v>195</v>
      </c>
      <c r="C319" s="1143"/>
      <c r="D319" s="1143"/>
      <c r="E319" s="356" t="s">
        <v>308</v>
      </c>
      <c r="F319" s="628"/>
      <c r="G319" s="1107" t="s">
        <v>260</v>
      </c>
      <c r="H319" s="1107"/>
      <c r="I319" s="1102">
        <v>0</v>
      </c>
      <c r="J319" s="1103"/>
      <c r="K319" s="15"/>
    </row>
    <row r="320" spans="1:11" ht="30" hidden="1" customHeight="1" x14ac:dyDescent="0.3">
      <c r="A320" s="624">
        <v>3</v>
      </c>
      <c r="B320" s="1143" t="s">
        <v>82</v>
      </c>
      <c r="C320" s="1143"/>
      <c r="D320" s="1143"/>
      <c r="E320" s="356" t="s">
        <v>308</v>
      </c>
      <c r="F320" s="628"/>
      <c r="G320" s="1107" t="s">
        <v>260</v>
      </c>
      <c r="H320" s="1107"/>
      <c r="I320" s="1102">
        <v>0</v>
      </c>
      <c r="J320" s="1103"/>
      <c r="K320" s="14"/>
    </row>
    <row r="321" spans="1:12" ht="30" hidden="1" customHeight="1" x14ac:dyDescent="0.3">
      <c r="A321" s="104"/>
      <c r="B321" s="1191"/>
      <c r="C321" s="1191"/>
      <c r="D321" s="1191"/>
      <c r="E321" s="356"/>
      <c r="F321" s="628"/>
      <c r="G321" s="1107"/>
      <c r="H321" s="1107"/>
      <c r="I321" s="1102"/>
      <c r="J321" s="1103"/>
    </row>
    <row r="322" spans="1:12" ht="17.25" customHeight="1" x14ac:dyDescent="0.3">
      <c r="A322" s="624"/>
      <c r="B322" s="1098" t="s">
        <v>13</v>
      </c>
      <c r="C322" s="1098"/>
      <c r="D322" s="1098"/>
      <c r="E322" s="1201" t="s">
        <v>74</v>
      </c>
      <c r="F322" s="1202"/>
      <c r="G322" s="1090" t="s">
        <v>14</v>
      </c>
      <c r="H322" s="1090"/>
      <c r="I322" s="1203">
        <f>I313+I318+I319+I320+I315+I310+I311</f>
        <v>15000</v>
      </c>
      <c r="J322" s="1203"/>
    </row>
    <row r="323" spans="1:12" ht="21.75" customHeight="1" x14ac:dyDescent="0.3">
      <c r="A323" s="1200" t="s">
        <v>384</v>
      </c>
      <c r="B323" s="1200"/>
      <c r="C323" s="1200"/>
      <c r="D323" s="1200"/>
      <c r="E323" s="1200"/>
      <c r="F323" s="1200"/>
      <c r="G323" s="1200"/>
      <c r="H323" s="1200"/>
      <c r="I323" s="1200"/>
      <c r="J323" s="1200"/>
    </row>
    <row r="324" spans="1:12" ht="21.75" hidden="1" customHeight="1" x14ac:dyDescent="0.3">
      <c r="A324" s="1196" t="s">
        <v>545</v>
      </c>
      <c r="B324" s="1196"/>
      <c r="C324" s="1196"/>
      <c r="D324" s="1196"/>
      <c r="E324" s="1196"/>
      <c r="F324" s="1196"/>
      <c r="G324" s="1196"/>
      <c r="H324" s="1196"/>
      <c r="I324" s="1196"/>
      <c r="J324" s="1196"/>
    </row>
    <row r="325" spans="1:12" ht="21.75" hidden="1" customHeight="1" x14ac:dyDescent="0.3">
      <c r="A325" s="623" t="s">
        <v>1</v>
      </c>
      <c r="B325" s="1110" t="s">
        <v>15</v>
      </c>
      <c r="C325" s="1110"/>
      <c r="D325" s="1110"/>
      <c r="E325" s="1110" t="s">
        <v>58</v>
      </c>
      <c r="F325" s="1110"/>
      <c r="G325" s="1110" t="s">
        <v>66</v>
      </c>
      <c r="H325" s="1110"/>
      <c r="I325" s="1110" t="s">
        <v>264</v>
      </c>
      <c r="J325" s="1110"/>
    </row>
    <row r="326" spans="1:12" ht="21.75" hidden="1" customHeight="1" x14ac:dyDescent="0.3">
      <c r="A326" s="623">
        <v>1</v>
      </c>
      <c r="B326" s="1110">
        <v>2</v>
      </c>
      <c r="C326" s="1110"/>
      <c r="D326" s="1110"/>
      <c r="E326" s="1110">
        <v>3</v>
      </c>
      <c r="F326" s="1110"/>
      <c r="G326" s="1110">
        <v>4</v>
      </c>
      <c r="H326" s="1110"/>
      <c r="I326" s="1110">
        <v>5</v>
      </c>
      <c r="J326" s="1110"/>
    </row>
    <row r="327" spans="1:12" ht="63.75" hidden="1" customHeight="1" x14ac:dyDescent="0.3">
      <c r="A327" s="1092" t="s">
        <v>641</v>
      </c>
      <c r="B327" s="1093"/>
      <c r="C327" s="1093"/>
      <c r="D327" s="1093"/>
      <c r="E327" s="1093"/>
      <c r="F327" s="1093"/>
      <c r="G327" s="1093"/>
      <c r="H327" s="1093"/>
      <c r="I327" s="1093"/>
      <c r="J327" s="1094"/>
    </row>
    <row r="328" spans="1:12" ht="39.75" hidden="1" customHeight="1" x14ac:dyDescent="0.3">
      <c r="A328" s="618" t="s">
        <v>70</v>
      </c>
      <c r="B328" s="1125" t="s">
        <v>172</v>
      </c>
      <c r="C328" s="1126"/>
      <c r="D328" s="1127"/>
      <c r="E328" s="102"/>
      <c r="F328" s="102"/>
      <c r="G328" s="1187"/>
      <c r="H328" s="1188"/>
      <c r="I328" s="1189">
        <f>SUM(I329:J331)</f>
        <v>0</v>
      </c>
      <c r="J328" s="1190"/>
    </row>
    <row r="329" spans="1:12" ht="22.5" hidden="1" customHeight="1" x14ac:dyDescent="0.3">
      <c r="A329" s="624"/>
      <c r="B329" s="999" t="s">
        <v>618</v>
      </c>
      <c r="C329" s="1000"/>
      <c r="D329" s="1001"/>
      <c r="E329" s="356" t="s">
        <v>308</v>
      </c>
      <c r="F329" s="648"/>
      <c r="G329" s="1107" t="s">
        <v>260</v>
      </c>
      <c r="H329" s="1107"/>
      <c r="I329" s="1073">
        <v>0</v>
      </c>
      <c r="J329" s="1099"/>
    </row>
    <row r="330" spans="1:12" ht="22.5" hidden="1" customHeight="1" x14ac:dyDescent="0.3">
      <c r="A330" s="104"/>
      <c r="B330" s="1143" t="s">
        <v>195</v>
      </c>
      <c r="C330" s="1143"/>
      <c r="D330" s="1143"/>
      <c r="E330" s="356" t="s">
        <v>308</v>
      </c>
      <c r="F330" s="628"/>
      <c r="G330" s="1107" t="s">
        <v>260</v>
      </c>
      <c r="H330" s="1107"/>
      <c r="I330" s="1102">
        <v>0</v>
      </c>
      <c r="J330" s="1103"/>
    </row>
    <row r="331" spans="1:12" ht="21.75" hidden="1" customHeight="1" x14ac:dyDescent="0.3">
      <c r="A331" s="104"/>
      <c r="B331" s="1197" t="s">
        <v>82</v>
      </c>
      <c r="C331" s="1198"/>
      <c r="D331" s="1199"/>
      <c r="E331" s="356" t="s">
        <v>308</v>
      </c>
      <c r="F331" s="147"/>
      <c r="G331" s="1107" t="s">
        <v>260</v>
      </c>
      <c r="H331" s="1107"/>
      <c r="I331" s="1108">
        <v>0</v>
      </c>
      <c r="J331" s="1109"/>
    </row>
    <row r="332" spans="1:12" ht="21.75" hidden="1" customHeight="1" x14ac:dyDescent="0.3">
      <c r="A332" s="624"/>
      <c r="B332" s="1098" t="s">
        <v>13</v>
      </c>
      <c r="C332" s="1098"/>
      <c r="D332" s="1098"/>
      <c r="E332" s="1123" t="s">
        <v>74</v>
      </c>
      <c r="F332" s="1124"/>
      <c r="G332" s="1090" t="s">
        <v>14</v>
      </c>
      <c r="H332" s="1090"/>
      <c r="I332" s="1101">
        <f>I328</f>
        <v>0</v>
      </c>
      <c r="J332" s="1090"/>
    </row>
    <row r="333" spans="1:12" ht="15.6" hidden="1" x14ac:dyDescent="0.3">
      <c r="A333" s="1196" t="s">
        <v>546</v>
      </c>
      <c r="B333" s="1196"/>
      <c r="C333" s="1196"/>
      <c r="D333" s="1196"/>
      <c r="E333" s="1196"/>
      <c r="F333" s="1196"/>
      <c r="G333" s="1196"/>
      <c r="H333" s="1196"/>
      <c r="I333" s="1196"/>
      <c r="J333" s="1196"/>
    </row>
    <row r="334" spans="1:12" ht="15" hidden="1" customHeight="1" x14ac:dyDescent="0.3">
      <c r="A334" s="623" t="s">
        <v>1</v>
      </c>
      <c r="B334" s="1110" t="s">
        <v>15</v>
      </c>
      <c r="C334" s="1110"/>
      <c r="D334" s="1110"/>
      <c r="E334" s="1110" t="s">
        <v>58</v>
      </c>
      <c r="F334" s="1110"/>
      <c r="G334" s="1110" t="s">
        <v>66</v>
      </c>
      <c r="H334" s="1110"/>
      <c r="I334" s="1110" t="s">
        <v>264</v>
      </c>
      <c r="J334" s="1110"/>
    </row>
    <row r="335" spans="1:12" hidden="1" x14ac:dyDescent="0.3">
      <c r="A335" s="623">
        <v>1</v>
      </c>
      <c r="B335" s="1110">
        <v>2</v>
      </c>
      <c r="C335" s="1110"/>
      <c r="D335" s="1110"/>
      <c r="E335" s="1110">
        <v>3</v>
      </c>
      <c r="F335" s="1110"/>
      <c r="G335" s="1110">
        <v>4</v>
      </c>
      <c r="H335" s="1110"/>
      <c r="I335" s="1110">
        <v>5</v>
      </c>
      <c r="J335" s="1110"/>
    </row>
    <row r="336" spans="1:12" ht="47.25" hidden="1" customHeight="1" x14ac:dyDescent="0.3">
      <c r="A336" s="1118" t="s">
        <v>578</v>
      </c>
      <c r="B336" s="1119"/>
      <c r="C336" s="1119"/>
      <c r="D336" s="1119"/>
      <c r="E336" s="1119"/>
      <c r="F336" s="1119"/>
      <c r="G336" s="1119"/>
      <c r="H336" s="1119"/>
      <c r="I336" s="1119"/>
      <c r="J336" s="1120"/>
      <c r="K336" s="148"/>
      <c r="L336" s="149"/>
    </row>
    <row r="337" spans="1:12" ht="37.5" hidden="1" customHeight="1" x14ac:dyDescent="0.3">
      <c r="A337" s="624">
        <v>1</v>
      </c>
      <c r="B337" s="1115" t="s">
        <v>584</v>
      </c>
      <c r="C337" s="1115"/>
      <c r="D337" s="1115"/>
      <c r="E337" s="356" t="s">
        <v>308</v>
      </c>
      <c r="F337" s="628"/>
      <c r="G337" s="1107" t="s">
        <v>260</v>
      </c>
      <c r="H337" s="1107"/>
      <c r="I337" s="1102">
        <f>3300-3300</f>
        <v>0</v>
      </c>
      <c r="J337" s="1103"/>
      <c r="K337" s="148"/>
      <c r="L337" s="149"/>
    </row>
    <row r="338" spans="1:12" hidden="1" x14ac:dyDescent="0.3">
      <c r="A338" s="104"/>
      <c r="B338" s="1104"/>
      <c r="C338" s="1105"/>
      <c r="D338" s="1106"/>
      <c r="E338" s="356"/>
      <c r="F338" s="147"/>
      <c r="G338" s="1107"/>
      <c r="H338" s="1107"/>
      <c r="I338" s="1108"/>
      <c r="J338" s="1109"/>
    </row>
    <row r="339" spans="1:12" s="45" customFormat="1" ht="15" hidden="1" customHeight="1" x14ac:dyDescent="0.3">
      <c r="A339" s="624"/>
      <c r="B339" s="1098" t="s">
        <v>13</v>
      </c>
      <c r="C339" s="1098"/>
      <c r="D339" s="1098"/>
      <c r="E339" s="1123" t="s">
        <v>74</v>
      </c>
      <c r="F339" s="1124"/>
      <c r="G339" s="1090" t="s">
        <v>14</v>
      </c>
      <c r="H339" s="1090"/>
      <c r="I339" s="1101">
        <f>I337+I338</f>
        <v>0</v>
      </c>
      <c r="J339" s="1090"/>
    </row>
    <row r="340" spans="1:12" s="45" customFormat="1" ht="15" hidden="1" customHeight="1" x14ac:dyDescent="0.3">
      <c r="A340" s="1196" t="s">
        <v>547</v>
      </c>
      <c r="B340" s="1196"/>
      <c r="C340" s="1196"/>
      <c r="D340" s="1196"/>
      <c r="E340" s="1196"/>
      <c r="F340" s="1196"/>
      <c r="G340" s="1196"/>
      <c r="H340" s="1196"/>
      <c r="I340" s="1196"/>
      <c r="J340" s="1196"/>
    </row>
    <row r="341" spans="1:12" s="45" customFormat="1" ht="15" hidden="1" customHeight="1" x14ac:dyDescent="0.3">
      <c r="A341" s="623" t="s">
        <v>1</v>
      </c>
      <c r="B341" s="1110" t="s">
        <v>15</v>
      </c>
      <c r="C341" s="1110"/>
      <c r="D341" s="1110"/>
      <c r="E341" s="1110" t="s">
        <v>58</v>
      </c>
      <c r="F341" s="1110"/>
      <c r="G341" s="1110" t="s">
        <v>66</v>
      </c>
      <c r="H341" s="1110"/>
      <c r="I341" s="1110" t="s">
        <v>264</v>
      </c>
      <c r="J341" s="1110"/>
    </row>
    <row r="342" spans="1:12" s="45" customFormat="1" ht="15" hidden="1" customHeight="1" x14ac:dyDescent="0.3">
      <c r="A342" s="623">
        <v>1</v>
      </c>
      <c r="B342" s="1110">
        <v>2</v>
      </c>
      <c r="C342" s="1110"/>
      <c r="D342" s="1110"/>
      <c r="E342" s="1110">
        <v>3</v>
      </c>
      <c r="F342" s="1110"/>
      <c r="G342" s="1110">
        <v>4</v>
      </c>
      <c r="H342" s="1110"/>
      <c r="I342" s="1110">
        <v>5</v>
      </c>
      <c r="J342" s="1110"/>
    </row>
    <row r="343" spans="1:12" s="45" customFormat="1" ht="39.75" hidden="1" customHeight="1" x14ac:dyDescent="0.3">
      <c r="A343" s="618" t="s">
        <v>70</v>
      </c>
      <c r="B343" s="1125" t="s">
        <v>172</v>
      </c>
      <c r="C343" s="1126"/>
      <c r="D343" s="1127"/>
      <c r="E343" s="102"/>
      <c r="F343" s="102"/>
      <c r="G343" s="1187"/>
      <c r="H343" s="1188"/>
      <c r="I343" s="1189">
        <f>SUM(I344:J345)</f>
        <v>0</v>
      </c>
      <c r="J343" s="1190"/>
    </row>
    <row r="344" spans="1:12" s="45" customFormat="1" ht="15" hidden="1" customHeight="1" x14ac:dyDescent="0.3">
      <c r="A344" s="624" t="s">
        <v>27</v>
      </c>
      <c r="B344" s="1191" t="s">
        <v>549</v>
      </c>
      <c r="C344" s="1191"/>
      <c r="D344" s="1191"/>
      <c r="E344" s="356"/>
      <c r="F344" s="628"/>
      <c r="G344" s="1107" t="s">
        <v>260</v>
      </c>
      <c r="H344" s="1107"/>
      <c r="I344" s="1102">
        <v>0</v>
      </c>
      <c r="J344" s="1103"/>
    </row>
    <row r="345" spans="1:12" s="46" customFormat="1" ht="15" hidden="1" customHeight="1" x14ac:dyDescent="0.3">
      <c r="A345" s="104" t="s">
        <v>27</v>
      </c>
      <c r="B345" s="1104"/>
      <c r="C345" s="1105"/>
      <c r="D345" s="1106"/>
      <c r="E345" s="356"/>
      <c r="F345" s="147"/>
      <c r="G345" s="1107"/>
      <c r="H345" s="1107"/>
      <c r="I345" s="1108"/>
      <c r="J345" s="1109"/>
    </row>
    <row r="346" spans="1:12" s="45" customFormat="1" ht="33" hidden="1" customHeight="1" x14ac:dyDescent="0.3">
      <c r="A346" s="624"/>
      <c r="B346" s="1098" t="s">
        <v>13</v>
      </c>
      <c r="C346" s="1098"/>
      <c r="D346" s="1098"/>
      <c r="E346" s="1123" t="s">
        <v>74</v>
      </c>
      <c r="F346" s="1124"/>
      <c r="G346" s="1090" t="s">
        <v>14</v>
      </c>
      <c r="H346" s="1090"/>
      <c r="I346" s="1101">
        <f>I343</f>
        <v>0</v>
      </c>
      <c r="J346" s="1090"/>
    </row>
    <row r="347" spans="1:12" s="46" customFormat="1" ht="15" hidden="1" customHeight="1" x14ac:dyDescent="0.3">
      <c r="A347" s="1196" t="s">
        <v>548</v>
      </c>
      <c r="B347" s="1196"/>
      <c r="C347" s="1196"/>
      <c r="D347" s="1196"/>
      <c r="E347" s="1196"/>
      <c r="F347" s="1196"/>
      <c r="G347" s="1196"/>
      <c r="H347" s="1196"/>
      <c r="I347" s="1196"/>
      <c r="J347" s="1196"/>
    </row>
    <row r="348" spans="1:12" s="46" customFormat="1" ht="15" hidden="1" customHeight="1" x14ac:dyDescent="0.3">
      <c r="A348" s="623" t="s">
        <v>1</v>
      </c>
      <c r="B348" s="1110" t="s">
        <v>15</v>
      </c>
      <c r="C348" s="1110"/>
      <c r="D348" s="1110"/>
      <c r="E348" s="1110" t="s">
        <v>58</v>
      </c>
      <c r="F348" s="1110"/>
      <c r="G348" s="1110" t="s">
        <v>66</v>
      </c>
      <c r="H348" s="1110"/>
      <c r="I348" s="1110" t="s">
        <v>264</v>
      </c>
      <c r="J348" s="1110"/>
    </row>
    <row r="349" spans="1:12" s="46" customFormat="1" ht="15" hidden="1" customHeight="1" x14ac:dyDescent="0.3">
      <c r="A349" s="623">
        <v>1</v>
      </c>
      <c r="B349" s="1110">
        <v>2</v>
      </c>
      <c r="C349" s="1110"/>
      <c r="D349" s="1110"/>
      <c r="E349" s="1110">
        <v>3</v>
      </c>
      <c r="F349" s="1110"/>
      <c r="G349" s="1110">
        <v>4</v>
      </c>
      <c r="H349" s="1110"/>
      <c r="I349" s="1110">
        <v>5</v>
      </c>
      <c r="J349" s="1110"/>
    </row>
    <row r="350" spans="1:12" s="46" customFormat="1" ht="38.25" hidden="1" customHeight="1" x14ac:dyDescent="0.3">
      <c r="A350" s="618" t="s">
        <v>70</v>
      </c>
      <c r="B350" s="1125" t="s">
        <v>172</v>
      </c>
      <c r="C350" s="1126"/>
      <c r="D350" s="1127"/>
      <c r="E350" s="102"/>
      <c r="F350" s="102"/>
      <c r="G350" s="1187"/>
      <c r="H350" s="1188"/>
      <c r="I350" s="1189">
        <f>SUM(I351:J352)</f>
        <v>0</v>
      </c>
      <c r="J350" s="1190"/>
    </row>
    <row r="351" spans="1:12" s="46" customFormat="1" ht="15" hidden="1" customHeight="1" x14ac:dyDescent="0.3">
      <c r="A351" s="624" t="s">
        <v>27</v>
      </c>
      <c r="B351" s="1191"/>
      <c r="C351" s="1191"/>
      <c r="D351" s="1191"/>
      <c r="E351" s="356" t="s">
        <v>308</v>
      </c>
      <c r="F351" s="628"/>
      <c r="G351" s="1107" t="s">
        <v>260</v>
      </c>
      <c r="H351" s="1107"/>
      <c r="I351" s="1102"/>
      <c r="J351" s="1103"/>
    </row>
    <row r="352" spans="1:12" s="46" customFormat="1" ht="15" hidden="1" customHeight="1" x14ac:dyDescent="0.3">
      <c r="A352" s="104" t="s">
        <v>27</v>
      </c>
      <c r="B352" s="1104"/>
      <c r="C352" s="1105"/>
      <c r="D352" s="1106"/>
      <c r="E352" s="356"/>
      <c r="F352" s="147"/>
      <c r="G352" s="1107"/>
      <c r="H352" s="1107"/>
      <c r="I352" s="1108"/>
      <c r="J352" s="1109"/>
    </row>
    <row r="353" spans="1:10" s="46" customFormat="1" ht="15" hidden="1" customHeight="1" x14ac:dyDescent="0.3">
      <c r="A353" s="624"/>
      <c r="B353" s="1098" t="s">
        <v>13</v>
      </c>
      <c r="C353" s="1098"/>
      <c r="D353" s="1098"/>
      <c r="E353" s="1123" t="s">
        <v>74</v>
      </c>
      <c r="F353" s="1124"/>
      <c r="G353" s="1090" t="s">
        <v>14</v>
      </c>
      <c r="H353" s="1090"/>
      <c r="I353" s="1101">
        <f>I350</f>
        <v>0</v>
      </c>
      <c r="J353" s="1090"/>
    </row>
    <row r="354" spans="1:10" s="46" customFormat="1" ht="15" customHeight="1" x14ac:dyDescent="0.3">
      <c r="A354" s="1186" t="s">
        <v>551</v>
      </c>
      <c r="B354" s="1186"/>
      <c r="C354" s="1186"/>
      <c r="D354" s="1186"/>
      <c r="E354" s="1186"/>
      <c r="F354" s="1186"/>
      <c r="G354" s="1186"/>
      <c r="H354" s="1186"/>
      <c r="I354" s="1186"/>
      <c r="J354" s="1186"/>
    </row>
    <row r="355" spans="1:10" s="46" customFormat="1" ht="15" customHeight="1" x14ac:dyDescent="0.3">
      <c r="A355" s="623" t="s">
        <v>1</v>
      </c>
      <c r="B355" s="1110" t="s">
        <v>15</v>
      </c>
      <c r="C355" s="1110"/>
      <c r="D355" s="1110"/>
      <c r="E355" s="1110" t="s">
        <v>58</v>
      </c>
      <c r="F355" s="1110"/>
      <c r="G355" s="1110" t="s">
        <v>66</v>
      </c>
      <c r="H355" s="1110"/>
      <c r="I355" s="1110" t="s">
        <v>264</v>
      </c>
      <c r="J355" s="1110"/>
    </row>
    <row r="356" spans="1:10" s="46" customFormat="1" ht="15" customHeight="1" x14ac:dyDescent="0.3">
      <c r="A356" s="623">
        <v>1</v>
      </c>
      <c r="B356" s="1110">
        <v>2</v>
      </c>
      <c r="C356" s="1110"/>
      <c r="D356" s="1110"/>
      <c r="E356" s="1110">
        <v>3</v>
      </c>
      <c r="F356" s="1110"/>
      <c r="G356" s="1110">
        <v>4</v>
      </c>
      <c r="H356" s="1110"/>
      <c r="I356" s="1110">
        <v>5</v>
      </c>
      <c r="J356" s="1110"/>
    </row>
    <row r="357" spans="1:10" s="46" customFormat="1" ht="36" customHeight="1" x14ac:dyDescent="0.3">
      <c r="A357" s="1118" t="s">
        <v>993</v>
      </c>
      <c r="B357" s="1119"/>
      <c r="C357" s="1119"/>
      <c r="D357" s="1119"/>
      <c r="E357" s="1119"/>
      <c r="F357" s="1119"/>
      <c r="G357" s="1119"/>
      <c r="H357" s="1119"/>
      <c r="I357" s="1119"/>
      <c r="J357" s="1120"/>
    </row>
    <row r="358" spans="1:10" s="46" customFormat="1" ht="15" customHeight="1" x14ac:dyDescent="0.3">
      <c r="A358" s="624">
        <v>1</v>
      </c>
      <c r="B358" s="1115" t="s">
        <v>585</v>
      </c>
      <c r="C358" s="1115"/>
      <c r="D358" s="1115"/>
      <c r="E358" s="356" t="s">
        <v>308</v>
      </c>
      <c r="F358" s="628"/>
      <c r="G358" s="1107" t="s">
        <v>260</v>
      </c>
      <c r="H358" s="1107"/>
      <c r="I358" s="1102">
        <v>15000</v>
      </c>
      <c r="J358" s="1103"/>
    </row>
    <row r="359" spans="1:10" s="46" customFormat="1" ht="15" hidden="1" customHeight="1" x14ac:dyDescent="0.3">
      <c r="A359" s="624">
        <v>2</v>
      </c>
      <c r="B359" s="1095"/>
      <c r="C359" s="1096"/>
      <c r="D359" s="1097"/>
      <c r="E359" s="356" t="s">
        <v>308</v>
      </c>
      <c r="F359" s="642"/>
      <c r="G359" s="1192" t="s">
        <v>260</v>
      </c>
      <c r="H359" s="1193"/>
      <c r="I359" s="1194">
        <v>0</v>
      </c>
      <c r="J359" s="1195"/>
    </row>
    <row r="360" spans="1:10" s="46" customFormat="1" ht="15" customHeight="1" x14ac:dyDescent="0.3">
      <c r="A360" s="104"/>
      <c r="B360" s="1098" t="s">
        <v>13</v>
      </c>
      <c r="C360" s="1098"/>
      <c r="D360" s="1098"/>
      <c r="E360" s="1123" t="s">
        <v>74</v>
      </c>
      <c r="F360" s="1124"/>
      <c r="G360" s="1090" t="s">
        <v>14</v>
      </c>
      <c r="H360" s="1090"/>
      <c r="I360" s="1101">
        <f>I358+I359</f>
        <v>15000</v>
      </c>
      <c r="J360" s="1090"/>
    </row>
    <row r="361" spans="1:10" s="46" customFormat="1" ht="71.25" hidden="1" customHeight="1" x14ac:dyDescent="0.3">
      <c r="A361" s="1092" t="s">
        <v>641</v>
      </c>
      <c r="B361" s="1093"/>
      <c r="C361" s="1093"/>
      <c r="D361" s="1093"/>
      <c r="E361" s="1093"/>
      <c r="F361" s="1093"/>
      <c r="G361" s="1093"/>
      <c r="H361" s="1093"/>
      <c r="I361" s="1093"/>
      <c r="J361" s="1094"/>
    </row>
    <row r="362" spans="1:10" s="46" customFormat="1" ht="15" hidden="1" customHeight="1" x14ac:dyDescent="0.3">
      <c r="A362" s="623"/>
      <c r="B362" s="1095"/>
      <c r="C362" s="1096"/>
      <c r="D362" s="1097"/>
      <c r="E362" s="648"/>
      <c r="F362" s="577"/>
      <c r="G362" s="978"/>
      <c r="H362" s="978"/>
      <c r="I362" s="991"/>
      <c r="J362" s="992"/>
    </row>
    <row r="363" spans="1:10" s="46" customFormat="1" ht="15" hidden="1" customHeight="1" x14ac:dyDescent="0.3">
      <c r="A363" s="623"/>
      <c r="B363" s="1095"/>
      <c r="C363" s="1096"/>
      <c r="D363" s="1097"/>
      <c r="E363" s="648"/>
      <c r="F363" s="577"/>
      <c r="G363" s="568"/>
      <c r="H363" s="569"/>
      <c r="I363" s="1073"/>
      <c r="J363" s="1099"/>
    </row>
    <row r="364" spans="1:10" s="46" customFormat="1" ht="15" hidden="1" customHeight="1" x14ac:dyDescent="0.3">
      <c r="A364" s="623"/>
      <c r="B364" s="1095"/>
      <c r="C364" s="1096"/>
      <c r="D364" s="1097"/>
      <c r="E364" s="648"/>
      <c r="F364" s="577"/>
      <c r="G364" s="568"/>
      <c r="H364" s="569"/>
      <c r="I364" s="1073"/>
      <c r="J364" s="1099"/>
    </row>
    <row r="365" spans="1:10" s="46" customFormat="1" ht="15" hidden="1" customHeight="1" x14ac:dyDescent="0.3">
      <c r="A365" s="623"/>
      <c r="B365" s="1095"/>
      <c r="C365" s="1096"/>
      <c r="D365" s="1097"/>
      <c r="E365" s="648"/>
      <c r="F365" s="577"/>
      <c r="G365" s="568"/>
      <c r="H365" s="569"/>
      <c r="I365" s="1073"/>
      <c r="J365" s="1099"/>
    </row>
    <row r="366" spans="1:10" s="46" customFormat="1" ht="15" hidden="1" customHeight="1" x14ac:dyDescent="0.3">
      <c r="A366" s="104"/>
      <c r="B366" s="1098" t="s">
        <v>13</v>
      </c>
      <c r="C366" s="1098"/>
      <c r="D366" s="1098"/>
      <c r="E366" s="1100" t="s">
        <v>74</v>
      </c>
      <c r="F366" s="1100"/>
      <c r="G366" s="1090" t="s">
        <v>14</v>
      </c>
      <c r="H366" s="1090"/>
      <c r="I366" s="1101">
        <f>I362+I363+I364</f>
        <v>0</v>
      </c>
      <c r="J366" s="1090"/>
    </row>
    <row r="367" spans="1:10" s="46" customFormat="1" ht="15" customHeight="1" x14ac:dyDescent="0.3">
      <c r="A367" s="104"/>
      <c r="B367" s="1090" t="s">
        <v>633</v>
      </c>
      <c r="C367" s="1090"/>
      <c r="D367" s="1090"/>
      <c r="E367" s="1100"/>
      <c r="F367" s="1100"/>
      <c r="G367" s="1090"/>
      <c r="H367" s="1090"/>
      <c r="I367" s="1101">
        <f>I366+I360</f>
        <v>15000</v>
      </c>
      <c r="J367" s="1101"/>
    </row>
    <row r="368" spans="1:10" s="45" customFormat="1" ht="15.6" x14ac:dyDescent="0.3">
      <c r="A368" s="1184" t="s">
        <v>552</v>
      </c>
      <c r="B368" s="1184"/>
      <c r="C368" s="1184"/>
      <c r="D368" s="1184"/>
      <c r="E368" s="1184"/>
      <c r="F368" s="1184"/>
      <c r="G368" s="1184"/>
      <c r="H368" s="1184"/>
      <c r="I368" s="1184"/>
      <c r="J368" s="1184"/>
    </row>
    <row r="369" spans="1:10" s="45" customFormat="1" ht="13.8" x14ac:dyDescent="0.3">
      <c r="A369" s="623" t="s">
        <v>1</v>
      </c>
      <c r="B369" s="1110" t="s">
        <v>15</v>
      </c>
      <c r="C369" s="1110"/>
      <c r="D369" s="1110"/>
      <c r="E369" s="1110" t="s">
        <v>58</v>
      </c>
      <c r="F369" s="1110"/>
      <c r="G369" s="1110" t="s">
        <v>66</v>
      </c>
      <c r="H369" s="1110"/>
      <c r="I369" s="1110" t="s">
        <v>264</v>
      </c>
      <c r="J369" s="1110"/>
    </row>
    <row r="370" spans="1:10" s="45" customFormat="1" ht="13.8" x14ac:dyDescent="0.3">
      <c r="A370" s="623">
        <v>1</v>
      </c>
      <c r="B370" s="1110">
        <v>2</v>
      </c>
      <c r="C370" s="1110"/>
      <c r="D370" s="1110"/>
      <c r="E370" s="1110">
        <v>3</v>
      </c>
      <c r="F370" s="1110"/>
      <c r="G370" s="1110">
        <v>4</v>
      </c>
      <c r="H370" s="1110"/>
      <c r="I370" s="1110">
        <v>5</v>
      </c>
      <c r="J370" s="1110"/>
    </row>
    <row r="371" spans="1:10" s="45" customFormat="1" ht="35.25" customHeight="1" x14ac:dyDescent="0.3">
      <c r="A371" s="1118" t="s">
        <v>993</v>
      </c>
      <c r="B371" s="1119"/>
      <c r="C371" s="1119"/>
      <c r="D371" s="1119"/>
      <c r="E371" s="1119"/>
      <c r="F371" s="1119"/>
      <c r="G371" s="1119"/>
      <c r="H371" s="1119"/>
      <c r="I371" s="1119"/>
      <c r="J371" s="1120"/>
    </row>
    <row r="372" spans="1:10" s="45" customFormat="1" ht="15" customHeight="1" x14ac:dyDescent="0.3">
      <c r="A372" s="623">
        <v>1</v>
      </c>
      <c r="B372" s="1095" t="s">
        <v>914</v>
      </c>
      <c r="C372" s="1096"/>
      <c r="D372" s="1097"/>
      <c r="E372" s="648"/>
      <c r="F372" s="577"/>
      <c r="G372" s="978"/>
      <c r="H372" s="978"/>
      <c r="I372" s="991">
        <v>4000</v>
      </c>
      <c r="J372" s="992"/>
    </row>
    <row r="373" spans="1:10" s="45" customFormat="1" ht="15.6" x14ac:dyDescent="0.3">
      <c r="A373" s="623">
        <v>2</v>
      </c>
      <c r="B373" s="1095" t="s">
        <v>915</v>
      </c>
      <c r="C373" s="1096"/>
      <c r="D373" s="1097"/>
      <c r="E373" s="648"/>
      <c r="F373" s="577"/>
      <c r="G373" s="568"/>
      <c r="H373" s="569"/>
      <c r="I373" s="1073">
        <v>3000</v>
      </c>
      <c r="J373" s="1099"/>
    </row>
    <row r="374" spans="1:10" s="45" customFormat="1" ht="15.6" x14ac:dyDescent="0.3">
      <c r="A374" s="623">
        <v>3</v>
      </c>
      <c r="B374" s="1095" t="s">
        <v>916</v>
      </c>
      <c r="C374" s="1096"/>
      <c r="D374" s="1097"/>
      <c r="E374" s="648"/>
      <c r="F374" s="577"/>
      <c r="G374" s="568"/>
      <c r="H374" s="569"/>
      <c r="I374" s="1073">
        <v>520</v>
      </c>
      <c r="J374" s="1099"/>
    </row>
    <row r="375" spans="1:10" s="45" customFormat="1" ht="15.6" x14ac:dyDescent="0.3">
      <c r="A375" s="623">
        <v>4</v>
      </c>
      <c r="B375" s="1095" t="s">
        <v>917</v>
      </c>
      <c r="C375" s="1096"/>
      <c r="D375" s="1097"/>
      <c r="E375" s="648"/>
      <c r="F375" s="577"/>
      <c r="G375" s="568"/>
      <c r="H375" s="569"/>
      <c r="I375" s="1073">
        <v>1345</v>
      </c>
      <c r="J375" s="1099"/>
    </row>
    <row r="376" spans="1:10" s="45" customFormat="1" ht="15" customHeight="1" x14ac:dyDescent="0.3">
      <c r="A376" s="104"/>
      <c r="B376" s="1098" t="s">
        <v>13</v>
      </c>
      <c r="C376" s="1098"/>
      <c r="D376" s="1098"/>
      <c r="E376" s="1100" t="s">
        <v>74</v>
      </c>
      <c r="F376" s="1100"/>
      <c r="G376" s="1090" t="s">
        <v>14</v>
      </c>
      <c r="H376" s="1090"/>
      <c r="I376" s="1101">
        <f>I372+I373+I374+I375</f>
        <v>8865</v>
      </c>
      <c r="J376" s="1090"/>
    </row>
    <row r="377" spans="1:10" s="45" customFormat="1" ht="18.75" hidden="1" customHeight="1" x14ac:dyDescent="0.3">
      <c r="A377" s="104"/>
      <c r="B377" s="1090" t="s">
        <v>633</v>
      </c>
      <c r="C377" s="1090"/>
      <c r="D377" s="1090"/>
      <c r="E377" s="1100"/>
      <c r="F377" s="1100"/>
      <c r="G377" s="1090"/>
      <c r="H377" s="1090"/>
      <c r="I377" s="1101">
        <f>I376</f>
        <v>8865</v>
      </c>
      <c r="J377" s="1101"/>
    </row>
    <row r="378" spans="1:10" s="45" customFormat="1" ht="48" hidden="1" customHeight="1" x14ac:dyDescent="0.3">
      <c r="A378" s="104" t="s">
        <v>36</v>
      </c>
      <c r="B378" s="999" t="s">
        <v>556</v>
      </c>
      <c r="C378" s="1000"/>
      <c r="D378" s="1001"/>
      <c r="E378" s="648"/>
      <c r="F378" s="577"/>
      <c r="G378" s="978"/>
      <c r="H378" s="978"/>
      <c r="I378" s="991"/>
      <c r="J378" s="992"/>
    </row>
    <row r="379" spans="1:10" s="45" customFormat="1" ht="48" hidden="1" customHeight="1" x14ac:dyDescent="0.3">
      <c r="A379" s="618" t="s">
        <v>77</v>
      </c>
      <c r="B379" s="1125" t="s">
        <v>534</v>
      </c>
      <c r="C379" s="1126"/>
      <c r="D379" s="1127"/>
      <c r="E379" s="1128"/>
      <c r="F379" s="1129"/>
      <c r="G379" s="1128"/>
      <c r="H379" s="1129"/>
      <c r="I379" s="1130">
        <f>I380+I381</f>
        <v>0</v>
      </c>
      <c r="J379" s="1131"/>
    </row>
    <row r="380" spans="1:10" s="45" customFormat="1" ht="30" hidden="1" customHeight="1" x14ac:dyDescent="0.3">
      <c r="A380" s="104" t="s">
        <v>381</v>
      </c>
      <c r="B380" s="999" t="s">
        <v>560</v>
      </c>
      <c r="C380" s="1000"/>
      <c r="D380" s="1001"/>
      <c r="E380" s="648"/>
      <c r="F380" s="577"/>
      <c r="G380" s="823"/>
      <c r="H380" s="824"/>
      <c r="I380" s="1073"/>
      <c r="J380" s="1099"/>
    </row>
    <row r="381" spans="1:10" ht="16.5" hidden="1" customHeight="1" x14ac:dyDescent="0.3">
      <c r="A381" s="104" t="s">
        <v>559</v>
      </c>
      <c r="B381" s="1042"/>
      <c r="C381" s="1042"/>
      <c r="D381" s="1042"/>
      <c r="E381" s="648"/>
      <c r="F381" s="577"/>
      <c r="G381" s="978"/>
      <c r="H381" s="978"/>
      <c r="I381" s="991"/>
      <c r="J381" s="992"/>
    </row>
    <row r="382" spans="1:10" x14ac:dyDescent="0.3">
      <c r="A382" s="104"/>
      <c r="B382" s="1098" t="s">
        <v>13</v>
      </c>
      <c r="C382" s="1098"/>
      <c r="D382" s="1098"/>
      <c r="E382" s="1123" t="s">
        <v>74</v>
      </c>
      <c r="F382" s="1124"/>
      <c r="G382" s="1090" t="s">
        <v>14</v>
      </c>
      <c r="H382" s="1090"/>
      <c r="I382" s="1101">
        <f>SUM(I372:J375)</f>
        <v>8865</v>
      </c>
      <c r="J382" s="1090"/>
    </row>
    <row r="383" spans="1:10" ht="56.25" hidden="1" customHeight="1" x14ac:dyDescent="0.3">
      <c r="A383" s="1118" t="s">
        <v>644</v>
      </c>
      <c r="B383" s="1119"/>
      <c r="C383" s="1119"/>
      <c r="D383" s="1119"/>
      <c r="E383" s="1119"/>
      <c r="F383" s="1119"/>
      <c r="G383" s="1119"/>
      <c r="H383" s="1119"/>
      <c r="I383" s="1119"/>
      <c r="J383" s="1120"/>
    </row>
    <row r="384" spans="1:10" ht="15.6" hidden="1" x14ac:dyDescent="0.3">
      <c r="A384" s="624">
        <v>1</v>
      </c>
      <c r="B384" s="1151" t="s">
        <v>642</v>
      </c>
      <c r="C384" s="1151"/>
      <c r="D384" s="1151"/>
      <c r="E384" s="632"/>
      <c r="F384" s="632"/>
      <c r="G384" s="1090"/>
      <c r="H384" s="1090"/>
      <c r="I384" s="1185">
        <v>0</v>
      </c>
      <c r="J384" s="1185"/>
    </row>
    <row r="385" spans="1:11" hidden="1" x14ac:dyDescent="0.3">
      <c r="A385" s="104"/>
      <c r="B385" s="1090"/>
      <c r="C385" s="1090"/>
      <c r="D385" s="1090"/>
      <c r="E385" s="632"/>
      <c r="F385" s="632"/>
      <c r="G385" s="1090"/>
      <c r="H385" s="1090"/>
      <c r="I385" s="1101">
        <f>I384</f>
        <v>0</v>
      </c>
      <c r="J385" s="1101"/>
    </row>
    <row r="386" spans="1:11" ht="15.6" x14ac:dyDescent="0.3">
      <c r="A386" s="1184" t="s">
        <v>557</v>
      </c>
      <c r="B386" s="1184"/>
      <c r="C386" s="1184"/>
      <c r="D386" s="1184"/>
      <c r="E386" s="1184"/>
      <c r="F386" s="1184"/>
      <c r="G386" s="1184"/>
      <c r="H386" s="1184"/>
      <c r="I386" s="1184"/>
      <c r="J386" s="1184"/>
    </row>
    <row r="387" spans="1:11" x14ac:dyDescent="0.3">
      <c r="A387" s="623" t="s">
        <v>1</v>
      </c>
      <c r="B387" s="1110" t="s">
        <v>15</v>
      </c>
      <c r="C387" s="1110"/>
      <c r="D387" s="1110"/>
      <c r="E387" s="1110" t="s">
        <v>58</v>
      </c>
      <c r="F387" s="1110"/>
      <c r="G387" s="1110" t="s">
        <v>66</v>
      </c>
      <c r="H387" s="1110"/>
      <c r="I387" s="1110" t="s">
        <v>264</v>
      </c>
      <c r="J387" s="1110"/>
    </row>
    <row r="388" spans="1:11" x14ac:dyDescent="0.3">
      <c r="A388" s="623">
        <v>1</v>
      </c>
      <c r="B388" s="1110">
        <v>2</v>
      </c>
      <c r="C388" s="1110"/>
      <c r="D388" s="1110"/>
      <c r="E388" s="1110">
        <v>3</v>
      </c>
      <c r="F388" s="1110"/>
      <c r="G388" s="1110">
        <v>4</v>
      </c>
      <c r="H388" s="1110"/>
      <c r="I388" s="1110">
        <v>5</v>
      </c>
      <c r="J388" s="1110"/>
    </row>
    <row r="389" spans="1:11" ht="33.75" customHeight="1" x14ac:dyDescent="0.3">
      <c r="A389" s="1118" t="s">
        <v>993</v>
      </c>
      <c r="B389" s="1119"/>
      <c r="C389" s="1119"/>
      <c r="D389" s="1119"/>
      <c r="E389" s="1119"/>
      <c r="F389" s="1119"/>
      <c r="G389" s="1119"/>
      <c r="H389" s="1119"/>
      <c r="I389" s="1119"/>
      <c r="J389" s="1120"/>
    </row>
    <row r="390" spans="1:11" ht="21.75" customHeight="1" x14ac:dyDescent="0.3">
      <c r="A390" s="623">
        <v>1</v>
      </c>
      <c r="B390" s="1095" t="s">
        <v>918</v>
      </c>
      <c r="C390" s="1096"/>
      <c r="D390" s="1097"/>
      <c r="E390" s="648"/>
      <c r="F390" s="577"/>
      <c r="G390" s="978"/>
      <c r="H390" s="978"/>
      <c r="I390" s="991">
        <v>3300</v>
      </c>
      <c r="J390" s="992"/>
    </row>
    <row r="391" spans="1:11" ht="19.5" customHeight="1" x14ac:dyDescent="0.3">
      <c r="A391" s="623">
        <v>2</v>
      </c>
      <c r="B391" s="1095" t="s">
        <v>919</v>
      </c>
      <c r="C391" s="1096"/>
      <c r="D391" s="1097"/>
      <c r="E391" s="648"/>
      <c r="F391" s="577"/>
      <c r="G391" s="568"/>
      <c r="H391" s="569"/>
      <c r="I391" s="1073">
        <v>1835</v>
      </c>
      <c r="J391" s="1099"/>
    </row>
    <row r="392" spans="1:11" ht="37.5" customHeight="1" x14ac:dyDescent="0.3">
      <c r="A392" s="1118" t="s">
        <v>992</v>
      </c>
      <c r="B392" s="1119"/>
      <c r="C392" s="1119"/>
      <c r="D392" s="1119"/>
      <c r="E392" s="1119"/>
      <c r="F392" s="1119"/>
      <c r="G392" s="1119"/>
      <c r="H392" s="1119"/>
      <c r="I392" s="1119"/>
      <c r="J392" s="1120"/>
    </row>
    <row r="393" spans="1:11" ht="15.6" x14ac:dyDescent="0.3">
      <c r="A393" s="623">
        <v>3</v>
      </c>
      <c r="B393" s="1095" t="s">
        <v>925</v>
      </c>
      <c r="C393" s="1096"/>
      <c r="D393" s="1097"/>
      <c r="E393" s="648"/>
      <c r="F393" s="577"/>
      <c r="G393" s="568"/>
      <c r="H393" s="569"/>
      <c r="I393" s="1073">
        <v>63200</v>
      </c>
      <c r="J393" s="1099"/>
    </row>
    <row r="394" spans="1:11" ht="34.5" customHeight="1" x14ac:dyDescent="0.3">
      <c r="A394" s="1118" t="s">
        <v>994</v>
      </c>
      <c r="B394" s="1119"/>
      <c r="C394" s="1119"/>
      <c r="D394" s="1119"/>
      <c r="E394" s="1119"/>
      <c r="F394" s="1119"/>
      <c r="G394" s="1119"/>
      <c r="H394" s="1119"/>
      <c r="I394" s="1119"/>
      <c r="J394" s="1120"/>
    </row>
    <row r="395" spans="1:11" ht="31.5" customHeight="1" x14ac:dyDescent="0.3">
      <c r="A395" s="623">
        <v>4</v>
      </c>
      <c r="B395" s="1095" t="s">
        <v>926</v>
      </c>
      <c r="C395" s="1096"/>
      <c r="D395" s="1097"/>
      <c r="E395" s="565"/>
      <c r="F395" s="592"/>
      <c r="G395" s="568"/>
      <c r="H395" s="569"/>
      <c r="I395" s="1073">
        <v>106000</v>
      </c>
      <c r="J395" s="1099"/>
    </row>
    <row r="396" spans="1:11" x14ac:dyDescent="0.3">
      <c r="A396" s="104"/>
      <c r="B396" s="1098" t="s">
        <v>13</v>
      </c>
      <c r="C396" s="1098"/>
      <c r="D396" s="1098"/>
      <c r="E396" s="1123" t="s">
        <v>74</v>
      </c>
      <c r="F396" s="1124"/>
      <c r="G396" s="1090" t="s">
        <v>14</v>
      </c>
      <c r="H396" s="1090"/>
      <c r="I396" s="1101">
        <f>I390+I391+I393+I395</f>
        <v>174335</v>
      </c>
      <c r="J396" s="1090"/>
    </row>
    <row r="397" spans="1:11" ht="23.25" customHeight="1" x14ac:dyDescent="0.3">
      <c r="A397" s="104"/>
      <c r="B397" s="1098" t="s">
        <v>13</v>
      </c>
      <c r="C397" s="1098"/>
      <c r="D397" s="1098"/>
      <c r="E397" s="356"/>
      <c r="F397" s="628"/>
      <c r="G397" s="1107"/>
      <c r="H397" s="1107"/>
      <c r="I397" s="1182">
        <f>I339+I382+I396+I367+I332+I385+I346+I353</f>
        <v>198200</v>
      </c>
      <c r="J397" s="1183"/>
      <c r="K397" s="176">
        <f>I396+I382+I367+I332</f>
        <v>198200</v>
      </c>
    </row>
    <row r="398" spans="1:11" ht="15.6" hidden="1" x14ac:dyDescent="0.3">
      <c r="A398" s="1173" t="s">
        <v>385</v>
      </c>
      <c r="B398" s="1173"/>
      <c r="C398" s="1173"/>
      <c r="D398" s="1173"/>
      <c r="E398" s="1173"/>
      <c r="F398" s="1173"/>
      <c r="G398" s="1173"/>
      <c r="H398" s="1173"/>
      <c r="I398" s="1173"/>
      <c r="J398" s="1173"/>
    </row>
    <row r="399" spans="1:11" hidden="1" x14ac:dyDescent="0.3">
      <c r="A399" s="1174" t="s">
        <v>1</v>
      </c>
      <c r="B399" s="1176" t="s">
        <v>15</v>
      </c>
      <c r="C399" s="1177"/>
      <c r="D399" s="1178"/>
      <c r="E399" s="1176" t="s">
        <v>64</v>
      </c>
      <c r="F399" s="1178"/>
      <c r="G399" s="1110" t="s">
        <v>65</v>
      </c>
      <c r="H399" s="1110"/>
      <c r="I399" s="1110"/>
      <c r="J399" s="1110"/>
    </row>
    <row r="400" spans="1:11" ht="26.4" hidden="1" x14ac:dyDescent="0.3">
      <c r="A400" s="1175"/>
      <c r="B400" s="1179"/>
      <c r="C400" s="1180"/>
      <c r="D400" s="1181"/>
      <c r="E400" s="1179"/>
      <c r="F400" s="1181"/>
      <c r="G400" s="623" t="s">
        <v>305</v>
      </c>
      <c r="H400" s="623" t="s">
        <v>302</v>
      </c>
      <c r="I400" s="623" t="s">
        <v>303</v>
      </c>
      <c r="J400" s="623" t="s">
        <v>304</v>
      </c>
    </row>
    <row r="401" spans="1:10" hidden="1" x14ac:dyDescent="0.3">
      <c r="A401" s="623">
        <v>1</v>
      </c>
      <c r="B401" s="1110">
        <v>2</v>
      </c>
      <c r="C401" s="1110"/>
      <c r="D401" s="1110"/>
      <c r="E401" s="1139">
        <v>3</v>
      </c>
      <c r="F401" s="1140"/>
      <c r="G401" s="1110">
        <v>4</v>
      </c>
      <c r="H401" s="1110"/>
      <c r="I401" s="1110"/>
      <c r="J401" s="1110"/>
    </row>
    <row r="402" spans="1:10" hidden="1" x14ac:dyDescent="0.3">
      <c r="A402" s="624" t="s">
        <v>70</v>
      </c>
      <c r="B402" s="1143" t="s">
        <v>346</v>
      </c>
      <c r="C402" s="1143"/>
      <c r="D402" s="1143"/>
      <c r="E402" s="1116">
        <v>1</v>
      </c>
      <c r="F402" s="1117"/>
      <c r="G402" s="624" t="s">
        <v>306</v>
      </c>
      <c r="H402" s="624">
        <v>1</v>
      </c>
      <c r="I402" s="101"/>
      <c r="J402" s="110">
        <v>0</v>
      </c>
    </row>
    <row r="403" spans="1:10" hidden="1" x14ac:dyDescent="0.3">
      <c r="A403" s="624" t="s">
        <v>75</v>
      </c>
      <c r="B403" s="1143" t="s">
        <v>347</v>
      </c>
      <c r="C403" s="1143"/>
      <c r="D403" s="1143"/>
      <c r="E403" s="1116">
        <v>1</v>
      </c>
      <c r="F403" s="1117"/>
      <c r="G403" s="624" t="s">
        <v>306</v>
      </c>
      <c r="H403" s="624">
        <v>1</v>
      </c>
      <c r="I403" s="101"/>
      <c r="J403" s="110">
        <f t="shared" ref="J403:J404" si="17">H403*I403</f>
        <v>0</v>
      </c>
    </row>
    <row r="404" spans="1:10" hidden="1" x14ac:dyDescent="0.3">
      <c r="A404" s="624" t="s">
        <v>77</v>
      </c>
      <c r="B404" s="1143" t="s">
        <v>342</v>
      </c>
      <c r="C404" s="1143"/>
      <c r="D404" s="1143"/>
      <c r="E404" s="1116">
        <v>1</v>
      </c>
      <c r="F404" s="1117"/>
      <c r="G404" s="624" t="s">
        <v>306</v>
      </c>
      <c r="H404" s="628">
        <v>1</v>
      </c>
      <c r="I404" s="101"/>
      <c r="J404" s="110">
        <f t="shared" si="17"/>
        <v>0</v>
      </c>
    </row>
    <row r="405" spans="1:10" ht="15.6" hidden="1" x14ac:dyDescent="0.3">
      <c r="A405" s="448"/>
      <c r="B405" s="1164" t="s">
        <v>13</v>
      </c>
      <c r="C405" s="1164"/>
      <c r="D405" s="1164"/>
      <c r="E405" s="1165" t="s">
        <v>14</v>
      </c>
      <c r="F405" s="1166"/>
      <c r="G405" s="1167">
        <f>SUM(J402:J404)</f>
        <v>0</v>
      </c>
      <c r="H405" s="1168"/>
      <c r="I405" s="1168"/>
      <c r="J405" s="1168"/>
    </row>
    <row r="406" spans="1:10" hidden="1" x14ac:dyDescent="0.3">
      <c r="A406" s="90"/>
      <c r="B406" s="90"/>
      <c r="C406" s="90"/>
      <c r="D406" s="90"/>
      <c r="E406" s="90"/>
      <c r="F406" s="90"/>
      <c r="G406" s="90"/>
      <c r="H406" s="90"/>
      <c r="I406" s="90"/>
      <c r="J406" s="90"/>
    </row>
    <row r="407" spans="1:10" ht="32.25" customHeight="1" x14ac:dyDescent="0.3">
      <c r="A407" s="90"/>
      <c r="B407" s="90"/>
      <c r="C407" s="90"/>
      <c r="D407" s="90"/>
      <c r="E407" s="90"/>
      <c r="F407" s="90"/>
      <c r="G407" s="90"/>
      <c r="H407" s="105" t="s">
        <v>212</v>
      </c>
      <c r="I407" s="1172">
        <f>J87+J94+I117+I157+I178+I194+I208+I236+G266+G294+I303+I322+I397+G405+I167</f>
        <v>5884599.9960000003</v>
      </c>
      <c r="J407" s="1172"/>
    </row>
    <row r="408" spans="1:10" x14ac:dyDescent="0.3">
      <c r="A408" s="90"/>
      <c r="B408" s="90"/>
      <c r="C408" s="90"/>
      <c r="D408" s="90"/>
      <c r="E408" s="90"/>
      <c r="F408" s="90"/>
      <c r="G408" s="90"/>
      <c r="H408" s="106" t="s">
        <v>248</v>
      </c>
      <c r="I408" s="90"/>
      <c r="J408" s="90"/>
    </row>
    <row r="409" spans="1:10" x14ac:dyDescent="0.3">
      <c r="A409" s="90"/>
      <c r="B409" s="90"/>
      <c r="C409" s="90"/>
      <c r="D409" s="90"/>
      <c r="E409" s="90"/>
      <c r="F409" s="90"/>
      <c r="G409" s="90"/>
      <c r="H409" s="106" t="s">
        <v>927</v>
      </c>
      <c r="I409" s="1163">
        <f>I395</f>
        <v>106000</v>
      </c>
      <c r="J409" s="1163"/>
    </row>
    <row r="410" spans="1:10" x14ac:dyDescent="0.3">
      <c r="A410" s="90"/>
      <c r="B410" s="90"/>
      <c r="C410" s="90"/>
      <c r="D410" s="90"/>
      <c r="E410" s="90"/>
      <c r="F410" s="90"/>
      <c r="G410" s="90"/>
      <c r="H410" s="106" t="s">
        <v>586</v>
      </c>
      <c r="I410" s="1163">
        <f>I103+I115+I116+J274+J275+I310+I311+I358+I372+I373+I374+I375+I390+I391+J276</f>
        <v>252000</v>
      </c>
      <c r="J410" s="1163"/>
    </row>
    <row r="411" spans="1:10" ht="15.75" customHeight="1" x14ac:dyDescent="0.3">
      <c r="A411" s="90"/>
      <c r="B411" s="90"/>
      <c r="C411" s="90"/>
      <c r="D411" s="90"/>
      <c r="E411" s="90"/>
      <c r="F411" s="90"/>
      <c r="G411" s="90"/>
      <c r="H411" s="106" t="s">
        <v>928</v>
      </c>
      <c r="I411" s="1163">
        <f>I393+J282</f>
        <v>83200</v>
      </c>
      <c r="J411" s="1163"/>
    </row>
    <row r="412" spans="1:10" x14ac:dyDescent="0.3">
      <c r="A412" s="90"/>
      <c r="B412" s="90"/>
      <c r="C412" s="90"/>
      <c r="D412" s="90"/>
      <c r="E412" s="90"/>
      <c r="F412" s="90"/>
      <c r="G412" s="90"/>
      <c r="H412" s="106" t="s">
        <v>587</v>
      </c>
      <c r="I412" s="1163">
        <f>J248</f>
        <v>0</v>
      </c>
      <c r="J412" s="1163"/>
    </row>
    <row r="413" spans="1:10" hidden="1" x14ac:dyDescent="0.3">
      <c r="A413" s="90"/>
      <c r="B413" s="90"/>
      <c r="C413" s="90"/>
      <c r="D413" s="90"/>
      <c r="E413" s="90"/>
      <c r="F413" s="90"/>
      <c r="G413" s="90"/>
      <c r="H413" s="106" t="s">
        <v>613</v>
      </c>
      <c r="I413" s="1163">
        <f>I167</f>
        <v>0</v>
      </c>
      <c r="J413" s="1163"/>
    </row>
    <row r="414" spans="1:10" hidden="1" x14ac:dyDescent="0.3">
      <c r="A414" s="247"/>
      <c r="B414" s="247"/>
      <c r="C414" s="247"/>
      <c r="D414" s="644"/>
      <c r="E414" s="644"/>
      <c r="F414" s="645"/>
      <c r="G414" s="1111" t="s">
        <v>619</v>
      </c>
      <c r="H414" s="1111"/>
      <c r="I414" s="1091">
        <v>0</v>
      </c>
      <c r="J414" s="1171"/>
    </row>
    <row r="415" spans="1:10" ht="14.25" hidden="1" customHeight="1" x14ac:dyDescent="0.3">
      <c r="A415" s="247"/>
      <c r="B415" s="247"/>
      <c r="C415" s="247"/>
      <c r="D415" s="1111" t="s">
        <v>630</v>
      </c>
      <c r="E415" s="1111"/>
      <c r="F415" s="1111"/>
      <c r="G415" s="1111"/>
      <c r="H415" s="1111"/>
      <c r="I415" s="1091">
        <f>J252</f>
        <v>0</v>
      </c>
      <c r="J415" s="1091"/>
    </row>
    <row r="416" spans="1:10" ht="16.5" hidden="1" customHeight="1" x14ac:dyDescent="0.3">
      <c r="A416" s="247"/>
      <c r="B416" s="247"/>
      <c r="C416" s="247"/>
      <c r="D416" s="644"/>
      <c r="E416" s="644"/>
      <c r="F416" s="1111" t="s">
        <v>621</v>
      </c>
      <c r="G416" s="1111"/>
      <c r="H416" s="1111"/>
      <c r="I416" s="1091">
        <f>I315</f>
        <v>0</v>
      </c>
      <c r="J416" s="1091"/>
    </row>
    <row r="417" spans="1:10" x14ac:dyDescent="0.3">
      <c r="A417" s="247"/>
      <c r="B417" s="247"/>
      <c r="C417" s="247"/>
      <c r="D417" s="644"/>
      <c r="E417" s="644"/>
      <c r="F417" s="1170" t="s">
        <v>635</v>
      </c>
      <c r="G417" s="1170"/>
      <c r="H417" s="1170"/>
      <c r="I417" s="1091">
        <f>J68+I139+I93</f>
        <v>5443400</v>
      </c>
      <c r="J417" s="1091"/>
    </row>
    <row r="418" spans="1:10" hidden="1" x14ac:dyDescent="0.3">
      <c r="A418" s="247"/>
      <c r="B418" s="247"/>
      <c r="C418" s="247"/>
      <c r="D418" s="644"/>
      <c r="E418" s="644"/>
      <c r="F418" s="636"/>
      <c r="G418" s="636"/>
      <c r="H418" s="636" t="s">
        <v>643</v>
      </c>
      <c r="I418" s="1091">
        <f>I385</f>
        <v>0</v>
      </c>
      <c r="J418" s="1091"/>
    </row>
    <row r="419" spans="1:10" x14ac:dyDescent="0.3">
      <c r="A419" s="1169" t="s">
        <v>262</v>
      </c>
      <c r="B419" s="1169"/>
      <c r="C419" s="1169"/>
      <c r="D419" s="150"/>
      <c r="E419" s="150"/>
      <c r="F419" s="151" t="s">
        <v>471</v>
      </c>
      <c r="G419" s="151"/>
      <c r="H419" s="151"/>
      <c r="I419" s="151"/>
      <c r="J419" s="46"/>
    </row>
    <row r="420" spans="1:10" x14ac:dyDescent="0.3">
      <c r="A420" s="637"/>
      <c r="B420" s="637"/>
      <c r="C420" s="637"/>
      <c r="D420" s="1025" t="s">
        <v>279</v>
      </c>
      <c r="E420" s="1025"/>
      <c r="F420" s="1026" t="s">
        <v>280</v>
      </c>
      <c r="G420" s="1026"/>
      <c r="H420" s="1026"/>
      <c r="I420" s="1026"/>
      <c r="J420" s="45"/>
    </row>
    <row r="421" spans="1:10" x14ac:dyDescent="0.3">
      <c r="A421" s="1169" t="s">
        <v>470</v>
      </c>
      <c r="B421" s="1169"/>
      <c r="C421" s="1169"/>
      <c r="D421" s="150"/>
      <c r="E421" s="150"/>
      <c r="F421" s="151" t="s">
        <v>472</v>
      </c>
      <c r="G421" s="151"/>
      <c r="H421" s="151"/>
      <c r="I421" s="151"/>
      <c r="J421" s="46"/>
    </row>
    <row r="422" spans="1:10" x14ac:dyDescent="0.3">
      <c r="A422" s="548"/>
      <c r="B422" s="548"/>
      <c r="C422" s="548"/>
      <c r="D422" s="1025" t="s">
        <v>279</v>
      </c>
      <c r="E422" s="1025"/>
      <c r="F422" s="1026" t="s">
        <v>280</v>
      </c>
      <c r="G422" s="1026"/>
      <c r="H422" s="1026"/>
      <c r="I422" s="1026"/>
      <c r="J422" s="45"/>
    </row>
    <row r="423" spans="1:10" x14ac:dyDescent="0.3">
      <c r="A423" s="548"/>
      <c r="B423" s="548"/>
      <c r="C423" s="548"/>
      <c r="D423" s="548"/>
      <c r="E423" s="548"/>
      <c r="F423" s="548"/>
      <c r="G423" s="45"/>
      <c r="H423" s="45"/>
      <c r="I423" s="45"/>
      <c r="J423" s="45"/>
    </row>
    <row r="424" spans="1:10" x14ac:dyDescent="0.3">
      <c r="A424" s="1152" t="s">
        <v>473</v>
      </c>
      <c r="B424" s="1152"/>
      <c r="C424" s="548"/>
      <c r="D424" s="548"/>
      <c r="E424" s="548"/>
      <c r="F424" s="548"/>
      <c r="G424" s="45"/>
      <c r="H424" s="45"/>
      <c r="I424" s="45"/>
      <c r="J424" s="45"/>
    </row>
    <row r="425" spans="1:10" x14ac:dyDescent="0.3">
      <c r="A425" s="548"/>
      <c r="B425" s="548"/>
      <c r="C425" s="548"/>
      <c r="D425" s="548"/>
      <c r="E425" s="548"/>
      <c r="F425" s="548"/>
      <c r="G425" s="45"/>
      <c r="H425" s="45"/>
      <c r="I425" s="45"/>
      <c r="J425" s="45"/>
    </row>
    <row r="426" spans="1:10" x14ac:dyDescent="0.3">
      <c r="A426" s="758"/>
      <c r="B426" s="758"/>
      <c r="C426" s="548"/>
      <c r="D426" s="548"/>
      <c r="E426" s="548"/>
      <c r="F426" s="548"/>
      <c r="G426" s="45"/>
      <c r="H426" s="45"/>
      <c r="I426" s="45"/>
      <c r="J426" s="45"/>
    </row>
  </sheetData>
  <mergeCells count="874">
    <mergeCell ref="D422:E422"/>
    <mergeCell ref="F422:I422"/>
    <mergeCell ref="A426:B426"/>
    <mergeCell ref="A399:A400"/>
    <mergeCell ref="B399:D400"/>
    <mergeCell ref="E399:F400"/>
    <mergeCell ref="G401:J401"/>
    <mergeCell ref="B404:D404"/>
    <mergeCell ref="E404:F404"/>
    <mergeCell ref="B405:D405"/>
    <mergeCell ref="E405:F405"/>
    <mergeCell ref="G405:J405"/>
    <mergeCell ref="A419:C419"/>
    <mergeCell ref="D420:E420"/>
    <mergeCell ref="F420:I420"/>
    <mergeCell ref="A424:B424"/>
    <mergeCell ref="I412:J412"/>
    <mergeCell ref="I413:J413"/>
    <mergeCell ref="I414:J414"/>
    <mergeCell ref="I415:J415"/>
    <mergeCell ref="I416:J416"/>
    <mergeCell ref="G414:H414"/>
    <mergeCell ref="D415:H415"/>
    <mergeCell ref="F416:H416"/>
    <mergeCell ref="A333:J333"/>
    <mergeCell ref="B334:D334"/>
    <mergeCell ref="E366:F366"/>
    <mergeCell ref="A368:J368"/>
    <mergeCell ref="B369:D369"/>
    <mergeCell ref="E369:F369"/>
    <mergeCell ref="G369:H369"/>
    <mergeCell ref="I369:J369"/>
    <mergeCell ref="B362:D362"/>
    <mergeCell ref="G362:H362"/>
    <mergeCell ref="I362:J362"/>
    <mergeCell ref="B366:D366"/>
    <mergeCell ref="G366:H366"/>
    <mergeCell ref="I366:J366"/>
    <mergeCell ref="B367:D367"/>
    <mergeCell ref="G367:H367"/>
    <mergeCell ref="I367:J367"/>
    <mergeCell ref="B364:D364"/>
    <mergeCell ref="I364:J364"/>
    <mergeCell ref="B365:D365"/>
    <mergeCell ref="I365:J365"/>
    <mergeCell ref="E367:F367"/>
    <mergeCell ref="A361:J361"/>
    <mergeCell ref="B363:D363"/>
    <mergeCell ref="B355:D355"/>
    <mergeCell ref="E355:F355"/>
    <mergeCell ref="G355:H355"/>
    <mergeCell ref="I355:J355"/>
    <mergeCell ref="E353:F353"/>
    <mergeCell ref="A354:J354"/>
    <mergeCell ref="B356:D356"/>
    <mergeCell ref="B358:D358"/>
    <mergeCell ref="G358:H358"/>
    <mergeCell ref="I358:J358"/>
    <mergeCell ref="E356:F356"/>
    <mergeCell ref="G351:H351"/>
    <mergeCell ref="I351:J351"/>
    <mergeCell ref="B353:D353"/>
    <mergeCell ref="G353:H353"/>
    <mergeCell ref="I353:J353"/>
    <mergeCell ref="B351:D351"/>
    <mergeCell ref="B352:D352"/>
    <mergeCell ref="G352:H352"/>
    <mergeCell ref="I352:J352"/>
    <mergeCell ref="B316:D316"/>
    <mergeCell ref="G316:H316"/>
    <mergeCell ref="I316:J316"/>
    <mergeCell ref="A314:J314"/>
    <mergeCell ref="B310:D310"/>
    <mergeCell ref="G310:H310"/>
    <mergeCell ref="I310:J310"/>
    <mergeCell ref="E325:F325"/>
    <mergeCell ref="G325:H325"/>
    <mergeCell ref="I325:J325"/>
    <mergeCell ref="A317:J317"/>
    <mergeCell ref="B319:D319"/>
    <mergeCell ref="G319:H319"/>
    <mergeCell ref="I319:J319"/>
    <mergeCell ref="B322:D322"/>
    <mergeCell ref="G322:H322"/>
    <mergeCell ref="I322:J322"/>
    <mergeCell ref="F417:H417"/>
    <mergeCell ref="I417:J417"/>
    <mergeCell ref="I418:J418"/>
    <mergeCell ref="A421:C421"/>
    <mergeCell ref="B403:D403"/>
    <mergeCell ref="E403:F403"/>
    <mergeCell ref="I407:J407"/>
    <mergeCell ref="I409:J409"/>
    <mergeCell ref="I410:J410"/>
    <mergeCell ref="I411:J411"/>
    <mergeCell ref="G399:J399"/>
    <mergeCell ref="B401:D401"/>
    <mergeCell ref="E401:F401"/>
    <mergeCell ref="B402:D402"/>
    <mergeCell ref="E402:F402"/>
    <mergeCell ref="B395:D395"/>
    <mergeCell ref="I395:J395"/>
    <mergeCell ref="A394:J394"/>
    <mergeCell ref="B396:D396"/>
    <mergeCell ref="E396:F396"/>
    <mergeCell ref="G396:H396"/>
    <mergeCell ref="I396:J396"/>
    <mergeCell ref="B397:D397"/>
    <mergeCell ref="G397:H397"/>
    <mergeCell ref="I397:J397"/>
    <mergeCell ref="A398:J398"/>
    <mergeCell ref="B388:D388"/>
    <mergeCell ref="E388:F388"/>
    <mergeCell ref="G388:H388"/>
    <mergeCell ref="A389:J389"/>
    <mergeCell ref="B390:D390"/>
    <mergeCell ref="G390:H390"/>
    <mergeCell ref="B391:D391"/>
    <mergeCell ref="B393:D393"/>
    <mergeCell ref="I388:J388"/>
    <mergeCell ref="I390:J390"/>
    <mergeCell ref="I391:J391"/>
    <mergeCell ref="I393:J393"/>
    <mergeCell ref="A392:J392"/>
    <mergeCell ref="G384:H384"/>
    <mergeCell ref="I384:J384"/>
    <mergeCell ref="G385:H385"/>
    <mergeCell ref="I385:J385"/>
    <mergeCell ref="A386:J386"/>
    <mergeCell ref="B387:D387"/>
    <mergeCell ref="E387:F387"/>
    <mergeCell ref="G387:H387"/>
    <mergeCell ref="I387:J387"/>
    <mergeCell ref="B384:D384"/>
    <mergeCell ref="B385:D385"/>
    <mergeCell ref="B380:D380"/>
    <mergeCell ref="G380:H380"/>
    <mergeCell ref="I380:J380"/>
    <mergeCell ref="B381:D381"/>
    <mergeCell ref="G381:H381"/>
    <mergeCell ref="I381:J381"/>
    <mergeCell ref="G382:H382"/>
    <mergeCell ref="I382:J382"/>
    <mergeCell ref="A383:J383"/>
    <mergeCell ref="B382:D382"/>
    <mergeCell ref="E382:F382"/>
    <mergeCell ref="B308:D308"/>
    <mergeCell ref="G308:H308"/>
    <mergeCell ref="I308:J308"/>
    <mergeCell ref="B315:D315"/>
    <mergeCell ref="G315:H315"/>
    <mergeCell ref="I315:J315"/>
    <mergeCell ref="B313:D313"/>
    <mergeCell ref="G313:H313"/>
    <mergeCell ref="I313:J313"/>
    <mergeCell ref="A309:J309"/>
    <mergeCell ref="E310:F310"/>
    <mergeCell ref="B311:D311"/>
    <mergeCell ref="E311:F311"/>
    <mergeCell ref="G311:H311"/>
    <mergeCell ref="I311:J311"/>
    <mergeCell ref="A312:J312"/>
    <mergeCell ref="A243:A244"/>
    <mergeCell ref="B243:D244"/>
    <mergeCell ref="E243:E244"/>
    <mergeCell ref="F243:F244"/>
    <mergeCell ref="G243:J243"/>
    <mergeCell ref="G245:J245"/>
    <mergeCell ref="A246:J246"/>
    <mergeCell ref="B260:D260"/>
    <mergeCell ref="B261:D261"/>
    <mergeCell ref="B252:D252"/>
    <mergeCell ref="B253:D253"/>
    <mergeCell ref="B254:D254"/>
    <mergeCell ref="B255:D255"/>
    <mergeCell ref="B256:D256"/>
    <mergeCell ref="B245:D245"/>
    <mergeCell ref="B247:D247"/>
    <mergeCell ref="B248:D248"/>
    <mergeCell ref="B249:D249"/>
    <mergeCell ref="B250:D250"/>
    <mergeCell ref="B257:D257"/>
    <mergeCell ref="B258:D258"/>
    <mergeCell ref="B259:D259"/>
    <mergeCell ref="A251:J251"/>
    <mergeCell ref="E240:F240"/>
    <mergeCell ref="G240:H240"/>
    <mergeCell ref="I240:J240"/>
    <mergeCell ref="B241:D241"/>
    <mergeCell ref="E241:F241"/>
    <mergeCell ref="G241:H241"/>
    <mergeCell ref="I241:J241"/>
    <mergeCell ref="A242:J242"/>
    <mergeCell ref="B240:D240"/>
    <mergeCell ref="A195:J195"/>
    <mergeCell ref="A198:J198"/>
    <mergeCell ref="B204:D204"/>
    <mergeCell ref="G204:H204"/>
    <mergeCell ref="I204:J204"/>
    <mergeCell ref="B205:D205"/>
    <mergeCell ref="G205:H205"/>
    <mergeCell ref="I205:J205"/>
    <mergeCell ref="B199:D199"/>
    <mergeCell ref="G199:H199"/>
    <mergeCell ref="I199:J199"/>
    <mergeCell ref="B202:D202"/>
    <mergeCell ref="G202:H202"/>
    <mergeCell ref="I202:J202"/>
    <mergeCell ref="B203:D203"/>
    <mergeCell ref="G203:H203"/>
    <mergeCell ref="I203:J203"/>
    <mergeCell ref="B200:D200"/>
    <mergeCell ref="G200:H200"/>
    <mergeCell ref="I200:J200"/>
    <mergeCell ref="B201:D201"/>
    <mergeCell ref="G201:H201"/>
    <mergeCell ref="I201:J201"/>
    <mergeCell ref="A179:J179"/>
    <mergeCell ref="K179:L179"/>
    <mergeCell ref="B182:D182"/>
    <mergeCell ref="E182:F182"/>
    <mergeCell ref="G182:H182"/>
    <mergeCell ref="I182:J182"/>
    <mergeCell ref="I191:J191"/>
    <mergeCell ref="B192:D192"/>
    <mergeCell ref="E192:F192"/>
    <mergeCell ref="G192:H192"/>
    <mergeCell ref="I192:J192"/>
    <mergeCell ref="B185:D185"/>
    <mergeCell ref="E185:F185"/>
    <mergeCell ref="G185:H185"/>
    <mergeCell ref="I185:J185"/>
    <mergeCell ref="B183:D183"/>
    <mergeCell ref="E183:F183"/>
    <mergeCell ref="G183:H183"/>
    <mergeCell ref="I183:J183"/>
    <mergeCell ref="B184:D184"/>
    <mergeCell ref="E184:F184"/>
    <mergeCell ref="G184:H184"/>
    <mergeCell ref="I184:J184"/>
    <mergeCell ref="A186:J186"/>
    <mergeCell ref="A168:J168"/>
    <mergeCell ref="A173:A174"/>
    <mergeCell ref="B173:C174"/>
    <mergeCell ref="E174:F174"/>
    <mergeCell ref="G174:H174"/>
    <mergeCell ref="I174:J174"/>
    <mergeCell ref="B175:D175"/>
    <mergeCell ref="E175:F175"/>
    <mergeCell ref="G175:H175"/>
    <mergeCell ref="I175:J175"/>
    <mergeCell ref="E173:F173"/>
    <mergeCell ref="G173:H173"/>
    <mergeCell ref="I173:J173"/>
    <mergeCell ref="B171:D171"/>
    <mergeCell ref="E171:F171"/>
    <mergeCell ref="G171:H171"/>
    <mergeCell ref="I171:J171"/>
    <mergeCell ref="B172:D172"/>
    <mergeCell ref="E172:F172"/>
    <mergeCell ref="G172:H172"/>
    <mergeCell ref="I172:J172"/>
    <mergeCell ref="K157:L157"/>
    <mergeCell ref="A158:J158"/>
    <mergeCell ref="A159:J159"/>
    <mergeCell ref="B163:D163"/>
    <mergeCell ref="E163:F163"/>
    <mergeCell ref="G163:H163"/>
    <mergeCell ref="I163:J163"/>
    <mergeCell ref="G157:H157"/>
    <mergeCell ref="I157:J157"/>
    <mergeCell ref="A1:J1"/>
    <mergeCell ref="A2:J2"/>
    <mergeCell ref="A3:J3"/>
    <mergeCell ref="A5:J5"/>
    <mergeCell ref="A8:J8"/>
    <mergeCell ref="A9:A11"/>
    <mergeCell ref="B9:B11"/>
    <mergeCell ref="C9:C11"/>
    <mergeCell ref="D9:G9"/>
    <mergeCell ref="H9:H11"/>
    <mergeCell ref="A22:J22"/>
    <mergeCell ref="A23:J23"/>
    <mergeCell ref="A36:J36"/>
    <mergeCell ref="A51:J51"/>
    <mergeCell ref="A56:J56"/>
    <mergeCell ref="A65:I65"/>
    <mergeCell ref="I9:I11"/>
    <mergeCell ref="J9:J11"/>
    <mergeCell ref="D10:D11"/>
    <mergeCell ref="E10:G10"/>
    <mergeCell ref="A13:J13"/>
    <mergeCell ref="A14:J14"/>
    <mergeCell ref="A66:B66"/>
    <mergeCell ref="A68:I68"/>
    <mergeCell ref="A71:A73"/>
    <mergeCell ref="B71:B73"/>
    <mergeCell ref="C71:C73"/>
    <mergeCell ref="D71:G71"/>
    <mergeCell ref="H71:H73"/>
    <mergeCell ref="I71:I73"/>
    <mergeCell ref="A67:B67"/>
    <mergeCell ref="A85:J85"/>
    <mergeCell ref="A86:B86"/>
    <mergeCell ref="A87:I87"/>
    <mergeCell ref="A89:J89"/>
    <mergeCell ref="B90:D90"/>
    <mergeCell ref="E90:F90"/>
    <mergeCell ref="G90:H90"/>
    <mergeCell ref="I90:J90"/>
    <mergeCell ref="J71:J73"/>
    <mergeCell ref="D72:D73"/>
    <mergeCell ref="E72:G72"/>
    <mergeCell ref="A75:J75"/>
    <mergeCell ref="A82:I82"/>
    <mergeCell ref="A83:I83"/>
    <mergeCell ref="B93:D93"/>
    <mergeCell ref="E93:F93"/>
    <mergeCell ref="G93:H93"/>
    <mergeCell ref="I93:J93"/>
    <mergeCell ref="B94:D94"/>
    <mergeCell ref="E94:F94"/>
    <mergeCell ref="G94:H94"/>
    <mergeCell ref="B91:D91"/>
    <mergeCell ref="E91:F91"/>
    <mergeCell ref="G91:H91"/>
    <mergeCell ref="I91:J91"/>
    <mergeCell ref="B92:D92"/>
    <mergeCell ref="E92:F92"/>
    <mergeCell ref="G92:H92"/>
    <mergeCell ref="I92:J92"/>
    <mergeCell ref="A98:J98"/>
    <mergeCell ref="A99:J99"/>
    <mergeCell ref="B100:D100"/>
    <mergeCell ref="E100:F100"/>
    <mergeCell ref="G100:H100"/>
    <mergeCell ref="I100:J100"/>
    <mergeCell ref="A95:J95"/>
    <mergeCell ref="B96:D96"/>
    <mergeCell ref="E96:F96"/>
    <mergeCell ref="I96:J96"/>
    <mergeCell ref="B97:D97"/>
    <mergeCell ref="E97:F97"/>
    <mergeCell ref="I97:J97"/>
    <mergeCell ref="B104:D104"/>
    <mergeCell ref="E104:F104"/>
    <mergeCell ref="G104:H104"/>
    <mergeCell ref="I104:J104"/>
    <mergeCell ref="B105:D105"/>
    <mergeCell ref="E105:F105"/>
    <mergeCell ref="G105:H105"/>
    <mergeCell ref="I105:J105"/>
    <mergeCell ref="B101:D101"/>
    <mergeCell ref="E101:F101"/>
    <mergeCell ref="G101:H101"/>
    <mergeCell ref="I101:J101"/>
    <mergeCell ref="A102:J102"/>
    <mergeCell ref="B103:D103"/>
    <mergeCell ref="E103:F103"/>
    <mergeCell ref="G103:H103"/>
    <mergeCell ref="I103:J103"/>
    <mergeCell ref="B109:D109"/>
    <mergeCell ref="E109:F109"/>
    <mergeCell ref="I109:J109"/>
    <mergeCell ref="A110:J110"/>
    <mergeCell ref="B106:D106"/>
    <mergeCell ref="E106:F106"/>
    <mergeCell ref="G106:H106"/>
    <mergeCell ref="I106:J106"/>
    <mergeCell ref="A107:J107"/>
    <mergeCell ref="B108:D108"/>
    <mergeCell ref="E108:F108"/>
    <mergeCell ref="I108:J108"/>
    <mergeCell ref="A111:J111"/>
    <mergeCell ref="B115:D115"/>
    <mergeCell ref="E115:F115"/>
    <mergeCell ref="I115:J115"/>
    <mergeCell ref="B116:D116"/>
    <mergeCell ref="E116:F116"/>
    <mergeCell ref="I116:J116"/>
    <mergeCell ref="B112:D112"/>
    <mergeCell ref="E112:F112"/>
    <mergeCell ref="I112:J112"/>
    <mergeCell ref="B113:D113"/>
    <mergeCell ref="E113:F113"/>
    <mergeCell ref="I113:J113"/>
    <mergeCell ref="A114:J114"/>
    <mergeCell ref="I120:J120"/>
    <mergeCell ref="I121:J121"/>
    <mergeCell ref="B117:D117"/>
    <mergeCell ref="E117:F117"/>
    <mergeCell ref="I117:J117"/>
    <mergeCell ref="A118:J118"/>
    <mergeCell ref="I119:J119"/>
    <mergeCell ref="B119:D119"/>
    <mergeCell ref="E119:F119"/>
    <mergeCell ref="B120:D120"/>
    <mergeCell ref="E120:F120"/>
    <mergeCell ref="B121:D121"/>
    <mergeCell ref="E121:F121"/>
    <mergeCell ref="B124:F124"/>
    <mergeCell ref="G124:H124"/>
    <mergeCell ref="I124:J124"/>
    <mergeCell ref="B125:F125"/>
    <mergeCell ref="G125:H125"/>
    <mergeCell ref="I125:J125"/>
    <mergeCell ref="I122:J122"/>
    <mergeCell ref="B122:D122"/>
    <mergeCell ref="E122:F122"/>
    <mergeCell ref="A123:J123"/>
    <mergeCell ref="B128:F128"/>
    <mergeCell ref="G128:H128"/>
    <mergeCell ref="I128:J128"/>
    <mergeCell ref="B129:F129"/>
    <mergeCell ref="G129:H129"/>
    <mergeCell ref="I129:J129"/>
    <mergeCell ref="B126:F126"/>
    <mergeCell ref="G126:H126"/>
    <mergeCell ref="I126:J126"/>
    <mergeCell ref="B127:F127"/>
    <mergeCell ref="G127:H127"/>
    <mergeCell ref="I127:J127"/>
    <mergeCell ref="B132:F132"/>
    <mergeCell ref="G132:H132"/>
    <mergeCell ref="I132:J132"/>
    <mergeCell ref="B133:F133"/>
    <mergeCell ref="G133:H133"/>
    <mergeCell ref="I133:J133"/>
    <mergeCell ref="B130:F130"/>
    <mergeCell ref="G130:H130"/>
    <mergeCell ref="I130:J130"/>
    <mergeCell ref="B131:F131"/>
    <mergeCell ref="G131:H131"/>
    <mergeCell ref="I131:J131"/>
    <mergeCell ref="B136:F136"/>
    <mergeCell ref="G136:H136"/>
    <mergeCell ref="I136:J136"/>
    <mergeCell ref="B137:F137"/>
    <mergeCell ref="G137:H137"/>
    <mergeCell ref="I137:J137"/>
    <mergeCell ref="B134:F134"/>
    <mergeCell ref="G134:H134"/>
    <mergeCell ref="I134:J134"/>
    <mergeCell ref="B135:F135"/>
    <mergeCell ref="G135:H135"/>
    <mergeCell ref="I135:J135"/>
    <mergeCell ref="B140:F140"/>
    <mergeCell ref="G140:H140"/>
    <mergeCell ref="I140:J140"/>
    <mergeCell ref="B141:F141"/>
    <mergeCell ref="G141:H141"/>
    <mergeCell ref="I141:J141"/>
    <mergeCell ref="B138:F138"/>
    <mergeCell ref="G138:H138"/>
    <mergeCell ref="I138:J138"/>
    <mergeCell ref="B139:F139"/>
    <mergeCell ref="G139:H139"/>
    <mergeCell ref="I139:J139"/>
    <mergeCell ref="B144:F144"/>
    <mergeCell ref="G144:H144"/>
    <mergeCell ref="I144:J144"/>
    <mergeCell ref="B145:F145"/>
    <mergeCell ref="G145:H145"/>
    <mergeCell ref="I145:J145"/>
    <mergeCell ref="B142:F142"/>
    <mergeCell ref="G142:H142"/>
    <mergeCell ref="I142:J142"/>
    <mergeCell ref="B143:F143"/>
    <mergeCell ref="G143:H143"/>
    <mergeCell ref="I143:J143"/>
    <mergeCell ref="B148:F148"/>
    <mergeCell ref="G148:H148"/>
    <mergeCell ref="I148:J148"/>
    <mergeCell ref="B149:F149"/>
    <mergeCell ref="G149:H149"/>
    <mergeCell ref="I149:J149"/>
    <mergeCell ref="B146:F146"/>
    <mergeCell ref="G146:H146"/>
    <mergeCell ref="I146:J146"/>
    <mergeCell ref="B147:F147"/>
    <mergeCell ref="G147:H147"/>
    <mergeCell ref="I147:J147"/>
    <mergeCell ref="B150:F150"/>
    <mergeCell ref="G150:H150"/>
    <mergeCell ref="I150:J150"/>
    <mergeCell ref="B151:F151"/>
    <mergeCell ref="I151:J151"/>
    <mergeCell ref="B152:F152"/>
    <mergeCell ref="G152:H152"/>
    <mergeCell ref="I152:J152"/>
    <mergeCell ref="G151:H151"/>
    <mergeCell ref="I166:J166"/>
    <mergeCell ref="B153:F153"/>
    <mergeCell ref="G153:H153"/>
    <mergeCell ref="I153:J153"/>
    <mergeCell ref="B154:F154"/>
    <mergeCell ref="G154:H154"/>
    <mergeCell ref="I154:J154"/>
    <mergeCell ref="B155:F155"/>
    <mergeCell ref="G155:H155"/>
    <mergeCell ref="B162:D162"/>
    <mergeCell ref="E162:F162"/>
    <mergeCell ref="G162:H162"/>
    <mergeCell ref="I162:J162"/>
    <mergeCell ref="I155:J155"/>
    <mergeCell ref="B156:F156"/>
    <mergeCell ref="I156:J156"/>
    <mergeCell ref="B157:F157"/>
    <mergeCell ref="A164:J164"/>
    <mergeCell ref="B165:D165"/>
    <mergeCell ref="E165:F165"/>
    <mergeCell ref="G165:H165"/>
    <mergeCell ref="B177:D177"/>
    <mergeCell ref="E177:F177"/>
    <mergeCell ref="G177:H177"/>
    <mergeCell ref="I177:J177"/>
    <mergeCell ref="B178:D178"/>
    <mergeCell ref="E178:F178"/>
    <mergeCell ref="G178:H178"/>
    <mergeCell ref="I178:J178"/>
    <mergeCell ref="B176:D176"/>
    <mergeCell ref="E176:F176"/>
    <mergeCell ref="G176:H176"/>
    <mergeCell ref="I176:J176"/>
    <mergeCell ref="B167:D167"/>
    <mergeCell ref="E167:F167"/>
    <mergeCell ref="G167:H167"/>
    <mergeCell ref="I167:J167"/>
    <mergeCell ref="I165:J165"/>
    <mergeCell ref="B166:D166"/>
    <mergeCell ref="E166:F166"/>
    <mergeCell ref="G166:H166"/>
    <mergeCell ref="B194:D194"/>
    <mergeCell ref="G194:H194"/>
    <mergeCell ref="I194:J194"/>
    <mergeCell ref="A189:J189"/>
    <mergeCell ref="B190:D190"/>
    <mergeCell ref="E190:F190"/>
    <mergeCell ref="G190:H190"/>
    <mergeCell ref="I190:J190"/>
    <mergeCell ref="B191:D191"/>
    <mergeCell ref="E191:F191"/>
    <mergeCell ref="G191:H191"/>
    <mergeCell ref="B193:D193"/>
    <mergeCell ref="E193:F193"/>
    <mergeCell ref="G193:H193"/>
    <mergeCell ref="I193:J193"/>
    <mergeCell ref="E194:F194"/>
    <mergeCell ref="B208:D208"/>
    <mergeCell ref="G208:H208"/>
    <mergeCell ref="I208:J208"/>
    <mergeCell ref="B206:D206"/>
    <mergeCell ref="G206:H206"/>
    <mergeCell ref="I206:J206"/>
    <mergeCell ref="B207:D207"/>
    <mergeCell ref="G207:H207"/>
    <mergeCell ref="I207:J207"/>
    <mergeCell ref="B213:D213"/>
    <mergeCell ref="I213:J213"/>
    <mergeCell ref="B214:D214"/>
    <mergeCell ref="I214:J214"/>
    <mergeCell ref="A210:J210"/>
    <mergeCell ref="B211:D211"/>
    <mergeCell ref="I211:J211"/>
    <mergeCell ref="B212:D212"/>
    <mergeCell ref="I212:J212"/>
    <mergeCell ref="E211:F211"/>
    <mergeCell ref="G211:H211"/>
    <mergeCell ref="E212:F212"/>
    <mergeCell ref="G212:H212"/>
    <mergeCell ref="E213:F213"/>
    <mergeCell ref="G213:H213"/>
    <mergeCell ref="E214:F214"/>
    <mergeCell ref="G214:H214"/>
    <mergeCell ref="A215:J215"/>
    <mergeCell ref="B221:D221"/>
    <mergeCell ref="F221:G221"/>
    <mergeCell ref="I221:J221"/>
    <mergeCell ref="B222:D222"/>
    <mergeCell ref="F222:G222"/>
    <mergeCell ref="I222:J222"/>
    <mergeCell ref="B219:D219"/>
    <mergeCell ref="F219:G219"/>
    <mergeCell ref="I219:J219"/>
    <mergeCell ref="B220:D220"/>
    <mergeCell ref="F220:G220"/>
    <mergeCell ref="I220:J220"/>
    <mergeCell ref="B217:D217"/>
    <mergeCell ref="F217:G217"/>
    <mergeCell ref="I217:J217"/>
    <mergeCell ref="B218:D218"/>
    <mergeCell ref="F218:G218"/>
    <mergeCell ref="I218:J218"/>
    <mergeCell ref="B216:D216"/>
    <mergeCell ref="F216:G216"/>
    <mergeCell ref="I216:J216"/>
    <mergeCell ref="B225:D225"/>
    <mergeCell ref="F225:G225"/>
    <mergeCell ref="I225:J225"/>
    <mergeCell ref="B226:D226"/>
    <mergeCell ref="F226:G226"/>
    <mergeCell ref="I226:J226"/>
    <mergeCell ref="B223:D223"/>
    <mergeCell ref="F223:G223"/>
    <mergeCell ref="I223:J223"/>
    <mergeCell ref="B224:D224"/>
    <mergeCell ref="F224:G224"/>
    <mergeCell ref="I224:J224"/>
    <mergeCell ref="B229:D229"/>
    <mergeCell ref="F229:G229"/>
    <mergeCell ref="I229:J229"/>
    <mergeCell ref="B230:D230"/>
    <mergeCell ref="F230:G230"/>
    <mergeCell ref="I230:J230"/>
    <mergeCell ref="B227:D227"/>
    <mergeCell ref="F227:G227"/>
    <mergeCell ref="I227:J227"/>
    <mergeCell ref="B228:D228"/>
    <mergeCell ref="F228:G228"/>
    <mergeCell ref="I228:J228"/>
    <mergeCell ref="B234:D234"/>
    <mergeCell ref="I234:J234"/>
    <mergeCell ref="B235:D235"/>
    <mergeCell ref="I235:J235"/>
    <mergeCell ref="B231:D231"/>
    <mergeCell ref="F231:G231"/>
    <mergeCell ref="I231:J231"/>
    <mergeCell ref="B233:D233"/>
    <mergeCell ref="I233:J233"/>
    <mergeCell ref="B232:D232"/>
    <mergeCell ref="F232:G232"/>
    <mergeCell ref="I232:J232"/>
    <mergeCell ref="F233:G233"/>
    <mergeCell ref="F234:G234"/>
    <mergeCell ref="F235:G235"/>
    <mergeCell ref="B236:D236"/>
    <mergeCell ref="I236:J236"/>
    <mergeCell ref="A237:J237"/>
    <mergeCell ref="F236:G236"/>
    <mergeCell ref="B238:D238"/>
    <mergeCell ref="E238:F238"/>
    <mergeCell ref="G238:H238"/>
    <mergeCell ref="I238:J238"/>
    <mergeCell ref="B239:D239"/>
    <mergeCell ref="E239:F239"/>
    <mergeCell ref="G239:H239"/>
    <mergeCell ref="I239:J239"/>
    <mergeCell ref="B262:D262"/>
    <mergeCell ref="B263:D263"/>
    <mergeCell ref="B264:D264"/>
    <mergeCell ref="G266:J266"/>
    <mergeCell ref="B265:D265"/>
    <mergeCell ref="B266:D266"/>
    <mergeCell ref="A267:J267"/>
    <mergeCell ref="G268:J268"/>
    <mergeCell ref="B274:D274"/>
    <mergeCell ref="E274:F274"/>
    <mergeCell ref="B275:D275"/>
    <mergeCell ref="E275:F275"/>
    <mergeCell ref="B270:D270"/>
    <mergeCell ref="E270:F270"/>
    <mergeCell ref="B272:D272"/>
    <mergeCell ref="E272:F272"/>
    <mergeCell ref="A271:J271"/>
    <mergeCell ref="A268:A269"/>
    <mergeCell ref="B268:D269"/>
    <mergeCell ref="E268:F269"/>
    <mergeCell ref="G270:J270"/>
    <mergeCell ref="A273:J273"/>
    <mergeCell ref="B276:D276"/>
    <mergeCell ref="E276:F276"/>
    <mergeCell ref="B277:D277"/>
    <mergeCell ref="E277:F277"/>
    <mergeCell ref="B278:D278"/>
    <mergeCell ref="E278:F278"/>
    <mergeCell ref="B279:D279"/>
    <mergeCell ref="E279:F279"/>
    <mergeCell ref="A281:J281"/>
    <mergeCell ref="B283:D283"/>
    <mergeCell ref="E283:F283"/>
    <mergeCell ref="B284:D284"/>
    <mergeCell ref="E284:F284"/>
    <mergeCell ref="B285:D285"/>
    <mergeCell ref="B286:D286"/>
    <mergeCell ref="E285:F285"/>
    <mergeCell ref="E288:F288"/>
    <mergeCell ref="B280:D280"/>
    <mergeCell ref="E280:F280"/>
    <mergeCell ref="B282:D282"/>
    <mergeCell ref="E282:F282"/>
    <mergeCell ref="B290:D290"/>
    <mergeCell ref="E290:F290"/>
    <mergeCell ref="B291:D291"/>
    <mergeCell ref="E291:F291"/>
    <mergeCell ref="B292:D292"/>
    <mergeCell ref="E292:F292"/>
    <mergeCell ref="B294:D294"/>
    <mergeCell ref="E294:F294"/>
    <mergeCell ref="B287:D287"/>
    <mergeCell ref="E287:F287"/>
    <mergeCell ref="B288:D288"/>
    <mergeCell ref="B289:D289"/>
    <mergeCell ref="E289:F289"/>
    <mergeCell ref="I300:J300"/>
    <mergeCell ref="B302:D302"/>
    <mergeCell ref="E302:F302"/>
    <mergeCell ref="G302:H302"/>
    <mergeCell ref="I302:J302"/>
    <mergeCell ref="B293:D293"/>
    <mergeCell ref="E293:F293"/>
    <mergeCell ref="G294:J294"/>
    <mergeCell ref="A295:J295"/>
    <mergeCell ref="G296:H296"/>
    <mergeCell ref="I296:J296"/>
    <mergeCell ref="B297:D297"/>
    <mergeCell ref="E297:F297"/>
    <mergeCell ref="G297:H297"/>
    <mergeCell ref="I297:J297"/>
    <mergeCell ref="A298:J298"/>
    <mergeCell ref="B296:D296"/>
    <mergeCell ref="E296:F296"/>
    <mergeCell ref="B299:D299"/>
    <mergeCell ref="E299:F299"/>
    <mergeCell ref="G299:H299"/>
    <mergeCell ref="I299:J299"/>
    <mergeCell ref="B301:D301"/>
    <mergeCell ref="E301:F301"/>
    <mergeCell ref="B303:D303"/>
    <mergeCell ref="E303:F303"/>
    <mergeCell ref="G303:H303"/>
    <mergeCell ref="I303:J303"/>
    <mergeCell ref="B307:D307"/>
    <mergeCell ref="G307:H307"/>
    <mergeCell ref="I307:J307"/>
    <mergeCell ref="B305:D305"/>
    <mergeCell ref="E305:F305"/>
    <mergeCell ref="G305:H305"/>
    <mergeCell ref="I305:J305"/>
    <mergeCell ref="A304:J304"/>
    <mergeCell ref="B306:D306"/>
    <mergeCell ref="E306:F306"/>
    <mergeCell ref="G306:H306"/>
    <mergeCell ref="I306:J306"/>
    <mergeCell ref="G301:H301"/>
    <mergeCell ref="I301:J301"/>
    <mergeCell ref="B300:D300"/>
    <mergeCell ref="E300:F300"/>
    <mergeCell ref="G300:H300"/>
    <mergeCell ref="B328:D328"/>
    <mergeCell ref="G328:H328"/>
    <mergeCell ref="I328:J328"/>
    <mergeCell ref="E322:F322"/>
    <mergeCell ref="A323:J323"/>
    <mergeCell ref="A324:J324"/>
    <mergeCell ref="B325:D325"/>
    <mergeCell ref="B318:D318"/>
    <mergeCell ref="G318:H318"/>
    <mergeCell ref="I318:J318"/>
    <mergeCell ref="B320:D320"/>
    <mergeCell ref="G320:H320"/>
    <mergeCell ref="I320:J320"/>
    <mergeCell ref="B321:D321"/>
    <mergeCell ref="G321:H321"/>
    <mergeCell ref="I321:J321"/>
    <mergeCell ref="B326:D326"/>
    <mergeCell ref="E326:F326"/>
    <mergeCell ref="G326:H326"/>
    <mergeCell ref="I326:J326"/>
    <mergeCell ref="A327:J327"/>
    <mergeCell ref="B331:D331"/>
    <mergeCell ref="G331:H331"/>
    <mergeCell ref="I331:J331"/>
    <mergeCell ref="B330:D330"/>
    <mergeCell ref="G330:H330"/>
    <mergeCell ref="I330:J330"/>
    <mergeCell ref="B332:D332"/>
    <mergeCell ref="G332:H332"/>
    <mergeCell ref="I332:J332"/>
    <mergeCell ref="E332:F332"/>
    <mergeCell ref="B329:D329"/>
    <mergeCell ref="G329:H329"/>
    <mergeCell ref="I329:J329"/>
    <mergeCell ref="E334:F334"/>
    <mergeCell ref="G334:H334"/>
    <mergeCell ref="I334:J334"/>
    <mergeCell ref="B335:D335"/>
    <mergeCell ref="E335:F335"/>
    <mergeCell ref="G335:H335"/>
    <mergeCell ref="I335:J335"/>
    <mergeCell ref="A336:J336"/>
    <mergeCell ref="B339:D339"/>
    <mergeCell ref="G339:H339"/>
    <mergeCell ref="I339:J339"/>
    <mergeCell ref="B337:D337"/>
    <mergeCell ref="G337:H337"/>
    <mergeCell ref="I337:J337"/>
    <mergeCell ref="B338:D338"/>
    <mergeCell ref="G338:H338"/>
    <mergeCell ref="I338:J338"/>
    <mergeCell ref="E339:F339"/>
    <mergeCell ref="A340:J340"/>
    <mergeCell ref="B343:D343"/>
    <mergeCell ref="G343:H343"/>
    <mergeCell ref="I343:J343"/>
    <mergeCell ref="B341:D341"/>
    <mergeCell ref="E341:F341"/>
    <mergeCell ref="G341:H341"/>
    <mergeCell ref="I341:J341"/>
    <mergeCell ref="B342:D342"/>
    <mergeCell ref="E342:F342"/>
    <mergeCell ref="G342:H342"/>
    <mergeCell ref="I342:J342"/>
    <mergeCell ref="B346:D346"/>
    <mergeCell ref="G346:H346"/>
    <mergeCell ref="I346:J346"/>
    <mergeCell ref="B344:D344"/>
    <mergeCell ref="G344:H344"/>
    <mergeCell ref="I344:J344"/>
    <mergeCell ref="B345:D345"/>
    <mergeCell ref="G345:H345"/>
    <mergeCell ref="I345:J345"/>
    <mergeCell ref="E346:F346"/>
    <mergeCell ref="A347:J347"/>
    <mergeCell ref="B350:D350"/>
    <mergeCell ref="G350:H350"/>
    <mergeCell ref="I350:J350"/>
    <mergeCell ref="B348:D348"/>
    <mergeCell ref="E348:F348"/>
    <mergeCell ref="G348:H348"/>
    <mergeCell ref="I348:J348"/>
    <mergeCell ref="B349:D349"/>
    <mergeCell ref="E349:F349"/>
    <mergeCell ref="G349:H349"/>
    <mergeCell ref="I349:J349"/>
    <mergeCell ref="G376:H376"/>
    <mergeCell ref="G356:H356"/>
    <mergeCell ref="I356:J356"/>
    <mergeCell ref="A357:J357"/>
    <mergeCell ref="B359:D359"/>
    <mergeCell ref="G359:H359"/>
    <mergeCell ref="I359:J359"/>
    <mergeCell ref="E360:F360"/>
    <mergeCell ref="B370:D370"/>
    <mergeCell ref="E370:F370"/>
    <mergeCell ref="G370:H370"/>
    <mergeCell ref="I370:J370"/>
    <mergeCell ref="I363:J363"/>
    <mergeCell ref="B360:D360"/>
    <mergeCell ref="G360:H360"/>
    <mergeCell ref="I360:J360"/>
    <mergeCell ref="B379:D379"/>
    <mergeCell ref="E379:F379"/>
    <mergeCell ref="G379:H379"/>
    <mergeCell ref="I379:J379"/>
    <mergeCell ref="A371:J371"/>
    <mergeCell ref="B372:D372"/>
    <mergeCell ref="G372:H372"/>
    <mergeCell ref="I372:J372"/>
    <mergeCell ref="B377:D377"/>
    <mergeCell ref="G377:H377"/>
    <mergeCell ref="I377:J377"/>
    <mergeCell ref="E377:F377"/>
    <mergeCell ref="B378:D378"/>
    <mergeCell ref="G378:H378"/>
    <mergeCell ref="I378:J378"/>
    <mergeCell ref="B374:D374"/>
    <mergeCell ref="I374:J374"/>
    <mergeCell ref="B375:D375"/>
    <mergeCell ref="I375:J375"/>
    <mergeCell ref="B376:D376"/>
    <mergeCell ref="I376:J376"/>
    <mergeCell ref="B373:D373"/>
    <mergeCell ref="I373:J373"/>
    <mergeCell ref="E376:F376"/>
  </mergeCells>
  <pageMargins left="0.70866141732283472" right="0.70866141732283472" top="0.74803149606299213" bottom="0.74803149606299213" header="0.31496062992125984" footer="0.31496062992125984"/>
  <pageSetup paperSize="9" scale="49" fitToHeight="2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03"/>
  <sheetViews>
    <sheetView workbookViewId="0">
      <selection activeCell="A400" sqref="A1:J400"/>
    </sheetView>
  </sheetViews>
  <sheetFormatPr defaultColWidth="9.109375" defaultRowHeight="14.4" x14ac:dyDescent="0.3"/>
  <cols>
    <col min="1" max="1" width="5.109375" style="1" customWidth="1"/>
    <col min="2" max="2" width="25" style="1" customWidth="1"/>
    <col min="3" max="3" width="9.109375" style="1"/>
    <col min="4" max="4" width="17.109375" style="1" customWidth="1"/>
    <col min="5" max="5" width="13.109375" style="1" customWidth="1"/>
    <col min="6" max="6" width="10.6640625" style="1" customWidth="1"/>
    <col min="7" max="7" width="12.33203125" style="1" customWidth="1"/>
    <col min="8" max="8" width="10.6640625" style="1" customWidth="1"/>
    <col min="9" max="9" width="11.5546875" style="1" customWidth="1"/>
    <col min="10" max="10" width="24.88671875" style="1" customWidth="1"/>
    <col min="11" max="11" width="16.44140625" style="1" customWidth="1"/>
    <col min="12" max="12" width="18.109375" style="1" customWidth="1"/>
    <col min="13" max="13" width="9.6640625" style="1" customWidth="1"/>
    <col min="14" max="14" width="14" style="1" customWidth="1"/>
    <col min="15" max="16384" width="9.109375" style="1"/>
  </cols>
  <sheetData>
    <row r="1" spans="1:11" ht="26.25" customHeight="1" x14ac:dyDescent="0.3">
      <c r="A1" s="1344" t="s">
        <v>68</v>
      </c>
      <c r="B1" s="1344"/>
      <c r="C1" s="1344"/>
      <c r="D1" s="1344"/>
      <c r="E1" s="1344"/>
      <c r="F1" s="1344"/>
      <c r="G1" s="1344"/>
      <c r="H1" s="1344"/>
      <c r="I1" s="1344"/>
      <c r="J1" s="1344"/>
    </row>
    <row r="2" spans="1:11" ht="17.25" customHeight="1" x14ac:dyDescent="0.3">
      <c r="A2" s="1344" t="s">
        <v>474</v>
      </c>
      <c r="B2" s="1344"/>
      <c r="C2" s="1344"/>
      <c r="D2" s="1344"/>
      <c r="E2" s="1344"/>
      <c r="F2" s="1344"/>
      <c r="G2" s="1344"/>
      <c r="H2" s="1344"/>
      <c r="I2" s="1344"/>
      <c r="J2" s="1344"/>
    </row>
    <row r="3" spans="1:11" ht="47.25" customHeight="1" x14ac:dyDescent="0.3">
      <c r="A3" s="1344" t="s">
        <v>590</v>
      </c>
      <c r="B3" s="1344"/>
      <c r="C3" s="1344"/>
      <c r="D3" s="1344"/>
      <c r="E3" s="1344"/>
      <c r="F3" s="1344"/>
      <c r="G3" s="1344"/>
      <c r="H3" s="1344"/>
      <c r="I3" s="1344"/>
      <c r="J3" s="1344"/>
    </row>
    <row r="4" spans="1:11" ht="15.6" x14ac:dyDescent="0.3">
      <c r="A4" s="89"/>
      <c r="B4" s="90"/>
      <c r="C4" s="90"/>
      <c r="D4" s="91" t="s">
        <v>267</v>
      </c>
      <c r="E4" s="296">
        <v>2025</v>
      </c>
      <c r="F4" s="92" t="s">
        <v>598</v>
      </c>
      <c r="G4" s="90"/>
      <c r="H4" s="90"/>
      <c r="I4" s="90"/>
      <c r="J4" s="90"/>
    </row>
    <row r="5" spans="1:11" ht="15.6" x14ac:dyDescent="0.3">
      <c r="A5" s="1218" t="s">
        <v>0</v>
      </c>
      <c r="B5" s="1218"/>
      <c r="C5" s="1218"/>
      <c r="D5" s="1218"/>
      <c r="E5" s="1218"/>
      <c r="F5" s="1218"/>
      <c r="G5" s="1218"/>
      <c r="H5" s="1218"/>
      <c r="I5" s="1218"/>
      <c r="J5" s="1218"/>
    </row>
    <row r="6" spans="1:11" ht="19.5" customHeight="1" x14ac:dyDescent="0.3">
      <c r="A6" s="89" t="s">
        <v>80</v>
      </c>
      <c r="B6" s="90"/>
      <c r="C6" s="349">
        <v>111</v>
      </c>
      <c r="D6" s="349">
        <v>112</v>
      </c>
      <c r="E6" s="349">
        <v>119</v>
      </c>
      <c r="F6" s="94"/>
      <c r="G6" s="94"/>
      <c r="H6" s="94"/>
      <c r="I6" s="94"/>
      <c r="J6" s="94"/>
    </row>
    <row r="7" spans="1:11" ht="22.5" customHeight="1" x14ac:dyDescent="0.3">
      <c r="A7" s="89" t="s">
        <v>81</v>
      </c>
      <c r="B7" s="90"/>
      <c r="C7" s="90"/>
      <c r="D7" s="90"/>
      <c r="E7" s="95" t="s">
        <v>82</v>
      </c>
      <c r="F7" s="96"/>
      <c r="G7" s="95"/>
      <c r="H7" s="96"/>
      <c r="I7" s="96"/>
      <c r="J7" s="96"/>
    </row>
    <row r="8" spans="1:11" ht="21" customHeight="1" x14ac:dyDescent="0.3">
      <c r="A8" s="1214" t="s">
        <v>357</v>
      </c>
      <c r="B8" s="1214"/>
      <c r="C8" s="1214"/>
      <c r="D8" s="1214"/>
      <c r="E8" s="1214"/>
      <c r="F8" s="1214"/>
      <c r="G8" s="1214"/>
      <c r="H8" s="1214"/>
      <c r="I8" s="1214"/>
      <c r="J8" s="1214"/>
    </row>
    <row r="9" spans="1:11" x14ac:dyDescent="0.3">
      <c r="A9" s="1345" t="s">
        <v>1</v>
      </c>
      <c r="B9" s="1346" t="s">
        <v>2</v>
      </c>
      <c r="C9" s="1346" t="s">
        <v>3</v>
      </c>
      <c r="D9" s="1345" t="s">
        <v>4</v>
      </c>
      <c r="E9" s="1345"/>
      <c r="F9" s="1345"/>
      <c r="G9" s="1345"/>
      <c r="H9" s="1345" t="s">
        <v>5</v>
      </c>
      <c r="I9" s="1346" t="s">
        <v>6</v>
      </c>
      <c r="J9" s="1346" t="s">
        <v>312</v>
      </c>
    </row>
    <row r="10" spans="1:11" ht="33" customHeight="1" x14ac:dyDescent="0.3">
      <c r="A10" s="1345"/>
      <c r="B10" s="1346"/>
      <c r="C10" s="1346"/>
      <c r="D10" s="1346" t="s">
        <v>8</v>
      </c>
      <c r="E10" s="1346" t="s">
        <v>9</v>
      </c>
      <c r="F10" s="1346"/>
      <c r="G10" s="1346"/>
      <c r="H10" s="1345"/>
      <c r="I10" s="1346"/>
      <c r="J10" s="1346"/>
    </row>
    <row r="11" spans="1:11" ht="69" x14ac:dyDescent="0.3">
      <c r="A11" s="1345"/>
      <c r="B11" s="1346"/>
      <c r="C11" s="1346"/>
      <c r="D11" s="1346"/>
      <c r="E11" s="612" t="s">
        <v>10</v>
      </c>
      <c r="F11" s="612" t="s">
        <v>11</v>
      </c>
      <c r="G11" s="612" t="s">
        <v>12</v>
      </c>
      <c r="H11" s="1345"/>
      <c r="I11" s="1346"/>
      <c r="J11" s="1346"/>
    </row>
    <row r="12" spans="1:11" ht="14.25" customHeight="1" x14ac:dyDescent="0.3">
      <c r="A12" s="449">
        <v>1</v>
      </c>
      <c r="B12" s="449">
        <v>2</v>
      </c>
      <c r="C12" s="449">
        <v>3</v>
      </c>
      <c r="D12" s="449">
        <v>4</v>
      </c>
      <c r="E12" s="449">
        <v>5</v>
      </c>
      <c r="F12" s="449">
        <v>6</v>
      </c>
      <c r="G12" s="449">
        <v>7</v>
      </c>
      <c r="H12" s="449">
        <v>8</v>
      </c>
      <c r="I12" s="449">
        <v>9</v>
      </c>
      <c r="J12" s="449">
        <v>10</v>
      </c>
    </row>
    <row r="13" spans="1:11" s="41" customFormat="1" ht="13.8" x14ac:dyDescent="0.3">
      <c r="A13" s="1352" t="s">
        <v>358</v>
      </c>
      <c r="B13" s="1346"/>
      <c r="C13" s="1346"/>
      <c r="D13" s="1346"/>
      <c r="E13" s="1346"/>
      <c r="F13" s="1346"/>
      <c r="G13" s="1346"/>
      <c r="H13" s="1346"/>
      <c r="I13" s="1346"/>
      <c r="J13" s="1346"/>
    </row>
    <row r="14" spans="1:11" s="41" customFormat="1" ht="13.8" x14ac:dyDescent="0.3">
      <c r="A14" s="1353" t="s">
        <v>475</v>
      </c>
      <c r="B14" s="1354"/>
      <c r="C14" s="1354"/>
      <c r="D14" s="1354"/>
      <c r="E14" s="1354"/>
      <c r="F14" s="1354"/>
      <c r="G14" s="1354"/>
      <c r="H14" s="1354"/>
      <c r="I14" s="1354"/>
      <c r="J14" s="1354"/>
    </row>
    <row r="15" spans="1:11" ht="20.25" hidden="1" customHeight="1" x14ac:dyDescent="0.3">
      <c r="A15" s="607">
        <v>1</v>
      </c>
      <c r="B15" s="111" t="s">
        <v>261</v>
      </c>
      <c r="C15" s="607"/>
      <c r="D15" s="112">
        <f>E15+F15+G15</f>
        <v>95000</v>
      </c>
      <c r="E15" s="112">
        <v>75000</v>
      </c>
      <c r="F15" s="112">
        <v>0</v>
      </c>
      <c r="G15" s="112">
        <v>20000</v>
      </c>
      <c r="H15" s="113">
        <v>50</v>
      </c>
      <c r="I15" s="607">
        <v>1.7</v>
      </c>
      <c r="J15" s="114">
        <f>((C15*D15*(H15/100+I15))*12)</f>
        <v>0</v>
      </c>
      <c r="K15" s="137"/>
    </row>
    <row r="16" spans="1:11" ht="45" customHeight="1" x14ac:dyDescent="0.3">
      <c r="A16" s="607">
        <v>1</v>
      </c>
      <c r="B16" s="111" t="s">
        <v>476</v>
      </c>
      <c r="C16" s="607">
        <v>0.04</v>
      </c>
      <c r="D16" s="112">
        <f t="shared" ref="D16:D63" si="0">E16+F16+G16</f>
        <v>6600</v>
      </c>
      <c r="E16" s="112">
        <v>3000</v>
      </c>
      <c r="F16" s="112">
        <v>2600</v>
      </c>
      <c r="G16" s="112">
        <v>1000</v>
      </c>
      <c r="H16" s="113">
        <v>50</v>
      </c>
      <c r="I16" s="607">
        <v>1.7</v>
      </c>
      <c r="J16" s="114">
        <f>((C16*D16*(H16/100+I16))*12)*1.2</f>
        <v>8363.52</v>
      </c>
    </row>
    <row r="17" spans="1:12" ht="45" hidden="1" customHeight="1" x14ac:dyDescent="0.3">
      <c r="A17" s="607">
        <v>3</v>
      </c>
      <c r="B17" s="111" t="s">
        <v>477</v>
      </c>
      <c r="C17" s="607"/>
      <c r="D17" s="112"/>
      <c r="E17" s="112">
        <v>37800</v>
      </c>
      <c r="F17" s="112">
        <v>0</v>
      </c>
      <c r="G17" s="112">
        <f t="shared" ref="G17:G19" si="1">E17*20%</f>
        <v>7560</v>
      </c>
      <c r="H17" s="113">
        <v>50</v>
      </c>
      <c r="I17" s="607">
        <v>1.7</v>
      </c>
      <c r="J17" s="114">
        <f t="shared" ref="J17:J20" si="2">((C17*D17*(H17/100+I17))*12)*1.2</f>
        <v>0</v>
      </c>
    </row>
    <row r="18" spans="1:12" ht="45" hidden="1" customHeight="1" x14ac:dyDescent="0.3">
      <c r="A18" s="607">
        <v>4</v>
      </c>
      <c r="B18" s="111" t="s">
        <v>478</v>
      </c>
      <c r="C18" s="607"/>
      <c r="D18" s="112"/>
      <c r="E18" s="112">
        <v>37800</v>
      </c>
      <c r="F18" s="112">
        <v>0</v>
      </c>
      <c r="G18" s="112">
        <f t="shared" si="1"/>
        <v>7560</v>
      </c>
      <c r="H18" s="113">
        <v>50</v>
      </c>
      <c r="I18" s="607">
        <v>17</v>
      </c>
      <c r="J18" s="114">
        <f t="shared" si="2"/>
        <v>0</v>
      </c>
      <c r="L18" s="1">
        <f>((C18*D18+(H18/100+I18)*12))</f>
        <v>210</v>
      </c>
    </row>
    <row r="19" spans="1:12" ht="49.5" hidden="1" customHeight="1" x14ac:dyDescent="0.3">
      <c r="A19" s="607">
        <v>5</v>
      </c>
      <c r="B19" s="111" t="s">
        <v>479</v>
      </c>
      <c r="C19" s="607"/>
      <c r="D19" s="112"/>
      <c r="E19" s="112">
        <v>37800</v>
      </c>
      <c r="F19" s="112">
        <v>0</v>
      </c>
      <c r="G19" s="112">
        <f t="shared" si="1"/>
        <v>7560</v>
      </c>
      <c r="H19" s="113">
        <v>50</v>
      </c>
      <c r="I19" s="607">
        <v>1.7</v>
      </c>
      <c r="J19" s="114">
        <f t="shared" si="2"/>
        <v>0</v>
      </c>
    </row>
    <row r="20" spans="1:12" x14ac:dyDescent="0.3">
      <c r="A20" s="607">
        <v>2</v>
      </c>
      <c r="B20" s="111" t="s">
        <v>262</v>
      </c>
      <c r="C20" s="607">
        <v>0.03</v>
      </c>
      <c r="D20" s="112">
        <f t="shared" si="0"/>
        <v>7100</v>
      </c>
      <c r="E20" s="112">
        <v>3000</v>
      </c>
      <c r="F20" s="112">
        <v>2600</v>
      </c>
      <c r="G20" s="112">
        <v>1500</v>
      </c>
      <c r="H20" s="113">
        <v>50</v>
      </c>
      <c r="I20" s="607">
        <v>1.7</v>
      </c>
      <c r="J20" s="114">
        <f t="shared" si="2"/>
        <v>6747.8400000000011</v>
      </c>
    </row>
    <row r="21" spans="1:12" ht="27.6" x14ac:dyDescent="0.3">
      <c r="A21" s="115"/>
      <c r="B21" s="116" t="s">
        <v>480</v>
      </c>
      <c r="C21" s="117">
        <f>SUM(C15:C20)</f>
        <v>7.0000000000000007E-2</v>
      </c>
      <c r="D21" s="118">
        <f>SUM(D15:D20)</f>
        <v>108700</v>
      </c>
      <c r="E21" s="117" t="s">
        <v>14</v>
      </c>
      <c r="F21" s="117" t="s">
        <v>14</v>
      </c>
      <c r="G21" s="117" t="s">
        <v>14</v>
      </c>
      <c r="H21" s="117" t="s">
        <v>14</v>
      </c>
      <c r="I21" s="117" t="s">
        <v>14</v>
      </c>
      <c r="J21" s="118">
        <f>SUM(J15:J20)</f>
        <v>15111.36</v>
      </c>
      <c r="K21" s="138"/>
    </row>
    <row r="22" spans="1:12" x14ac:dyDescent="0.3">
      <c r="A22" s="1347" t="s">
        <v>481</v>
      </c>
      <c r="B22" s="1348"/>
      <c r="C22" s="1348"/>
      <c r="D22" s="1348"/>
      <c r="E22" s="1348"/>
      <c r="F22" s="1348"/>
      <c r="G22" s="1348"/>
      <c r="H22" s="1348"/>
      <c r="I22" s="1348"/>
      <c r="J22" s="1348"/>
    </row>
    <row r="23" spans="1:12" ht="18.75" customHeight="1" x14ac:dyDescent="0.3">
      <c r="A23" s="1349" t="s">
        <v>482</v>
      </c>
      <c r="B23" s="1350"/>
      <c r="C23" s="1350"/>
      <c r="D23" s="1350"/>
      <c r="E23" s="1350"/>
      <c r="F23" s="1350"/>
      <c r="G23" s="1350"/>
      <c r="H23" s="1350"/>
      <c r="I23" s="1350"/>
      <c r="J23" s="1351"/>
    </row>
    <row r="24" spans="1:12" hidden="1" x14ac:dyDescent="0.3">
      <c r="A24" s="607">
        <v>1</v>
      </c>
      <c r="B24" s="111" t="s">
        <v>483</v>
      </c>
      <c r="C24" s="607"/>
      <c r="D24" s="112">
        <f>E24+F24+G24</f>
        <v>12240</v>
      </c>
      <c r="E24" s="136">
        <v>10200</v>
      </c>
      <c r="F24" s="112">
        <v>0</v>
      </c>
      <c r="G24" s="112">
        <f>E24*20%</f>
        <v>2040</v>
      </c>
      <c r="H24" s="113">
        <v>50</v>
      </c>
      <c r="I24" s="607">
        <v>1.7</v>
      </c>
      <c r="J24" s="141">
        <f>(C24*D24*(H24/100+I24))*13.8</f>
        <v>0</v>
      </c>
      <c r="K24" s="134"/>
    </row>
    <row r="25" spans="1:12" ht="69" hidden="1" x14ac:dyDescent="0.3">
      <c r="A25" s="607">
        <v>2</v>
      </c>
      <c r="B25" s="111" t="s">
        <v>484</v>
      </c>
      <c r="C25" s="607"/>
      <c r="D25" s="112">
        <f t="shared" si="0"/>
        <v>30000</v>
      </c>
      <c r="E25" s="136">
        <v>25000</v>
      </c>
      <c r="F25" s="112">
        <v>0</v>
      </c>
      <c r="G25" s="112">
        <v>5000</v>
      </c>
      <c r="H25" s="113">
        <v>50</v>
      </c>
      <c r="I25" s="607">
        <v>1.7</v>
      </c>
      <c r="J25" s="141">
        <f>(C25*D25*(H25/100+I25))*13</f>
        <v>0</v>
      </c>
    </row>
    <row r="26" spans="1:12" hidden="1" x14ac:dyDescent="0.3">
      <c r="A26" s="607">
        <v>3</v>
      </c>
      <c r="B26" s="111" t="s">
        <v>323</v>
      </c>
      <c r="C26" s="607"/>
      <c r="D26" s="112">
        <f t="shared" si="0"/>
        <v>37800</v>
      </c>
      <c r="E26" s="136">
        <v>31500</v>
      </c>
      <c r="F26" s="112">
        <v>0</v>
      </c>
      <c r="G26" s="112">
        <f t="shared" ref="G26:G48" si="3">E26*20%</f>
        <v>6300</v>
      </c>
      <c r="H26" s="113">
        <v>50</v>
      </c>
      <c r="I26" s="607">
        <v>1.7</v>
      </c>
      <c r="J26" s="141">
        <f>(C26*D26*(H26/100+I26))*11.4</f>
        <v>0</v>
      </c>
    </row>
    <row r="27" spans="1:12" hidden="1" x14ac:dyDescent="0.3">
      <c r="A27" s="607">
        <v>4</v>
      </c>
      <c r="B27" s="111" t="s">
        <v>485</v>
      </c>
      <c r="C27" s="607"/>
      <c r="D27" s="112">
        <f t="shared" si="0"/>
        <v>17400</v>
      </c>
      <c r="E27" s="136">
        <v>14500</v>
      </c>
      <c r="F27" s="112">
        <v>0</v>
      </c>
      <c r="G27" s="112">
        <f t="shared" si="3"/>
        <v>2900</v>
      </c>
      <c r="H27" s="113">
        <v>50</v>
      </c>
      <c r="I27" s="607">
        <v>1.7</v>
      </c>
      <c r="J27" s="141">
        <f>(C27*D27*(H27/100+I27))*14.6</f>
        <v>0</v>
      </c>
    </row>
    <row r="28" spans="1:12" hidden="1" x14ac:dyDescent="0.3">
      <c r="A28" s="607">
        <v>5</v>
      </c>
      <c r="B28" s="111" t="s">
        <v>324</v>
      </c>
      <c r="C28" s="607"/>
      <c r="D28" s="112">
        <f t="shared" si="0"/>
        <v>36000</v>
      </c>
      <c r="E28" s="136">
        <v>30000</v>
      </c>
      <c r="F28" s="112">
        <v>0</v>
      </c>
      <c r="G28" s="112">
        <f t="shared" si="3"/>
        <v>6000</v>
      </c>
      <c r="H28" s="113">
        <v>50</v>
      </c>
      <c r="I28" s="607">
        <v>1.7</v>
      </c>
      <c r="J28" s="141">
        <f t="shared" ref="J28" si="4">(C28*D28*(H28/100+I28))*14.6</f>
        <v>0</v>
      </c>
    </row>
    <row r="29" spans="1:12" ht="14.25" customHeight="1" x14ac:dyDescent="0.3">
      <c r="A29" s="607">
        <v>1</v>
      </c>
      <c r="B29" s="111" t="s">
        <v>322</v>
      </c>
      <c r="C29" s="607">
        <v>0.1</v>
      </c>
      <c r="D29" s="112">
        <f t="shared" si="0"/>
        <v>5200</v>
      </c>
      <c r="E29" s="136">
        <v>2000</v>
      </c>
      <c r="F29" s="112">
        <v>2200</v>
      </c>
      <c r="G29" s="112">
        <v>1000</v>
      </c>
      <c r="H29" s="113">
        <v>50</v>
      </c>
      <c r="I29" s="607">
        <v>1.7</v>
      </c>
      <c r="J29" s="114">
        <f>((C29*D29*(H29/100+I29))*12)*1.2+52.016</f>
        <v>16525.615999999998</v>
      </c>
    </row>
    <row r="30" spans="1:12" ht="14.25" hidden="1" customHeight="1" x14ac:dyDescent="0.3">
      <c r="A30" s="607">
        <v>7</v>
      </c>
      <c r="B30" s="111" t="s">
        <v>321</v>
      </c>
      <c r="C30" s="607"/>
      <c r="D30" s="112">
        <f t="shared" si="0"/>
        <v>30000</v>
      </c>
      <c r="E30" s="136">
        <v>25000</v>
      </c>
      <c r="F30" s="112">
        <v>0</v>
      </c>
      <c r="G30" s="112">
        <f t="shared" ref="G30:G32" si="5">E30*20%</f>
        <v>5000</v>
      </c>
      <c r="H30" s="113">
        <v>50</v>
      </c>
      <c r="I30" s="607">
        <v>1.7</v>
      </c>
      <c r="J30" s="114">
        <f t="shared" ref="J30:J34" si="6">((C30*D30*(H30/100+I30))*12)*1.2</f>
        <v>0</v>
      </c>
    </row>
    <row r="31" spans="1:12" ht="27.6" hidden="1" x14ac:dyDescent="0.3">
      <c r="A31" s="607">
        <v>6</v>
      </c>
      <c r="B31" s="111" t="s">
        <v>486</v>
      </c>
      <c r="C31" s="607"/>
      <c r="D31" s="112">
        <f t="shared" si="0"/>
        <v>14400</v>
      </c>
      <c r="E31" s="136">
        <v>12000</v>
      </c>
      <c r="F31" s="112">
        <v>0</v>
      </c>
      <c r="G31" s="112">
        <f t="shared" si="5"/>
        <v>2400</v>
      </c>
      <c r="H31" s="113">
        <v>50</v>
      </c>
      <c r="I31" s="607">
        <v>1.7</v>
      </c>
      <c r="J31" s="114">
        <f t="shared" si="6"/>
        <v>0</v>
      </c>
      <c r="K31" s="86"/>
    </row>
    <row r="32" spans="1:12" ht="20.25" customHeight="1" x14ac:dyDescent="0.3">
      <c r="A32" s="607">
        <v>2</v>
      </c>
      <c r="B32" s="111" t="s">
        <v>323</v>
      </c>
      <c r="C32" s="607">
        <v>0.1</v>
      </c>
      <c r="D32" s="112">
        <f t="shared" si="0"/>
        <v>2400</v>
      </c>
      <c r="E32" s="136">
        <v>2000</v>
      </c>
      <c r="F32" s="112"/>
      <c r="G32" s="112">
        <f t="shared" si="5"/>
        <v>400</v>
      </c>
      <c r="H32" s="113">
        <v>50</v>
      </c>
      <c r="I32" s="607">
        <v>1.7</v>
      </c>
      <c r="J32" s="114">
        <f t="shared" si="6"/>
        <v>7603.2</v>
      </c>
      <c r="K32" s="86"/>
    </row>
    <row r="33" spans="1:11" ht="14.25" customHeight="1" x14ac:dyDescent="0.3">
      <c r="A33" s="607">
        <v>3</v>
      </c>
      <c r="B33" s="111" t="s">
        <v>906</v>
      </c>
      <c r="C33" s="607">
        <v>1</v>
      </c>
      <c r="D33" s="112">
        <f t="shared" si="0"/>
        <v>1533</v>
      </c>
      <c r="E33" s="136">
        <v>1000</v>
      </c>
      <c r="F33" s="112">
        <v>333</v>
      </c>
      <c r="G33" s="112">
        <v>200</v>
      </c>
      <c r="H33" s="113">
        <v>50</v>
      </c>
      <c r="I33" s="607">
        <v>1.7</v>
      </c>
      <c r="J33" s="114">
        <f t="shared" si="6"/>
        <v>48565.440000000002</v>
      </c>
      <c r="K33" s="86"/>
    </row>
    <row r="34" spans="1:11" x14ac:dyDescent="0.3">
      <c r="A34" s="607">
        <v>4</v>
      </c>
      <c r="B34" s="111" t="s">
        <v>905</v>
      </c>
      <c r="C34" s="607">
        <v>1.1000000000000001</v>
      </c>
      <c r="D34" s="112">
        <f t="shared" si="0"/>
        <v>600</v>
      </c>
      <c r="E34" s="136">
        <v>500</v>
      </c>
      <c r="F34" s="112">
        <v>0</v>
      </c>
      <c r="G34" s="112">
        <f t="shared" si="3"/>
        <v>100</v>
      </c>
      <c r="H34" s="113">
        <v>50</v>
      </c>
      <c r="I34" s="607">
        <v>1.7</v>
      </c>
      <c r="J34" s="114">
        <f t="shared" si="6"/>
        <v>20908.800000000003</v>
      </c>
      <c r="K34" s="86"/>
    </row>
    <row r="35" spans="1:11" s="217" customFormat="1" x14ac:dyDescent="0.3">
      <c r="A35" s="214"/>
      <c r="B35" s="215" t="s">
        <v>489</v>
      </c>
      <c r="C35" s="214">
        <f>SUM(C24:C34)</f>
        <v>2.2999999999999998</v>
      </c>
      <c r="D35" s="214">
        <f t="shared" ref="D35:J35" si="7">SUM(D24:D34)</f>
        <v>187573</v>
      </c>
      <c r="E35" s="214">
        <f t="shared" si="7"/>
        <v>153700</v>
      </c>
      <c r="F35" s="214">
        <f t="shared" si="7"/>
        <v>2533</v>
      </c>
      <c r="G35" s="214">
        <f t="shared" si="7"/>
        <v>31340</v>
      </c>
      <c r="H35" s="214">
        <v>0</v>
      </c>
      <c r="I35" s="214">
        <v>0</v>
      </c>
      <c r="J35" s="214">
        <f t="shared" si="7"/>
        <v>93603.055999999997</v>
      </c>
      <c r="K35" s="216"/>
    </row>
    <row r="36" spans="1:11" x14ac:dyDescent="0.3">
      <c r="A36" s="1349" t="s">
        <v>490</v>
      </c>
      <c r="B36" s="1350"/>
      <c r="C36" s="1350"/>
      <c r="D36" s="1350"/>
      <c r="E36" s="1350"/>
      <c r="F36" s="1350"/>
      <c r="G36" s="1350"/>
      <c r="H36" s="1350"/>
      <c r="I36" s="1350"/>
      <c r="J36" s="1351"/>
      <c r="K36" s="86"/>
    </row>
    <row r="37" spans="1:11" hidden="1" x14ac:dyDescent="0.3">
      <c r="A37" s="607">
        <v>1</v>
      </c>
      <c r="B37" s="111" t="s">
        <v>496</v>
      </c>
      <c r="C37" s="607"/>
      <c r="D37" s="112">
        <v>14000</v>
      </c>
      <c r="E37" s="136">
        <v>12600</v>
      </c>
      <c r="F37" s="112">
        <v>0</v>
      </c>
      <c r="G37" s="112">
        <f t="shared" ref="G37:G41" si="8">E37*20%</f>
        <v>2520</v>
      </c>
      <c r="H37" s="113">
        <v>50</v>
      </c>
      <c r="I37" s="607">
        <v>1.7</v>
      </c>
      <c r="J37" s="114">
        <f t="shared" ref="J37:J44" si="9">((C37*D37*(H37/100+I37))*12)*1.2</f>
        <v>0</v>
      </c>
      <c r="K37" s="86"/>
    </row>
    <row r="38" spans="1:11" x14ac:dyDescent="0.3">
      <c r="A38" s="607">
        <v>1</v>
      </c>
      <c r="B38" s="111" t="s">
        <v>495</v>
      </c>
      <c r="C38" s="607">
        <v>0.03</v>
      </c>
      <c r="D38" s="384">
        <f t="shared" ref="D38:D41" si="10">E38+F38+G38</f>
        <v>3300</v>
      </c>
      <c r="E38" s="136">
        <v>1500</v>
      </c>
      <c r="F38" s="112">
        <v>1500</v>
      </c>
      <c r="G38" s="112">
        <f t="shared" si="8"/>
        <v>300</v>
      </c>
      <c r="H38" s="113">
        <v>50</v>
      </c>
      <c r="I38" s="537">
        <v>1.7</v>
      </c>
      <c r="J38" s="114">
        <f t="shared" si="9"/>
        <v>3136.32</v>
      </c>
      <c r="K38" s="86"/>
    </row>
    <row r="39" spans="1:11" x14ac:dyDescent="0.3">
      <c r="A39" s="607">
        <v>2</v>
      </c>
      <c r="B39" s="111" t="s">
        <v>494</v>
      </c>
      <c r="C39" s="607">
        <v>0.03</v>
      </c>
      <c r="D39" s="384">
        <f t="shared" si="10"/>
        <v>3300</v>
      </c>
      <c r="E39" s="136">
        <v>1500</v>
      </c>
      <c r="F39" s="112">
        <v>1500</v>
      </c>
      <c r="G39" s="112">
        <f t="shared" si="8"/>
        <v>300</v>
      </c>
      <c r="H39" s="113">
        <v>50</v>
      </c>
      <c r="I39" s="537">
        <v>1.7</v>
      </c>
      <c r="J39" s="114">
        <f t="shared" si="9"/>
        <v>3136.32</v>
      </c>
      <c r="K39" s="86"/>
    </row>
    <row r="40" spans="1:11" x14ac:dyDescent="0.3">
      <c r="A40" s="607">
        <v>3</v>
      </c>
      <c r="B40" s="111" t="s">
        <v>326</v>
      </c>
      <c r="C40" s="607">
        <v>0.03</v>
      </c>
      <c r="D40" s="384">
        <f t="shared" si="10"/>
        <v>3300</v>
      </c>
      <c r="E40" s="136">
        <v>1500</v>
      </c>
      <c r="F40" s="112">
        <v>1500</v>
      </c>
      <c r="G40" s="112">
        <f t="shared" si="8"/>
        <v>300</v>
      </c>
      <c r="H40" s="113">
        <v>50</v>
      </c>
      <c r="I40" s="537">
        <v>1.7</v>
      </c>
      <c r="J40" s="114">
        <f t="shared" si="9"/>
        <v>3136.32</v>
      </c>
      <c r="K40" s="86"/>
    </row>
    <row r="41" spans="1:11" x14ac:dyDescent="0.3">
      <c r="A41" s="607">
        <v>4</v>
      </c>
      <c r="B41" s="111" t="s">
        <v>327</v>
      </c>
      <c r="C41" s="607">
        <v>0</v>
      </c>
      <c r="D41" s="112">
        <f t="shared" si="10"/>
        <v>0</v>
      </c>
      <c r="E41" s="136">
        <v>0</v>
      </c>
      <c r="F41" s="112">
        <v>0</v>
      </c>
      <c r="G41" s="112">
        <f t="shared" si="8"/>
        <v>0</v>
      </c>
      <c r="H41" s="113">
        <v>0</v>
      </c>
      <c r="I41" s="607">
        <v>1.7</v>
      </c>
      <c r="J41" s="114">
        <f t="shared" si="9"/>
        <v>0</v>
      </c>
      <c r="K41" s="86"/>
    </row>
    <row r="42" spans="1:11" hidden="1" x14ac:dyDescent="0.3">
      <c r="A42" s="607">
        <v>6</v>
      </c>
      <c r="B42" s="111" t="s">
        <v>493</v>
      </c>
      <c r="C42" s="607"/>
      <c r="D42" s="112">
        <f t="shared" si="0"/>
        <v>13200</v>
      </c>
      <c r="E42" s="136">
        <v>11000</v>
      </c>
      <c r="F42" s="112">
        <v>0</v>
      </c>
      <c r="G42" s="112">
        <f t="shared" si="3"/>
        <v>2200</v>
      </c>
      <c r="H42" s="113">
        <v>50</v>
      </c>
      <c r="I42" s="607">
        <v>1.7</v>
      </c>
      <c r="J42" s="114">
        <f t="shared" si="9"/>
        <v>0</v>
      </c>
      <c r="K42" s="86"/>
    </row>
    <row r="43" spans="1:11" ht="27.6" hidden="1" x14ac:dyDescent="0.3">
      <c r="A43" s="607">
        <v>7</v>
      </c>
      <c r="B43" s="111" t="s">
        <v>492</v>
      </c>
      <c r="C43" s="607"/>
      <c r="D43" s="112">
        <f t="shared" si="0"/>
        <v>14400</v>
      </c>
      <c r="E43" s="136">
        <v>12000</v>
      </c>
      <c r="F43" s="112">
        <v>0</v>
      </c>
      <c r="G43" s="112">
        <f t="shared" si="3"/>
        <v>2400</v>
      </c>
      <c r="H43" s="113">
        <v>50</v>
      </c>
      <c r="I43" s="607">
        <v>1.7</v>
      </c>
      <c r="J43" s="114">
        <f t="shared" si="9"/>
        <v>0</v>
      </c>
      <c r="K43" s="86"/>
    </row>
    <row r="44" spans="1:11" ht="27.6" hidden="1" x14ac:dyDescent="0.3">
      <c r="A44" s="607">
        <v>8</v>
      </c>
      <c r="B44" s="111" t="s">
        <v>491</v>
      </c>
      <c r="C44" s="607"/>
      <c r="D44" s="112">
        <f t="shared" si="0"/>
        <v>26400</v>
      </c>
      <c r="E44" s="136">
        <v>22000</v>
      </c>
      <c r="F44" s="112">
        <v>0</v>
      </c>
      <c r="G44" s="112">
        <f t="shared" si="3"/>
        <v>4400</v>
      </c>
      <c r="H44" s="113">
        <v>50</v>
      </c>
      <c r="I44" s="607">
        <v>1.7</v>
      </c>
      <c r="J44" s="114">
        <f t="shared" si="9"/>
        <v>0</v>
      </c>
      <c r="K44" s="86"/>
    </row>
    <row r="45" spans="1:11" ht="27.6" hidden="1" x14ac:dyDescent="0.3">
      <c r="A45" s="607">
        <v>9</v>
      </c>
      <c r="B45" s="111" t="s">
        <v>325</v>
      </c>
      <c r="C45" s="607"/>
      <c r="D45" s="112">
        <f t="shared" si="0"/>
        <v>16800</v>
      </c>
      <c r="E45" s="136">
        <v>14000</v>
      </c>
      <c r="F45" s="112">
        <v>0</v>
      </c>
      <c r="G45" s="112">
        <f t="shared" si="3"/>
        <v>2800</v>
      </c>
      <c r="H45" s="113">
        <v>50</v>
      </c>
      <c r="I45" s="607">
        <v>1.7</v>
      </c>
      <c r="J45" s="114">
        <f>((C45*D45*(H45/100+I45))*12)*1.2</f>
        <v>0</v>
      </c>
      <c r="K45" s="137"/>
    </row>
    <row r="46" spans="1:11" hidden="1" x14ac:dyDescent="0.3">
      <c r="A46" s="607">
        <v>10</v>
      </c>
      <c r="B46" s="111" t="s">
        <v>497</v>
      </c>
      <c r="C46" s="607"/>
      <c r="D46" s="112">
        <f t="shared" si="0"/>
        <v>15600</v>
      </c>
      <c r="E46" s="136">
        <v>13000</v>
      </c>
      <c r="F46" s="112">
        <v>0</v>
      </c>
      <c r="G46" s="112">
        <f t="shared" si="3"/>
        <v>2600</v>
      </c>
      <c r="H46" s="113">
        <v>50</v>
      </c>
      <c r="I46" s="607">
        <v>1.7</v>
      </c>
      <c r="J46" s="114">
        <f>((C46*D46*(H46/100+I46))*12)*1</f>
        <v>0</v>
      </c>
    </row>
    <row r="47" spans="1:11" hidden="1" x14ac:dyDescent="0.3">
      <c r="A47" s="607">
        <v>11</v>
      </c>
      <c r="B47" s="111" t="s">
        <v>498</v>
      </c>
      <c r="C47" s="607"/>
      <c r="D47" s="112">
        <f t="shared" si="0"/>
        <v>14400</v>
      </c>
      <c r="E47" s="136">
        <v>12000</v>
      </c>
      <c r="F47" s="112">
        <v>0</v>
      </c>
      <c r="G47" s="112">
        <f t="shared" si="3"/>
        <v>2400</v>
      </c>
      <c r="H47" s="113">
        <v>50</v>
      </c>
      <c r="I47" s="607">
        <v>1.7</v>
      </c>
      <c r="J47" s="114">
        <f>((C47*D47*(H47/100+I47))*12)*1.4</f>
        <v>0</v>
      </c>
    </row>
    <row r="48" spans="1:11" hidden="1" x14ac:dyDescent="0.3">
      <c r="A48" s="607">
        <v>12</v>
      </c>
      <c r="B48" s="111" t="s">
        <v>499</v>
      </c>
      <c r="C48" s="607"/>
      <c r="D48" s="112">
        <f t="shared" si="0"/>
        <v>16800</v>
      </c>
      <c r="E48" s="136">
        <v>14000</v>
      </c>
      <c r="F48" s="112">
        <v>0</v>
      </c>
      <c r="G48" s="112">
        <f t="shared" si="3"/>
        <v>2800</v>
      </c>
      <c r="H48" s="113">
        <v>50</v>
      </c>
      <c r="I48" s="607">
        <v>1.7</v>
      </c>
      <c r="J48" s="114">
        <f>((C48*D48*(H48/100+I48))*12)*1.3</f>
        <v>0</v>
      </c>
    </row>
    <row r="49" spans="1:11" s="217" customFormat="1" x14ac:dyDescent="0.3">
      <c r="A49" s="214"/>
      <c r="B49" s="215" t="s">
        <v>500</v>
      </c>
      <c r="C49" s="214">
        <f>SUM(C38:C48)</f>
        <v>0.09</v>
      </c>
      <c r="D49" s="214">
        <f t="shared" ref="D49:J49" si="11">SUM(D37:D48)</f>
        <v>141500</v>
      </c>
      <c r="E49" s="214">
        <f t="shared" si="11"/>
        <v>115100</v>
      </c>
      <c r="F49" s="214">
        <f t="shared" si="11"/>
        <v>4500</v>
      </c>
      <c r="G49" s="214">
        <f t="shared" si="11"/>
        <v>23020</v>
      </c>
      <c r="H49" s="214">
        <v>0</v>
      </c>
      <c r="I49" s="214">
        <v>0</v>
      </c>
      <c r="J49" s="214">
        <f t="shared" si="11"/>
        <v>9408.9600000000009</v>
      </c>
    </row>
    <row r="50" spans="1:11" ht="27.6" x14ac:dyDescent="0.3">
      <c r="A50" s="115"/>
      <c r="B50" s="116" t="s">
        <v>501</v>
      </c>
      <c r="C50" s="117">
        <f>C35+C49</f>
        <v>2.3899999999999997</v>
      </c>
      <c r="D50" s="117">
        <f>D35+D49</f>
        <v>329073</v>
      </c>
      <c r="E50" s="117" t="s">
        <v>14</v>
      </c>
      <c r="F50" s="117" t="s">
        <v>14</v>
      </c>
      <c r="G50" s="117" t="s">
        <v>14</v>
      </c>
      <c r="H50" s="117" t="s">
        <v>14</v>
      </c>
      <c r="I50" s="117" t="s">
        <v>14</v>
      </c>
      <c r="J50" s="117">
        <f>J35+J49</f>
        <v>103012.016</v>
      </c>
    </row>
    <row r="51" spans="1:11" hidden="1" x14ac:dyDescent="0.3">
      <c r="A51" s="1347" t="s">
        <v>505</v>
      </c>
      <c r="B51" s="1348"/>
      <c r="C51" s="1348"/>
      <c r="D51" s="1348"/>
      <c r="E51" s="1348"/>
      <c r="F51" s="1348"/>
      <c r="G51" s="1348"/>
      <c r="H51" s="1348"/>
      <c r="I51" s="1348"/>
      <c r="J51" s="1348"/>
    </row>
    <row r="52" spans="1:11" hidden="1" x14ac:dyDescent="0.3">
      <c r="A52" s="607">
        <v>1</v>
      </c>
      <c r="B52" s="111" t="s">
        <v>328</v>
      </c>
      <c r="C52" s="607"/>
      <c r="D52" s="112">
        <f t="shared" si="0"/>
        <v>12000</v>
      </c>
      <c r="E52" s="136">
        <v>10000</v>
      </c>
      <c r="F52" s="112">
        <v>0</v>
      </c>
      <c r="G52" s="112">
        <f>E52*20%</f>
        <v>2000</v>
      </c>
      <c r="H52" s="113">
        <v>50</v>
      </c>
      <c r="I52" s="607">
        <v>1.7</v>
      </c>
      <c r="J52" s="114">
        <f>((C52*D52*(H52/100+I52))*12)*1.37</f>
        <v>0</v>
      </c>
      <c r="K52" s="137"/>
    </row>
    <row r="53" spans="1:11" hidden="1" x14ac:dyDescent="0.3">
      <c r="A53" s="607">
        <v>2</v>
      </c>
      <c r="B53" s="111" t="s">
        <v>503</v>
      </c>
      <c r="C53" s="607"/>
      <c r="D53" s="112">
        <f t="shared" si="0"/>
        <v>9500</v>
      </c>
      <c r="E53" s="136">
        <v>9500</v>
      </c>
      <c r="F53" s="112">
        <v>0</v>
      </c>
      <c r="G53" s="112"/>
      <c r="H53" s="113">
        <v>50</v>
      </c>
      <c r="I53" s="607">
        <v>1.7</v>
      </c>
      <c r="J53" s="114">
        <f>((C53*D53*(H53/100+I53))*12)*1.37</f>
        <v>0</v>
      </c>
      <c r="K53" s="137"/>
    </row>
    <row r="54" spans="1:11" ht="27.6" hidden="1" x14ac:dyDescent="0.3">
      <c r="A54" s="607">
        <v>3</v>
      </c>
      <c r="B54" s="111" t="s">
        <v>504</v>
      </c>
      <c r="C54" s="607"/>
      <c r="D54" s="112">
        <f t="shared" si="0"/>
        <v>10200</v>
      </c>
      <c r="E54" s="136">
        <v>8500</v>
      </c>
      <c r="F54" s="112">
        <v>0</v>
      </c>
      <c r="G54" s="112">
        <f>E54*20%</f>
        <v>1700</v>
      </c>
      <c r="H54" s="113">
        <v>50</v>
      </c>
      <c r="I54" s="607">
        <v>1.7</v>
      </c>
      <c r="J54" s="114">
        <f>((C54*D54*(H54/100+I54))*12)*1.22</f>
        <v>0</v>
      </c>
    </row>
    <row r="55" spans="1:11" ht="27.6" hidden="1" x14ac:dyDescent="0.3">
      <c r="A55" s="115"/>
      <c r="B55" s="116" t="s">
        <v>502</v>
      </c>
      <c r="C55" s="117">
        <f>SUM(C52:C54)</f>
        <v>0</v>
      </c>
      <c r="D55" s="119">
        <f>SUM(D52:D54)</f>
        <v>31700</v>
      </c>
      <c r="E55" s="117" t="s">
        <v>14</v>
      </c>
      <c r="F55" s="117" t="s">
        <v>14</v>
      </c>
      <c r="G55" s="117" t="s">
        <v>14</v>
      </c>
      <c r="H55" s="117" t="s">
        <v>14</v>
      </c>
      <c r="I55" s="117" t="s">
        <v>14</v>
      </c>
      <c r="J55" s="120">
        <f>SUM(J52:J54)</f>
        <v>0</v>
      </c>
    </row>
    <row r="56" spans="1:11" x14ac:dyDescent="0.3">
      <c r="A56" s="1347" t="s">
        <v>506</v>
      </c>
      <c r="B56" s="1354"/>
      <c r="C56" s="1354"/>
      <c r="D56" s="1354"/>
      <c r="E56" s="1354"/>
      <c r="F56" s="1354"/>
      <c r="G56" s="1354"/>
      <c r="H56" s="1354"/>
      <c r="I56" s="1354"/>
      <c r="J56" s="1354"/>
    </row>
    <row r="57" spans="1:11" ht="27.6" x14ac:dyDescent="0.3">
      <c r="A57" s="607">
        <v>1</v>
      </c>
      <c r="B57" s="111" t="s">
        <v>316</v>
      </c>
      <c r="C57" s="607">
        <v>0.01</v>
      </c>
      <c r="D57" s="112">
        <f t="shared" si="0"/>
        <v>6555</v>
      </c>
      <c r="E57" s="136">
        <v>4000</v>
      </c>
      <c r="F57" s="112">
        <v>2055</v>
      </c>
      <c r="G57" s="112">
        <v>500</v>
      </c>
      <c r="H57" s="113">
        <v>50</v>
      </c>
      <c r="I57" s="607">
        <v>1.7</v>
      </c>
      <c r="J57" s="114">
        <f>((C57*D57*(H57/100+I57))*12)*1.2</f>
        <v>2076.6239999999998</v>
      </c>
      <c r="K57" s="137"/>
    </row>
    <row r="58" spans="1:11" hidden="1" x14ac:dyDescent="0.3">
      <c r="A58" s="607">
        <v>2</v>
      </c>
      <c r="B58" s="111" t="s">
        <v>507</v>
      </c>
      <c r="C58" s="607"/>
      <c r="D58" s="112">
        <f>E58+F58+G58</f>
        <v>14400</v>
      </c>
      <c r="E58" s="136">
        <v>12000</v>
      </c>
      <c r="F58" s="112">
        <v>0</v>
      </c>
      <c r="G58" s="112">
        <f>E58*20%</f>
        <v>2400</v>
      </c>
      <c r="H58" s="113">
        <v>50</v>
      </c>
      <c r="I58" s="607">
        <v>1.7</v>
      </c>
      <c r="J58" s="114">
        <f>((C58*D58*(H58/100+I58))*12)*1.2</f>
        <v>0</v>
      </c>
      <c r="K58" s="137"/>
    </row>
    <row r="59" spans="1:11" ht="41.4" hidden="1" x14ac:dyDescent="0.3">
      <c r="A59" s="607">
        <v>3</v>
      </c>
      <c r="B59" s="111" t="s">
        <v>314</v>
      </c>
      <c r="C59" s="607"/>
      <c r="D59" s="112">
        <f t="shared" si="0"/>
        <v>13200</v>
      </c>
      <c r="E59" s="136">
        <v>11000</v>
      </c>
      <c r="F59" s="112">
        <v>0</v>
      </c>
      <c r="G59" s="112">
        <f>E59*20%</f>
        <v>2200</v>
      </c>
      <c r="H59" s="113">
        <v>50</v>
      </c>
      <c r="I59" s="607">
        <v>1.7</v>
      </c>
      <c r="J59" s="114">
        <f>((C59*D59*(H59/100+I59))*12)*1.13</f>
        <v>0</v>
      </c>
    </row>
    <row r="60" spans="1:11" hidden="1" x14ac:dyDescent="0.3">
      <c r="A60" s="607">
        <v>4</v>
      </c>
      <c r="B60" s="111" t="s">
        <v>317</v>
      </c>
      <c r="C60" s="607"/>
      <c r="D60" s="112">
        <f t="shared" si="0"/>
        <v>14400</v>
      </c>
      <c r="E60" s="136">
        <v>12000</v>
      </c>
      <c r="F60" s="112">
        <v>0</v>
      </c>
      <c r="G60" s="112">
        <f t="shared" ref="G60:G63" si="12">E60*20%</f>
        <v>2400</v>
      </c>
      <c r="H60" s="113">
        <v>50</v>
      </c>
      <c r="I60" s="607">
        <v>1.7</v>
      </c>
      <c r="J60" s="114">
        <f t="shared" ref="J60:J63" si="13">((C60*D60*(H60/100+I60))*12)*1.13</f>
        <v>0</v>
      </c>
    </row>
    <row r="61" spans="1:11" hidden="1" x14ac:dyDescent="0.3">
      <c r="A61" s="607">
        <v>5</v>
      </c>
      <c r="B61" s="111" t="s">
        <v>508</v>
      </c>
      <c r="C61" s="607"/>
      <c r="D61" s="112">
        <f t="shared" si="0"/>
        <v>9600</v>
      </c>
      <c r="E61" s="136">
        <v>8000</v>
      </c>
      <c r="F61" s="112">
        <v>0</v>
      </c>
      <c r="G61" s="112">
        <f t="shared" si="12"/>
        <v>1600</v>
      </c>
      <c r="H61" s="113">
        <v>50</v>
      </c>
      <c r="I61" s="607">
        <v>1.7</v>
      </c>
      <c r="J61" s="114">
        <f t="shared" si="13"/>
        <v>0</v>
      </c>
    </row>
    <row r="62" spans="1:11" hidden="1" x14ac:dyDescent="0.3">
      <c r="A62" s="607">
        <v>6</v>
      </c>
      <c r="B62" s="111" t="s">
        <v>315</v>
      </c>
      <c r="C62" s="607"/>
      <c r="D62" s="112">
        <f t="shared" si="0"/>
        <v>12000</v>
      </c>
      <c r="E62" s="136">
        <v>10000</v>
      </c>
      <c r="F62" s="112">
        <v>0</v>
      </c>
      <c r="G62" s="112">
        <f t="shared" si="12"/>
        <v>2000</v>
      </c>
      <c r="H62" s="113">
        <v>50</v>
      </c>
      <c r="I62" s="607">
        <v>1.7</v>
      </c>
      <c r="J62" s="114">
        <f t="shared" si="13"/>
        <v>0</v>
      </c>
    </row>
    <row r="63" spans="1:11" hidden="1" x14ac:dyDescent="0.3">
      <c r="A63" s="607">
        <v>7</v>
      </c>
      <c r="B63" s="111" t="s">
        <v>318</v>
      </c>
      <c r="C63" s="607"/>
      <c r="D63" s="112">
        <f t="shared" si="0"/>
        <v>12000</v>
      </c>
      <c r="E63" s="136">
        <v>10000</v>
      </c>
      <c r="F63" s="112">
        <v>0</v>
      </c>
      <c r="G63" s="112">
        <f t="shared" si="12"/>
        <v>2000</v>
      </c>
      <c r="H63" s="113">
        <v>50</v>
      </c>
      <c r="I63" s="607">
        <v>1.7</v>
      </c>
      <c r="J63" s="114">
        <f t="shared" si="13"/>
        <v>0</v>
      </c>
    </row>
    <row r="64" spans="1:11" ht="27.6" x14ac:dyDescent="0.3">
      <c r="A64" s="115"/>
      <c r="B64" s="116" t="s">
        <v>509</v>
      </c>
      <c r="C64" s="117">
        <f>SUM(C57:C63)</f>
        <v>0.01</v>
      </c>
      <c r="D64" s="119">
        <f>SUM(D57:D63)</f>
        <v>82155</v>
      </c>
      <c r="E64" s="117" t="s">
        <v>14</v>
      </c>
      <c r="F64" s="117" t="s">
        <v>14</v>
      </c>
      <c r="G64" s="117" t="s">
        <v>14</v>
      </c>
      <c r="H64" s="117" t="s">
        <v>14</v>
      </c>
      <c r="I64" s="117" t="s">
        <v>14</v>
      </c>
      <c r="J64" s="120">
        <f>SUM(J57:J63)</f>
        <v>2076.6239999999998</v>
      </c>
      <c r="K64" s="138"/>
    </row>
    <row r="65" spans="1:12" s="41" customFormat="1" ht="13.8" hidden="1" x14ac:dyDescent="0.3">
      <c r="A65" s="606"/>
      <c r="B65" s="606" t="s">
        <v>592</v>
      </c>
      <c r="C65" s="606"/>
      <c r="D65" s="606"/>
      <c r="E65" s="606"/>
      <c r="F65" s="606"/>
      <c r="G65" s="606"/>
      <c r="H65" s="606"/>
      <c r="I65" s="606"/>
      <c r="J65" s="129">
        <v>0</v>
      </c>
    </row>
    <row r="66" spans="1:12" x14ac:dyDescent="0.3">
      <c r="A66" s="1361" t="s">
        <v>930</v>
      </c>
      <c r="B66" s="1361"/>
      <c r="C66" s="87">
        <f>C21+C50+C55+C64</f>
        <v>2.4699999999999993</v>
      </c>
      <c r="D66" s="88">
        <f>D21+D50+D55+D64</f>
        <v>551628</v>
      </c>
      <c r="E66" s="87" t="s">
        <v>14</v>
      </c>
      <c r="F66" s="87" t="s">
        <v>14</v>
      </c>
      <c r="G66" s="87" t="s">
        <v>14</v>
      </c>
      <c r="H66" s="87" t="s">
        <v>14</v>
      </c>
      <c r="I66" s="87" t="s">
        <v>14</v>
      </c>
      <c r="J66" s="153">
        <f>J21+J50+J55+J64</f>
        <v>120200</v>
      </c>
      <c r="L66" s="86"/>
    </row>
    <row r="67" spans="1:12" ht="39.75" hidden="1" customHeight="1" x14ac:dyDescent="0.3">
      <c r="A67" s="1349" t="s">
        <v>335</v>
      </c>
      <c r="B67" s="1410"/>
      <c r="C67" s="1410"/>
      <c r="D67" s="1410"/>
      <c r="E67" s="1410"/>
      <c r="F67" s="1410"/>
      <c r="G67" s="1410"/>
      <c r="H67" s="1410"/>
      <c r="I67" s="1411"/>
      <c r="J67" s="152">
        <v>0</v>
      </c>
      <c r="L67" s="86"/>
    </row>
    <row r="68" spans="1:12" ht="21.75" hidden="1" customHeight="1" x14ac:dyDescent="0.3">
      <c r="A68" s="1362" t="s">
        <v>331</v>
      </c>
      <c r="B68" s="1363"/>
      <c r="C68" s="1363"/>
      <c r="D68" s="1363"/>
      <c r="E68" s="1363"/>
      <c r="F68" s="1363"/>
      <c r="G68" s="1363"/>
      <c r="H68" s="1363"/>
      <c r="I68" s="1364"/>
      <c r="J68" s="221">
        <f>J66+J67</f>
        <v>120200</v>
      </c>
      <c r="L68" s="86"/>
    </row>
    <row r="69" spans="1:12" ht="39.75" hidden="1" customHeight="1" x14ac:dyDescent="0.3">
      <c r="A69" s="613"/>
      <c r="B69" s="640"/>
      <c r="C69" s="640"/>
      <c r="D69" s="640"/>
      <c r="E69" s="640"/>
      <c r="F69" s="640"/>
      <c r="G69" s="640"/>
      <c r="H69" s="640"/>
      <c r="I69" s="641"/>
      <c r="J69" s="152"/>
      <c r="L69" s="86"/>
    </row>
    <row r="70" spans="1:12" ht="15.6" hidden="1" x14ac:dyDescent="0.3">
      <c r="A70" s="121"/>
      <c r="B70" s="121"/>
      <c r="C70" s="614"/>
      <c r="D70" s="122"/>
      <c r="E70" s="614"/>
      <c r="F70" s="614"/>
      <c r="G70" s="614"/>
      <c r="H70" s="614"/>
      <c r="I70" s="614"/>
      <c r="J70" s="123"/>
    </row>
    <row r="71" spans="1:12" hidden="1" x14ac:dyDescent="0.3">
      <c r="A71" s="1346" t="s">
        <v>1</v>
      </c>
      <c r="B71" s="1346" t="s">
        <v>2</v>
      </c>
      <c r="C71" s="1346" t="s">
        <v>3</v>
      </c>
      <c r="D71" s="1345" t="s">
        <v>4</v>
      </c>
      <c r="E71" s="1345"/>
      <c r="F71" s="1345"/>
      <c r="G71" s="1345"/>
      <c r="H71" s="1346" t="s">
        <v>5</v>
      </c>
      <c r="I71" s="1346" t="s">
        <v>6</v>
      </c>
      <c r="J71" s="1346" t="s">
        <v>312</v>
      </c>
    </row>
    <row r="72" spans="1:12" hidden="1" x14ac:dyDescent="0.3">
      <c r="A72" s="1346"/>
      <c r="B72" s="1346"/>
      <c r="C72" s="1346"/>
      <c r="D72" s="1346" t="s">
        <v>8</v>
      </c>
      <c r="E72" s="1345" t="s">
        <v>9</v>
      </c>
      <c r="F72" s="1345"/>
      <c r="G72" s="1345"/>
      <c r="H72" s="1346"/>
      <c r="I72" s="1346"/>
      <c r="J72" s="1346"/>
    </row>
    <row r="73" spans="1:12" ht="69" hidden="1" x14ac:dyDescent="0.3">
      <c r="A73" s="1346"/>
      <c r="B73" s="1346"/>
      <c r="C73" s="1346"/>
      <c r="D73" s="1346"/>
      <c r="E73" s="612" t="s">
        <v>10</v>
      </c>
      <c r="F73" s="612" t="s">
        <v>11</v>
      </c>
      <c r="G73" s="612" t="s">
        <v>12</v>
      </c>
      <c r="H73" s="1346"/>
      <c r="I73" s="1346"/>
      <c r="J73" s="1346"/>
    </row>
    <row r="74" spans="1:12" hidden="1" x14ac:dyDescent="0.3">
      <c r="A74" s="607">
        <v>1</v>
      </c>
      <c r="B74" s="607">
        <v>2</v>
      </c>
      <c r="C74" s="607">
        <v>3</v>
      </c>
      <c r="D74" s="607">
        <v>4</v>
      </c>
      <c r="E74" s="607">
        <v>5</v>
      </c>
      <c r="F74" s="607">
        <v>6</v>
      </c>
      <c r="G74" s="607">
        <v>7</v>
      </c>
      <c r="H74" s="607">
        <v>8</v>
      </c>
      <c r="I74" s="607">
        <v>9</v>
      </c>
      <c r="J74" s="607">
        <v>10</v>
      </c>
    </row>
    <row r="75" spans="1:12" hidden="1" x14ac:dyDescent="0.3">
      <c r="A75" s="1347" t="s">
        <v>313</v>
      </c>
      <c r="B75" s="1354"/>
      <c r="C75" s="1354"/>
      <c r="D75" s="1354"/>
      <c r="E75" s="1354"/>
      <c r="F75" s="1354"/>
      <c r="G75" s="1354"/>
      <c r="H75" s="1354"/>
      <c r="I75" s="1354"/>
      <c r="J75" s="1354"/>
    </row>
    <row r="76" spans="1:12" ht="41.4" hidden="1" x14ac:dyDescent="0.3">
      <c r="A76" s="607">
        <v>1</v>
      </c>
      <c r="B76" s="111" t="s">
        <v>314</v>
      </c>
      <c r="C76" s="607"/>
      <c r="D76" s="124">
        <f>E76+F76+G76</f>
        <v>0</v>
      </c>
      <c r="E76" s="139"/>
      <c r="F76" s="124"/>
      <c r="G76" s="124">
        <f>(E76+F76)*20%</f>
        <v>0</v>
      </c>
      <c r="H76" s="113">
        <v>50</v>
      </c>
      <c r="I76" s="607">
        <v>1.7</v>
      </c>
      <c r="J76" s="125">
        <f>(C76*D76*(H76/100+I76))*12.5</f>
        <v>0</v>
      </c>
      <c r="L76" s="86"/>
    </row>
    <row r="77" spans="1:12" ht="15.75" hidden="1" customHeight="1" x14ac:dyDescent="0.3">
      <c r="A77" s="607">
        <v>2</v>
      </c>
      <c r="B77" s="111" t="s">
        <v>315</v>
      </c>
      <c r="C77" s="607"/>
      <c r="D77" s="124">
        <f t="shared" ref="D77:D78" si="14">E77+F77+G77</f>
        <v>0</v>
      </c>
      <c r="E77" s="139"/>
      <c r="F77" s="124"/>
      <c r="G77" s="124">
        <f>(E77+F77)*20%</f>
        <v>0</v>
      </c>
      <c r="H77" s="113">
        <v>50</v>
      </c>
      <c r="I77" s="607">
        <v>1.7</v>
      </c>
      <c r="J77" s="125">
        <f>(C77*D77*(H77/100+I77))*12.5</f>
        <v>0</v>
      </c>
    </row>
    <row r="78" spans="1:12" ht="27.6" hidden="1" x14ac:dyDescent="0.3">
      <c r="A78" s="607">
        <v>3</v>
      </c>
      <c r="B78" s="111" t="s">
        <v>316</v>
      </c>
      <c r="C78" s="607"/>
      <c r="D78" s="124">
        <f t="shared" si="14"/>
        <v>0</v>
      </c>
      <c r="E78" s="124"/>
      <c r="F78" s="124"/>
      <c r="G78" s="124">
        <f>(E78+F78)*20%</f>
        <v>0</v>
      </c>
      <c r="H78" s="113">
        <v>50</v>
      </c>
      <c r="I78" s="607">
        <v>1.7</v>
      </c>
      <c r="J78" s="125">
        <f>(C78*D78*(H78/100+I78))*12.5</f>
        <v>0</v>
      </c>
    </row>
    <row r="79" spans="1:12" hidden="1" x14ac:dyDescent="0.3">
      <c r="A79" s="607">
        <v>4</v>
      </c>
      <c r="B79" s="111" t="s">
        <v>317</v>
      </c>
      <c r="C79" s="607"/>
      <c r="D79" s="124">
        <f>E79+F79+G79</f>
        <v>0</v>
      </c>
      <c r="E79" s="124"/>
      <c r="F79" s="124"/>
      <c r="G79" s="124">
        <f>(E79+F79)*20%</f>
        <v>0</v>
      </c>
      <c r="H79" s="113">
        <v>50</v>
      </c>
      <c r="I79" s="607">
        <v>1.7</v>
      </c>
      <c r="J79" s="125">
        <f>(C79*D79*(H79/100+I79))*12.5</f>
        <v>0</v>
      </c>
    </row>
    <row r="80" spans="1:12" ht="21.75" hidden="1" customHeight="1" x14ac:dyDescent="0.3">
      <c r="A80" s="607">
        <v>5</v>
      </c>
      <c r="B80" s="111" t="s">
        <v>318</v>
      </c>
      <c r="C80" s="607"/>
      <c r="D80" s="124">
        <f t="shared" ref="D80" si="15">E80+F80+G80</f>
        <v>0</v>
      </c>
      <c r="E80" s="124"/>
      <c r="F80" s="124"/>
      <c r="G80" s="124">
        <f t="shared" ref="G80" si="16">(E80+F80)*20%</f>
        <v>0</v>
      </c>
      <c r="H80" s="113">
        <v>50</v>
      </c>
      <c r="I80" s="607">
        <v>1.7</v>
      </c>
      <c r="J80" s="125">
        <f>(C80*D80*(H80/100+I80))*12.5</f>
        <v>0</v>
      </c>
      <c r="K80" s="86"/>
    </row>
    <row r="81" spans="1:12" ht="16.5" hidden="1" customHeight="1" x14ac:dyDescent="0.3">
      <c r="A81" s="115"/>
      <c r="B81" s="126" t="s">
        <v>319</v>
      </c>
      <c r="C81" s="127">
        <f>SUM(C76:C80)</f>
        <v>0</v>
      </c>
      <c r="D81" s="128">
        <f>SUM(D76:D80)</f>
        <v>0</v>
      </c>
      <c r="E81" s="127" t="s">
        <v>14</v>
      </c>
      <c r="F81" s="127" t="s">
        <v>14</v>
      </c>
      <c r="G81" s="127" t="s">
        <v>14</v>
      </c>
      <c r="H81" s="127" t="s">
        <v>14</v>
      </c>
      <c r="I81" s="127" t="s">
        <v>14</v>
      </c>
      <c r="J81" s="129">
        <f>SUM(J76:J80)</f>
        <v>0</v>
      </c>
    </row>
    <row r="82" spans="1:12" ht="15.75" hidden="1" customHeight="1" x14ac:dyDescent="0.3">
      <c r="A82" s="1365" t="s">
        <v>343</v>
      </c>
      <c r="B82" s="1366"/>
      <c r="C82" s="1366"/>
      <c r="D82" s="1366"/>
      <c r="E82" s="1366"/>
      <c r="F82" s="1366"/>
      <c r="G82" s="1366"/>
      <c r="H82" s="1366"/>
      <c r="I82" s="1367"/>
      <c r="J82" s="129"/>
    </row>
    <row r="83" spans="1:12" s="41" customFormat="1" ht="13.8" hidden="1" x14ac:dyDescent="0.3">
      <c r="A83" s="1365" t="s">
        <v>467</v>
      </c>
      <c r="B83" s="1366"/>
      <c r="C83" s="1366"/>
      <c r="D83" s="1366"/>
      <c r="E83" s="1366"/>
      <c r="F83" s="1366"/>
      <c r="G83" s="1366"/>
      <c r="H83" s="1366"/>
      <c r="I83" s="1367"/>
      <c r="J83" s="143"/>
    </row>
    <row r="84" spans="1:12" s="41" customFormat="1" hidden="1" x14ac:dyDescent="0.3">
      <c r="A84" s="218" t="s">
        <v>379</v>
      </c>
      <c r="B84" s="219"/>
      <c r="C84" s="220"/>
      <c r="D84" s="220"/>
      <c r="E84" s="220"/>
      <c r="F84" s="220"/>
      <c r="G84" s="220"/>
      <c r="H84" s="220"/>
      <c r="I84" s="220"/>
      <c r="J84" s="143">
        <v>49307</v>
      </c>
    </row>
    <row r="85" spans="1:12" s="41" customFormat="1" ht="15.6" hidden="1" x14ac:dyDescent="0.3">
      <c r="A85" s="1368" t="s">
        <v>511</v>
      </c>
      <c r="B85" s="1369"/>
      <c r="C85" s="1369"/>
      <c r="D85" s="1369"/>
      <c r="E85" s="1369"/>
      <c r="F85" s="1369"/>
      <c r="G85" s="1369"/>
      <c r="H85" s="1369"/>
      <c r="I85" s="1369"/>
      <c r="J85" s="1370"/>
    </row>
    <row r="86" spans="1:12" ht="21" hidden="1" customHeight="1" x14ac:dyDescent="0.3">
      <c r="A86" s="1371" t="s">
        <v>512</v>
      </c>
      <c r="B86" s="1372"/>
      <c r="C86" s="130">
        <v>2.4</v>
      </c>
      <c r="D86" s="131">
        <f>D81</f>
        <v>0</v>
      </c>
      <c r="E86" s="132" t="s">
        <v>14</v>
      </c>
      <c r="F86" s="132" t="s">
        <v>14</v>
      </c>
      <c r="G86" s="132" t="s">
        <v>14</v>
      </c>
      <c r="H86" s="132" t="s">
        <v>14</v>
      </c>
      <c r="I86" s="132" t="s">
        <v>14</v>
      </c>
      <c r="J86" s="228">
        <v>0</v>
      </c>
      <c r="K86" s="86"/>
      <c r="L86" s="86"/>
    </row>
    <row r="87" spans="1:12" ht="21" customHeight="1" x14ac:dyDescent="0.3">
      <c r="A87" s="1373" t="s">
        <v>593</v>
      </c>
      <c r="B87" s="1374"/>
      <c r="C87" s="1374"/>
      <c r="D87" s="1374"/>
      <c r="E87" s="1374"/>
      <c r="F87" s="1374"/>
      <c r="G87" s="1374"/>
      <c r="H87" s="1374"/>
      <c r="I87" s="1374"/>
      <c r="J87" s="229">
        <f>J66+J65</f>
        <v>120200</v>
      </c>
      <c r="K87" s="86"/>
      <c r="L87" s="86"/>
    </row>
    <row r="88" spans="1:12" ht="21" hidden="1" customHeight="1" x14ac:dyDescent="0.3">
      <c r="A88" s="599"/>
      <c r="B88" s="223"/>
      <c r="C88" s="593"/>
      <c r="D88" s="225"/>
      <c r="E88" s="601"/>
      <c r="F88" s="601"/>
      <c r="G88" s="601"/>
      <c r="H88" s="601"/>
      <c r="I88" s="601"/>
      <c r="J88" s="600"/>
      <c r="K88" s="86"/>
      <c r="L88" s="86"/>
    </row>
    <row r="89" spans="1:12" ht="20.25" hidden="1" customHeight="1" x14ac:dyDescent="0.3">
      <c r="A89" s="1325" t="s">
        <v>359</v>
      </c>
      <c r="B89" s="1326"/>
      <c r="C89" s="1326"/>
      <c r="D89" s="1326"/>
      <c r="E89" s="1326"/>
      <c r="F89" s="1326"/>
      <c r="G89" s="1326"/>
      <c r="H89" s="1326"/>
      <c r="I89" s="1326"/>
      <c r="J89" s="1327"/>
    </row>
    <row r="90" spans="1:12" ht="30" hidden="1" customHeight="1" x14ac:dyDescent="0.3">
      <c r="A90" s="610" t="s">
        <v>1</v>
      </c>
      <c r="B90" s="1335" t="s">
        <v>44</v>
      </c>
      <c r="C90" s="1335"/>
      <c r="D90" s="1335"/>
      <c r="E90" s="1335" t="s">
        <v>45</v>
      </c>
      <c r="F90" s="1335"/>
      <c r="G90" s="1335" t="s">
        <v>46</v>
      </c>
      <c r="H90" s="1335"/>
      <c r="I90" s="1335" t="s">
        <v>102</v>
      </c>
      <c r="J90" s="1335"/>
    </row>
    <row r="91" spans="1:12" ht="16.5" hidden="1" customHeight="1" x14ac:dyDescent="0.3">
      <c r="A91" s="615">
        <v>1</v>
      </c>
      <c r="B91" s="1302">
        <v>2</v>
      </c>
      <c r="C91" s="1302"/>
      <c r="D91" s="1302"/>
      <c r="E91" s="1302">
        <v>3</v>
      </c>
      <c r="F91" s="1302"/>
      <c r="G91" s="1302">
        <v>4</v>
      </c>
      <c r="H91" s="1302"/>
      <c r="I91" s="1302">
        <v>5</v>
      </c>
      <c r="J91" s="1302"/>
    </row>
    <row r="92" spans="1:12" ht="47.25" hidden="1" customHeight="1" x14ac:dyDescent="0.3">
      <c r="A92" s="159">
        <v>1</v>
      </c>
      <c r="B92" s="1226" t="s">
        <v>370</v>
      </c>
      <c r="C92" s="1227"/>
      <c r="D92" s="1228"/>
      <c r="E92" s="1336">
        <f>I92/G92</f>
        <v>0</v>
      </c>
      <c r="F92" s="1336"/>
      <c r="G92" s="1307">
        <v>12</v>
      </c>
      <c r="H92" s="1307"/>
      <c r="I92" s="1340">
        <v>0</v>
      </c>
      <c r="J92" s="1340"/>
    </row>
    <row r="93" spans="1:12" ht="51.75" hidden="1" customHeight="1" x14ac:dyDescent="0.3">
      <c r="A93" s="159" t="s">
        <v>75</v>
      </c>
      <c r="B93" s="1226" t="s">
        <v>371</v>
      </c>
      <c r="C93" s="1227"/>
      <c r="D93" s="1228"/>
      <c r="E93" s="1336">
        <f>I93/G93</f>
        <v>0</v>
      </c>
      <c r="F93" s="1336"/>
      <c r="G93" s="1307">
        <v>72</v>
      </c>
      <c r="H93" s="1307"/>
      <c r="I93" s="1340">
        <v>0</v>
      </c>
      <c r="J93" s="1340"/>
    </row>
    <row r="94" spans="1:12" ht="33.75" hidden="1" customHeight="1" x14ac:dyDescent="0.3">
      <c r="A94" s="248"/>
      <c r="B94" s="1341" t="s">
        <v>331</v>
      </c>
      <c r="C94" s="1342"/>
      <c r="D94" s="1343"/>
      <c r="E94" s="1337" t="s">
        <v>14</v>
      </c>
      <c r="F94" s="1338"/>
      <c r="G94" s="1337" t="s">
        <v>14</v>
      </c>
      <c r="H94" s="1339"/>
      <c r="I94" s="616"/>
      <c r="J94" s="367">
        <f>I93</f>
        <v>0</v>
      </c>
    </row>
    <row r="95" spans="1:12" s="41" customFormat="1" ht="40.5" customHeight="1" x14ac:dyDescent="0.3">
      <c r="A95" s="1275" t="s">
        <v>360</v>
      </c>
      <c r="B95" s="1275"/>
      <c r="C95" s="1275"/>
      <c r="D95" s="1275"/>
      <c r="E95" s="1275"/>
      <c r="F95" s="1275"/>
      <c r="G95" s="1275"/>
      <c r="H95" s="1275"/>
      <c r="I95" s="1275"/>
      <c r="J95" s="1275"/>
    </row>
    <row r="96" spans="1:12" ht="39.6" x14ac:dyDescent="0.3">
      <c r="A96" s="615" t="s">
        <v>1</v>
      </c>
      <c r="B96" s="1302" t="s">
        <v>15</v>
      </c>
      <c r="C96" s="1302"/>
      <c r="D96" s="1302"/>
      <c r="E96" s="1302" t="s">
        <v>16</v>
      </c>
      <c r="F96" s="1302"/>
      <c r="G96" s="615" t="s">
        <v>17</v>
      </c>
      <c r="H96" s="615" t="s">
        <v>18</v>
      </c>
      <c r="I96" s="1302" t="s">
        <v>104</v>
      </c>
      <c r="J96" s="1302"/>
    </row>
    <row r="97" spans="1:10" x14ac:dyDescent="0.3">
      <c r="A97" s="615">
        <v>1</v>
      </c>
      <c r="B97" s="1302">
        <v>2</v>
      </c>
      <c r="C97" s="1302"/>
      <c r="D97" s="1302"/>
      <c r="E97" s="1302">
        <v>3</v>
      </c>
      <c r="F97" s="1302"/>
      <c r="G97" s="615">
        <v>4</v>
      </c>
      <c r="H97" s="615">
        <v>5</v>
      </c>
      <c r="I97" s="1302">
        <v>6</v>
      </c>
      <c r="J97" s="1302"/>
    </row>
    <row r="98" spans="1:10" ht="16.5" customHeight="1" x14ac:dyDescent="0.3">
      <c r="A98" s="1325" t="s">
        <v>361</v>
      </c>
      <c r="B98" s="1326"/>
      <c r="C98" s="1326"/>
      <c r="D98" s="1326"/>
      <c r="E98" s="1326"/>
      <c r="F98" s="1326"/>
      <c r="G98" s="1326"/>
      <c r="H98" s="1326"/>
      <c r="I98" s="1326"/>
      <c r="J98" s="1327"/>
    </row>
    <row r="99" spans="1:10" ht="29.25" customHeight="1" x14ac:dyDescent="0.3">
      <c r="A99" s="608" t="s">
        <v>70</v>
      </c>
      <c r="B99" s="1406" t="s">
        <v>713</v>
      </c>
      <c r="C99" s="1407"/>
      <c r="D99" s="1408"/>
      <c r="E99" s="1404">
        <v>300</v>
      </c>
      <c r="F99" s="1405"/>
      <c r="G99" s="608">
        <v>1</v>
      </c>
      <c r="H99" s="608">
        <v>5</v>
      </c>
      <c r="I99" s="1409">
        <f>E99*G99*H99</f>
        <v>1500</v>
      </c>
      <c r="J99" s="1409"/>
    </row>
    <row r="100" spans="1:10" ht="15" hidden="1" customHeight="1" x14ac:dyDescent="0.3">
      <c r="A100" s="1325" t="s">
        <v>363</v>
      </c>
      <c r="B100" s="1326"/>
      <c r="C100" s="1326"/>
      <c r="D100" s="1326"/>
      <c r="E100" s="1326"/>
      <c r="F100" s="1326"/>
      <c r="G100" s="1326"/>
      <c r="H100" s="1326"/>
      <c r="I100" s="1326"/>
      <c r="J100" s="1327"/>
    </row>
    <row r="101" spans="1:10" ht="53.25" hidden="1" customHeight="1" x14ac:dyDescent="0.3">
      <c r="A101" s="561" t="s">
        <v>70</v>
      </c>
      <c r="B101" s="1320" t="s">
        <v>513</v>
      </c>
      <c r="C101" s="1321"/>
      <c r="D101" s="1322"/>
      <c r="E101" s="1329">
        <v>22300</v>
      </c>
      <c r="F101" s="1329"/>
      <c r="G101" s="617">
        <v>45</v>
      </c>
      <c r="H101" s="617">
        <v>1</v>
      </c>
      <c r="I101" s="1333">
        <v>0</v>
      </c>
      <c r="J101" s="1334"/>
    </row>
    <row r="102" spans="1:10" ht="48.75" hidden="1" customHeight="1" x14ac:dyDescent="0.3">
      <c r="A102" s="608" t="s">
        <v>75</v>
      </c>
      <c r="B102" s="1320" t="s">
        <v>514</v>
      </c>
      <c r="C102" s="1321"/>
      <c r="D102" s="1322"/>
      <c r="E102" s="1323">
        <v>15600</v>
      </c>
      <c r="F102" s="1323"/>
      <c r="G102" s="140">
        <v>24</v>
      </c>
      <c r="H102" s="160">
        <v>1</v>
      </c>
      <c r="I102" s="1324">
        <v>0</v>
      </c>
      <c r="J102" s="1324"/>
    </row>
    <row r="103" spans="1:10" x14ac:dyDescent="0.3">
      <c r="A103" s="1325" t="s">
        <v>364</v>
      </c>
      <c r="B103" s="1326"/>
      <c r="C103" s="1326"/>
      <c r="D103" s="1326"/>
      <c r="E103" s="1326"/>
      <c r="F103" s="1326"/>
      <c r="G103" s="1326"/>
      <c r="H103" s="1326"/>
      <c r="I103" s="1326"/>
      <c r="J103" s="1327"/>
    </row>
    <row r="104" spans="1:10" ht="30.75" customHeight="1" x14ac:dyDescent="0.3">
      <c r="A104" s="161" t="s">
        <v>75</v>
      </c>
      <c r="B104" s="1401" t="s">
        <v>714</v>
      </c>
      <c r="C104" s="1402"/>
      <c r="D104" s="1403"/>
      <c r="E104" s="1399">
        <v>0</v>
      </c>
      <c r="F104" s="1399"/>
      <c r="G104" s="161">
        <v>3</v>
      </c>
      <c r="H104" s="161">
        <v>0</v>
      </c>
      <c r="I104" s="1400">
        <v>11500</v>
      </c>
      <c r="J104" s="1400"/>
    </row>
    <row r="105" spans="1:10" x14ac:dyDescent="0.3">
      <c r="A105" s="608"/>
      <c r="B105" s="1306" t="s">
        <v>13</v>
      </c>
      <c r="C105" s="1306"/>
      <c r="D105" s="1306"/>
      <c r="E105" s="1307" t="s">
        <v>14</v>
      </c>
      <c r="F105" s="1307"/>
      <c r="G105" s="608" t="s">
        <v>14</v>
      </c>
      <c r="H105" s="608" t="s">
        <v>14</v>
      </c>
      <c r="I105" s="1310">
        <f>I99+I102+I104+I101</f>
        <v>13000</v>
      </c>
      <c r="J105" s="1310"/>
    </row>
    <row r="106" spans="1:10" ht="19.5" hidden="1" customHeight="1" x14ac:dyDescent="0.3">
      <c r="A106" s="1243" t="s">
        <v>366</v>
      </c>
      <c r="B106" s="1243"/>
      <c r="C106" s="1243"/>
      <c r="D106" s="1243"/>
      <c r="E106" s="1243"/>
      <c r="F106" s="1243"/>
      <c r="G106" s="1243"/>
      <c r="H106" s="1243"/>
      <c r="I106" s="1243"/>
      <c r="J106" s="1243"/>
    </row>
    <row r="107" spans="1:10" ht="52.8" hidden="1" x14ac:dyDescent="0.3">
      <c r="A107" s="615" t="s">
        <v>1</v>
      </c>
      <c r="B107" s="1302" t="s">
        <v>15</v>
      </c>
      <c r="C107" s="1302"/>
      <c r="D107" s="1302"/>
      <c r="E107" s="1311" t="s">
        <v>20</v>
      </c>
      <c r="F107" s="1312"/>
      <c r="G107" s="615" t="s">
        <v>21</v>
      </c>
      <c r="H107" s="615" t="s">
        <v>22</v>
      </c>
      <c r="I107" s="1302" t="s">
        <v>19</v>
      </c>
      <c r="J107" s="1302"/>
    </row>
    <row r="108" spans="1:10" hidden="1" x14ac:dyDescent="0.3">
      <c r="A108" s="615">
        <v>1</v>
      </c>
      <c r="B108" s="1302">
        <v>2</v>
      </c>
      <c r="C108" s="1302"/>
      <c r="D108" s="1302"/>
      <c r="E108" s="1311">
        <v>3</v>
      </c>
      <c r="F108" s="1312"/>
      <c r="G108" s="615">
        <v>4</v>
      </c>
      <c r="H108" s="615">
        <v>5</v>
      </c>
      <c r="I108" s="1302">
        <v>6</v>
      </c>
      <c r="J108" s="1302"/>
    </row>
    <row r="109" spans="1:10" ht="47.25" hidden="1" customHeight="1" x14ac:dyDescent="0.3">
      <c r="A109" s="607" t="s">
        <v>70</v>
      </c>
      <c r="B109" s="1313" t="s">
        <v>79</v>
      </c>
      <c r="C109" s="1314"/>
      <c r="D109" s="1315"/>
      <c r="E109" s="1316"/>
      <c r="F109" s="1317"/>
      <c r="G109" s="163">
        <v>12</v>
      </c>
      <c r="H109" s="163">
        <v>85</v>
      </c>
      <c r="I109" s="1318">
        <f>E109*G109*H109</f>
        <v>0</v>
      </c>
      <c r="J109" s="1318"/>
    </row>
    <row r="110" spans="1:10" ht="17.25" hidden="1" customHeight="1" x14ac:dyDescent="0.3">
      <c r="A110" s="162"/>
      <c r="B110" s="1303" t="s">
        <v>13</v>
      </c>
      <c r="C110" s="1303"/>
      <c r="D110" s="1303"/>
      <c r="E110" s="1304" t="s">
        <v>14</v>
      </c>
      <c r="F110" s="1305"/>
      <c r="G110" s="608" t="s">
        <v>14</v>
      </c>
      <c r="H110" s="608" t="s">
        <v>14</v>
      </c>
      <c r="I110" s="1310">
        <f>SUM(I109)</f>
        <v>0</v>
      </c>
      <c r="J110" s="1319"/>
    </row>
    <row r="111" spans="1:10" s="41" customFormat="1" ht="54" customHeight="1" x14ac:dyDescent="0.3">
      <c r="A111" s="1275" t="s">
        <v>295</v>
      </c>
      <c r="B111" s="1275"/>
      <c r="C111" s="1275"/>
      <c r="D111" s="1275"/>
      <c r="E111" s="1275"/>
      <c r="F111" s="1275"/>
      <c r="G111" s="1275"/>
      <c r="H111" s="1275"/>
      <c r="I111" s="1275"/>
      <c r="J111" s="1275"/>
    </row>
    <row r="112" spans="1:10" ht="25.5" customHeight="1" x14ac:dyDescent="0.3">
      <c r="A112" s="627" t="s">
        <v>1</v>
      </c>
      <c r="B112" s="1276" t="s">
        <v>23</v>
      </c>
      <c r="C112" s="1276"/>
      <c r="D112" s="1276"/>
      <c r="E112" s="1276"/>
      <c r="F112" s="1276"/>
      <c r="G112" s="1276" t="s">
        <v>24</v>
      </c>
      <c r="H112" s="1276"/>
      <c r="I112" s="1276" t="s">
        <v>25</v>
      </c>
      <c r="J112" s="1276"/>
    </row>
    <row r="113" spans="1:10" ht="12" customHeight="1" x14ac:dyDescent="0.3">
      <c r="A113" s="623">
        <v>1</v>
      </c>
      <c r="B113" s="1110">
        <v>2</v>
      </c>
      <c r="C113" s="1110"/>
      <c r="D113" s="1110"/>
      <c r="E113" s="1110"/>
      <c r="F113" s="1110"/>
      <c r="G113" s="1110">
        <v>3</v>
      </c>
      <c r="H113" s="1110"/>
      <c r="I113" s="1110">
        <v>4</v>
      </c>
      <c r="J113" s="1110"/>
    </row>
    <row r="114" spans="1:10" ht="17.25" customHeight="1" x14ac:dyDescent="0.3">
      <c r="A114" s="618" t="s">
        <v>70</v>
      </c>
      <c r="B114" s="1295" t="s">
        <v>26</v>
      </c>
      <c r="C114" s="1295"/>
      <c r="D114" s="1295"/>
      <c r="E114" s="1295"/>
      <c r="F114" s="1295"/>
      <c r="G114" s="1300" t="s">
        <v>14</v>
      </c>
      <c r="H114" s="1300"/>
      <c r="I114" s="1299">
        <f>SUM(I116:J118)</f>
        <v>26680</v>
      </c>
      <c r="J114" s="1299"/>
    </row>
    <row r="115" spans="1:10" ht="16.5" customHeight="1" x14ac:dyDescent="0.3">
      <c r="A115" s="98"/>
      <c r="B115" s="1116" t="s">
        <v>9</v>
      </c>
      <c r="C115" s="1212"/>
      <c r="D115" s="1212"/>
      <c r="E115" s="1212"/>
      <c r="F115" s="1117"/>
      <c r="G115" s="1273"/>
      <c r="H115" s="1273"/>
      <c r="I115" s="1272"/>
      <c r="J115" s="1272"/>
    </row>
    <row r="116" spans="1:10" ht="17.25" customHeight="1" x14ac:dyDescent="0.3">
      <c r="A116" s="624" t="s">
        <v>27</v>
      </c>
      <c r="B116" s="1301" t="s">
        <v>28</v>
      </c>
      <c r="C116" s="1301"/>
      <c r="D116" s="1301"/>
      <c r="E116" s="1301"/>
      <c r="F116" s="1301"/>
      <c r="G116" s="1271">
        <f>J87</f>
        <v>120200</v>
      </c>
      <c r="H116" s="1271"/>
      <c r="I116" s="1272">
        <f>G116*22%+236</f>
        <v>26680</v>
      </c>
      <c r="J116" s="1272"/>
    </row>
    <row r="117" spans="1:10" ht="15" customHeight="1" x14ac:dyDescent="0.3">
      <c r="A117" s="624" t="s">
        <v>29</v>
      </c>
      <c r="B117" s="1143" t="s">
        <v>30</v>
      </c>
      <c r="C117" s="1143"/>
      <c r="D117" s="1143"/>
      <c r="E117" s="1143"/>
      <c r="F117" s="1143"/>
      <c r="G117" s="1273"/>
      <c r="H117" s="1273"/>
      <c r="I117" s="1272">
        <f>G117*10%</f>
        <v>0</v>
      </c>
      <c r="J117" s="1272"/>
    </row>
    <row r="118" spans="1:10" ht="29.4" customHeight="1" x14ac:dyDescent="0.3">
      <c r="A118" s="624" t="s">
        <v>31</v>
      </c>
      <c r="B118" s="1274" t="s">
        <v>32</v>
      </c>
      <c r="C118" s="1274"/>
      <c r="D118" s="1274"/>
      <c r="E118" s="1274"/>
      <c r="F118" s="1274"/>
      <c r="G118" s="1273"/>
      <c r="H118" s="1273"/>
      <c r="I118" s="1272"/>
      <c r="J118" s="1272"/>
    </row>
    <row r="119" spans="1:10" ht="29.25" customHeight="1" x14ac:dyDescent="0.3">
      <c r="A119" s="618" t="s">
        <v>75</v>
      </c>
      <c r="B119" s="1295" t="s">
        <v>33</v>
      </c>
      <c r="C119" s="1295"/>
      <c r="D119" s="1295"/>
      <c r="E119" s="1295"/>
      <c r="F119" s="1295"/>
      <c r="G119" s="1300" t="s">
        <v>14</v>
      </c>
      <c r="H119" s="1300"/>
      <c r="I119" s="1299">
        <f>SUM(I121:J125)</f>
        <v>3726.2</v>
      </c>
      <c r="J119" s="1299"/>
    </row>
    <row r="120" spans="1:10" ht="15.75" customHeight="1" x14ac:dyDescent="0.3">
      <c r="A120" s="98"/>
      <c r="B120" s="1116" t="s">
        <v>9</v>
      </c>
      <c r="C120" s="1212"/>
      <c r="D120" s="1212"/>
      <c r="E120" s="1212"/>
      <c r="F120" s="1117"/>
      <c r="G120" s="1273"/>
      <c r="H120" s="1273"/>
      <c r="I120" s="1272"/>
      <c r="J120" s="1272"/>
    </row>
    <row r="121" spans="1:10" ht="27.75" customHeight="1" x14ac:dyDescent="0.3">
      <c r="A121" s="624" t="s">
        <v>34</v>
      </c>
      <c r="B121" s="1274" t="s">
        <v>35</v>
      </c>
      <c r="C121" s="1274"/>
      <c r="D121" s="1274"/>
      <c r="E121" s="1274"/>
      <c r="F121" s="1274"/>
      <c r="G121" s="1271">
        <f>G116+G117</f>
        <v>120200</v>
      </c>
      <c r="H121" s="1271"/>
      <c r="I121" s="1272">
        <f>G121*2.9%</f>
        <v>3485.7999999999997</v>
      </c>
      <c r="J121" s="1272"/>
    </row>
    <row r="122" spans="1:10" ht="15" customHeight="1" x14ac:dyDescent="0.3">
      <c r="A122" s="624" t="s">
        <v>36</v>
      </c>
      <c r="B122" s="1274" t="s">
        <v>37</v>
      </c>
      <c r="C122" s="1274"/>
      <c r="D122" s="1274"/>
      <c r="E122" s="1274"/>
      <c r="F122" s="1274"/>
      <c r="G122" s="1273"/>
      <c r="H122" s="1273"/>
      <c r="I122" s="1272"/>
      <c r="J122" s="1272"/>
    </row>
    <row r="123" spans="1:10" ht="35.25" customHeight="1" x14ac:dyDescent="0.3">
      <c r="A123" s="624" t="s">
        <v>38</v>
      </c>
      <c r="B123" s="1274" t="s">
        <v>39</v>
      </c>
      <c r="C123" s="1274"/>
      <c r="D123" s="1274"/>
      <c r="E123" s="1274"/>
      <c r="F123" s="1274"/>
      <c r="G123" s="1271">
        <f>G116+G117</f>
        <v>120200</v>
      </c>
      <c r="H123" s="1271"/>
      <c r="I123" s="1272">
        <f>G123*0.2%</f>
        <v>240.4</v>
      </c>
      <c r="J123" s="1272"/>
    </row>
    <row r="124" spans="1:10" s="41" customFormat="1" ht="15" customHeight="1" x14ac:dyDescent="0.3">
      <c r="A124" s="624" t="s">
        <v>40</v>
      </c>
      <c r="B124" s="1274" t="s">
        <v>41</v>
      </c>
      <c r="C124" s="1274"/>
      <c r="D124" s="1274"/>
      <c r="E124" s="1274"/>
      <c r="F124" s="1274"/>
      <c r="G124" s="1273"/>
      <c r="H124" s="1273"/>
      <c r="I124" s="1272"/>
      <c r="J124" s="1272"/>
    </row>
    <row r="125" spans="1:10" ht="15" customHeight="1" x14ac:dyDescent="0.3">
      <c r="A125" s="624" t="s">
        <v>42</v>
      </c>
      <c r="B125" s="1274" t="s">
        <v>41</v>
      </c>
      <c r="C125" s="1274"/>
      <c r="D125" s="1274"/>
      <c r="E125" s="1274"/>
      <c r="F125" s="1274"/>
      <c r="G125" s="1273"/>
      <c r="H125" s="1273"/>
      <c r="I125" s="1272"/>
      <c r="J125" s="1272"/>
    </row>
    <row r="126" spans="1:10" ht="30" customHeight="1" x14ac:dyDescent="0.3">
      <c r="A126" s="618" t="s">
        <v>77</v>
      </c>
      <c r="B126" s="1295" t="s">
        <v>43</v>
      </c>
      <c r="C126" s="1295"/>
      <c r="D126" s="1295"/>
      <c r="E126" s="1295"/>
      <c r="F126" s="1295"/>
      <c r="G126" s="1298">
        <f>G116+G117</f>
        <v>120200</v>
      </c>
      <c r="H126" s="1298"/>
      <c r="I126" s="1299">
        <f>G126*5.1%-36.4</f>
        <v>6093.8</v>
      </c>
      <c r="J126" s="1299"/>
    </row>
    <row r="127" spans="1:10" ht="19.5" customHeight="1" x14ac:dyDescent="0.3">
      <c r="A127" s="624"/>
      <c r="B127" s="1098" t="s">
        <v>929</v>
      </c>
      <c r="C127" s="1098"/>
      <c r="D127" s="1098"/>
      <c r="E127" s="1098"/>
      <c r="F127" s="1098"/>
      <c r="G127" s="1090" t="s">
        <v>14</v>
      </c>
      <c r="H127" s="1090"/>
      <c r="I127" s="1297">
        <f>I114+I119+I126</f>
        <v>36500</v>
      </c>
      <c r="J127" s="1297"/>
    </row>
    <row r="128" spans="1:10" ht="36" hidden="1" customHeight="1" x14ac:dyDescent="0.3">
      <c r="A128" s="627" t="s">
        <v>1</v>
      </c>
      <c r="B128" s="1269" t="s">
        <v>23</v>
      </c>
      <c r="C128" s="1296"/>
      <c r="D128" s="1296"/>
      <c r="E128" s="1296"/>
      <c r="F128" s="1270"/>
      <c r="G128" s="1269" t="s">
        <v>24</v>
      </c>
      <c r="H128" s="1270"/>
      <c r="I128" s="1269" t="s">
        <v>25</v>
      </c>
      <c r="J128" s="1270"/>
    </row>
    <row r="129" spans="1:10" ht="11.25" hidden="1" customHeight="1" x14ac:dyDescent="0.3">
      <c r="A129" s="623">
        <v>1</v>
      </c>
      <c r="B129" s="1139">
        <v>2</v>
      </c>
      <c r="C129" s="1210"/>
      <c r="D129" s="1210"/>
      <c r="E129" s="1210"/>
      <c r="F129" s="1140"/>
      <c r="G129" s="1139">
        <v>3</v>
      </c>
      <c r="H129" s="1140"/>
      <c r="I129" s="1139">
        <v>4</v>
      </c>
      <c r="J129" s="1140"/>
    </row>
    <row r="130" spans="1:10" ht="20.25" hidden="1" customHeight="1" x14ac:dyDescent="0.3">
      <c r="A130" s="618" t="s">
        <v>70</v>
      </c>
      <c r="B130" s="1252" t="s">
        <v>26</v>
      </c>
      <c r="C130" s="1253"/>
      <c r="D130" s="1253"/>
      <c r="E130" s="1253"/>
      <c r="F130" s="1254"/>
      <c r="G130" s="1187" t="s">
        <v>14</v>
      </c>
      <c r="H130" s="1188"/>
      <c r="I130" s="1255">
        <f>SUM(I132:J134)</f>
        <v>0</v>
      </c>
      <c r="J130" s="1256"/>
    </row>
    <row r="131" spans="1:10" ht="18" hidden="1" customHeight="1" x14ac:dyDescent="0.3">
      <c r="A131" s="98"/>
      <c r="B131" s="1116" t="s">
        <v>9</v>
      </c>
      <c r="C131" s="1212"/>
      <c r="D131" s="1212"/>
      <c r="E131" s="1212"/>
      <c r="F131" s="1117"/>
      <c r="G131" s="1257"/>
      <c r="H131" s="1258"/>
      <c r="I131" s="1259"/>
      <c r="J131" s="1260"/>
    </row>
    <row r="132" spans="1:10" s="41" customFormat="1" ht="20.25" hidden="1" customHeight="1" x14ac:dyDescent="0.3">
      <c r="A132" s="624" t="s">
        <v>27</v>
      </c>
      <c r="B132" s="1263" t="s">
        <v>28</v>
      </c>
      <c r="C132" s="1264"/>
      <c r="D132" s="1264"/>
      <c r="E132" s="1264"/>
      <c r="F132" s="1265"/>
      <c r="G132" s="1261">
        <f>J86</f>
        <v>0</v>
      </c>
      <c r="H132" s="1262"/>
      <c r="I132" s="1259">
        <f>G132*22%</f>
        <v>0</v>
      </c>
      <c r="J132" s="1260"/>
    </row>
    <row r="133" spans="1:10" hidden="1" x14ac:dyDescent="0.3">
      <c r="A133" s="624" t="s">
        <v>29</v>
      </c>
      <c r="B133" s="1197" t="s">
        <v>30</v>
      </c>
      <c r="C133" s="1198"/>
      <c r="D133" s="1198"/>
      <c r="E133" s="1198"/>
      <c r="F133" s="1199"/>
      <c r="G133" s="1257"/>
      <c r="H133" s="1258"/>
      <c r="I133" s="1259"/>
      <c r="J133" s="1260"/>
    </row>
    <row r="134" spans="1:10" ht="15" hidden="1" customHeight="1" x14ac:dyDescent="0.3">
      <c r="A134" s="624" t="s">
        <v>31</v>
      </c>
      <c r="B134" s="1266" t="s">
        <v>32</v>
      </c>
      <c r="C134" s="1267"/>
      <c r="D134" s="1267"/>
      <c r="E134" s="1267"/>
      <c r="F134" s="1268"/>
      <c r="G134" s="1257"/>
      <c r="H134" s="1258"/>
      <c r="I134" s="1259"/>
      <c r="J134" s="1260"/>
    </row>
    <row r="135" spans="1:10" ht="15" hidden="1" customHeight="1" x14ac:dyDescent="0.3">
      <c r="A135" s="618" t="s">
        <v>75</v>
      </c>
      <c r="B135" s="1252" t="s">
        <v>33</v>
      </c>
      <c r="C135" s="1253"/>
      <c r="D135" s="1253"/>
      <c r="E135" s="1253"/>
      <c r="F135" s="1254"/>
      <c r="G135" s="1187" t="s">
        <v>14</v>
      </c>
      <c r="H135" s="1188"/>
      <c r="I135" s="1255">
        <f>SUM(I137:J141)</f>
        <v>-4.0000000000000001E-3</v>
      </c>
      <c r="J135" s="1256"/>
    </row>
    <row r="136" spans="1:10" ht="15" hidden="1" customHeight="1" x14ac:dyDescent="0.3">
      <c r="A136" s="98"/>
      <c r="B136" s="1116" t="s">
        <v>9</v>
      </c>
      <c r="C136" s="1212"/>
      <c r="D136" s="1212"/>
      <c r="E136" s="1212"/>
      <c r="F136" s="1117"/>
      <c r="G136" s="1257"/>
      <c r="H136" s="1258"/>
      <c r="I136" s="1259"/>
      <c r="J136" s="1260"/>
    </row>
    <row r="137" spans="1:10" ht="26.25" hidden="1" customHeight="1" x14ac:dyDescent="0.3">
      <c r="A137" s="624" t="s">
        <v>34</v>
      </c>
      <c r="B137" s="1266" t="s">
        <v>35</v>
      </c>
      <c r="C137" s="1267"/>
      <c r="D137" s="1267"/>
      <c r="E137" s="1267"/>
      <c r="F137" s="1268"/>
      <c r="G137" s="1261">
        <f>G132</f>
        <v>0</v>
      </c>
      <c r="H137" s="1262"/>
      <c r="I137" s="1259">
        <f>G137*2.9%</f>
        <v>0</v>
      </c>
      <c r="J137" s="1260"/>
    </row>
    <row r="138" spans="1:10" hidden="1" x14ac:dyDescent="0.3">
      <c r="A138" s="624" t="s">
        <v>36</v>
      </c>
      <c r="B138" s="1266" t="s">
        <v>37</v>
      </c>
      <c r="C138" s="1267"/>
      <c r="D138" s="1267"/>
      <c r="E138" s="1267"/>
      <c r="F138" s="1268"/>
      <c r="G138" s="1257"/>
      <c r="H138" s="1258"/>
      <c r="I138" s="1259"/>
      <c r="J138" s="1260"/>
    </row>
    <row r="139" spans="1:10" ht="26.25" hidden="1" customHeight="1" x14ac:dyDescent="0.3">
      <c r="A139" s="624" t="s">
        <v>38</v>
      </c>
      <c r="B139" s="1266" t="s">
        <v>39</v>
      </c>
      <c r="C139" s="1267"/>
      <c r="D139" s="1267"/>
      <c r="E139" s="1267"/>
      <c r="F139" s="1268"/>
      <c r="G139" s="1261">
        <f>G132</f>
        <v>0</v>
      </c>
      <c r="H139" s="1262"/>
      <c r="I139" s="1259">
        <f>G139*0.2%-0.004</f>
        <v>-4.0000000000000001E-3</v>
      </c>
      <c r="J139" s="1260"/>
    </row>
    <row r="140" spans="1:10" s="41" customFormat="1" ht="14.25" hidden="1" customHeight="1" x14ac:dyDescent="0.3">
      <c r="A140" s="624" t="s">
        <v>40</v>
      </c>
      <c r="B140" s="1266" t="s">
        <v>41</v>
      </c>
      <c r="C140" s="1267"/>
      <c r="D140" s="1267"/>
      <c r="E140" s="1267"/>
      <c r="F140" s="1268"/>
      <c r="G140" s="1257"/>
      <c r="H140" s="1258"/>
      <c r="I140" s="1259"/>
      <c r="J140" s="1260"/>
    </row>
    <row r="141" spans="1:10" ht="15" hidden="1" customHeight="1" x14ac:dyDescent="0.3">
      <c r="A141" s="624" t="s">
        <v>42</v>
      </c>
      <c r="B141" s="1266" t="s">
        <v>41</v>
      </c>
      <c r="C141" s="1267"/>
      <c r="D141" s="1267"/>
      <c r="E141" s="1267"/>
      <c r="F141" s="1268"/>
      <c r="G141" s="1257"/>
      <c r="H141" s="1258"/>
      <c r="I141" s="1259"/>
      <c r="J141" s="1260"/>
    </row>
    <row r="142" spans="1:10" hidden="1" x14ac:dyDescent="0.3">
      <c r="A142" s="618" t="s">
        <v>77</v>
      </c>
      <c r="B142" s="1252" t="s">
        <v>43</v>
      </c>
      <c r="C142" s="1253"/>
      <c r="D142" s="1253"/>
      <c r="E142" s="1253"/>
      <c r="F142" s="1254"/>
      <c r="G142" s="1292">
        <f>G132</f>
        <v>0</v>
      </c>
      <c r="H142" s="1293"/>
      <c r="I142" s="1255">
        <f>G142*5.1%</f>
        <v>0</v>
      </c>
      <c r="J142" s="1256"/>
    </row>
    <row r="143" spans="1:10" x14ac:dyDescent="0.3">
      <c r="A143" s="624"/>
      <c r="B143" s="1249" t="s">
        <v>380</v>
      </c>
      <c r="C143" s="1250"/>
      <c r="D143" s="1250"/>
      <c r="E143" s="1250"/>
      <c r="F143" s="1251"/>
      <c r="G143" s="1244" t="s">
        <v>14</v>
      </c>
      <c r="H143" s="1245"/>
      <c r="I143" s="1288">
        <f>I130+I135+I142</f>
        <v>-4.0000000000000001E-3</v>
      </c>
      <c r="J143" s="1289"/>
    </row>
    <row r="144" spans="1:10" x14ac:dyDescent="0.3">
      <c r="A144" s="624"/>
      <c r="B144" s="1249" t="s">
        <v>567</v>
      </c>
      <c r="C144" s="1250"/>
      <c r="D144" s="1250"/>
      <c r="E144" s="1250"/>
      <c r="F144" s="1251"/>
      <c r="G144" s="621"/>
      <c r="H144" s="622"/>
      <c r="I144" s="1288">
        <v>0</v>
      </c>
      <c r="J144" s="1289"/>
    </row>
    <row r="145" spans="1:12" s="41" customFormat="1" ht="19.5" customHeight="1" x14ac:dyDescent="0.3">
      <c r="A145" s="109"/>
      <c r="B145" s="1294" t="s">
        <v>809</v>
      </c>
      <c r="C145" s="1294"/>
      <c r="D145" s="1294"/>
      <c r="E145" s="1294"/>
      <c r="F145" s="1294"/>
      <c r="G145" s="1290" t="s">
        <v>14</v>
      </c>
      <c r="H145" s="1290"/>
      <c r="I145" s="1291">
        <f>I127+I143+I144</f>
        <v>36499.995999999999</v>
      </c>
      <c r="J145" s="1291"/>
      <c r="K145" s="1237"/>
      <c r="L145" s="1237"/>
    </row>
    <row r="146" spans="1:12" s="41" customFormat="1" ht="38.25" customHeight="1" x14ac:dyDescent="0.3">
      <c r="A146" s="1240" t="s">
        <v>468</v>
      </c>
      <c r="B146" s="1240"/>
      <c r="C146" s="1240"/>
      <c r="D146" s="1240"/>
      <c r="E146" s="1240"/>
      <c r="F146" s="1240"/>
      <c r="G146" s="1240"/>
      <c r="H146" s="1240"/>
      <c r="I146" s="1240"/>
      <c r="J146" s="1240"/>
    </row>
    <row r="147" spans="1:12" ht="19.5" hidden="1" customHeight="1" x14ac:dyDescent="0.3">
      <c r="A147" s="1243" t="s">
        <v>377</v>
      </c>
      <c r="B147" s="1243"/>
      <c r="C147" s="1243"/>
      <c r="D147" s="1243"/>
      <c r="E147" s="1243"/>
      <c r="F147" s="1243"/>
      <c r="G147" s="1243"/>
      <c r="H147" s="1243"/>
      <c r="I147" s="1243"/>
      <c r="J147" s="1243"/>
      <c r="K147" s="11"/>
      <c r="L147" s="11"/>
    </row>
    <row r="148" spans="1:12" ht="15" hidden="1" customHeight="1" x14ac:dyDescent="0.3">
      <c r="A148" s="89" t="s">
        <v>80</v>
      </c>
      <c r="B148" s="90"/>
      <c r="C148" s="349">
        <v>321</v>
      </c>
      <c r="D148" s="349"/>
      <c r="E148" s="349"/>
      <c r="F148" s="94"/>
      <c r="G148" s="94"/>
      <c r="H148" s="94"/>
      <c r="I148" s="94"/>
      <c r="J148" s="94"/>
      <c r="K148" s="11"/>
      <c r="L148" s="11"/>
    </row>
    <row r="149" spans="1:12" ht="16.5" hidden="1" customHeight="1" x14ac:dyDescent="0.3">
      <c r="A149" s="89" t="s">
        <v>81</v>
      </c>
      <c r="B149" s="90"/>
      <c r="C149" s="90"/>
      <c r="D149" s="90"/>
      <c r="E149" s="95"/>
      <c r="F149" s="96"/>
      <c r="G149" s="96"/>
      <c r="H149" s="96"/>
      <c r="I149" s="96"/>
      <c r="J149" s="96"/>
      <c r="K149" s="11"/>
      <c r="L149" s="11"/>
    </row>
    <row r="150" spans="1:12" ht="36" hidden="1" customHeight="1" x14ac:dyDescent="0.3">
      <c r="A150" s="623" t="s">
        <v>1</v>
      </c>
      <c r="B150" s="1139" t="s">
        <v>44</v>
      </c>
      <c r="C150" s="1210"/>
      <c r="D150" s="1140"/>
      <c r="E150" s="1139" t="s">
        <v>45</v>
      </c>
      <c r="F150" s="1140"/>
      <c r="G150" s="1139" t="s">
        <v>46</v>
      </c>
      <c r="H150" s="1140"/>
      <c r="I150" s="1139" t="s">
        <v>102</v>
      </c>
      <c r="J150" s="1140"/>
      <c r="K150" s="11"/>
      <c r="L150" s="11"/>
    </row>
    <row r="151" spans="1:12" ht="16.5" hidden="1" customHeight="1" x14ac:dyDescent="0.3">
      <c r="A151" s="623">
        <v>1</v>
      </c>
      <c r="B151" s="1139">
        <v>2</v>
      </c>
      <c r="C151" s="1210"/>
      <c r="D151" s="1140"/>
      <c r="E151" s="1139">
        <v>3</v>
      </c>
      <c r="F151" s="1140"/>
      <c r="G151" s="1139">
        <v>4</v>
      </c>
      <c r="H151" s="1140"/>
      <c r="I151" s="1139">
        <v>5</v>
      </c>
      <c r="J151" s="1140"/>
      <c r="K151" s="11"/>
      <c r="L151" s="11"/>
    </row>
    <row r="152" spans="1:12" ht="89.25" hidden="1" customHeight="1" x14ac:dyDescent="0.3">
      <c r="A152" s="612" t="s">
        <v>70</v>
      </c>
      <c r="B152" s="1197" t="s">
        <v>368</v>
      </c>
      <c r="C152" s="1198"/>
      <c r="D152" s="1199"/>
      <c r="E152" s="1116"/>
      <c r="F152" s="1117"/>
      <c r="G152" s="1116"/>
      <c r="H152" s="1117"/>
      <c r="I152" s="1116"/>
      <c r="J152" s="1117"/>
    </row>
    <row r="153" spans="1:12" ht="28.5" hidden="1" customHeight="1" x14ac:dyDescent="0.3">
      <c r="A153" s="624" t="s">
        <v>75</v>
      </c>
      <c r="B153" s="1197" t="s">
        <v>367</v>
      </c>
      <c r="C153" s="1198"/>
      <c r="D153" s="1199"/>
      <c r="E153" s="1116"/>
      <c r="F153" s="1117"/>
      <c r="G153" s="1116"/>
      <c r="H153" s="1117"/>
      <c r="I153" s="1116"/>
      <c r="J153" s="1117"/>
    </row>
    <row r="154" spans="1:12" ht="28.5" hidden="1" customHeight="1" x14ac:dyDescent="0.3">
      <c r="A154" s="624" t="s">
        <v>70</v>
      </c>
      <c r="B154" s="1313" t="s">
        <v>373</v>
      </c>
      <c r="C154" s="1314"/>
      <c r="D154" s="1315"/>
      <c r="E154" s="1116"/>
      <c r="F154" s="1156"/>
      <c r="G154" s="1116"/>
      <c r="H154" s="1156"/>
      <c r="I154" s="1116"/>
      <c r="J154" s="1156"/>
    </row>
    <row r="155" spans="1:12" hidden="1" x14ac:dyDescent="0.3">
      <c r="A155" s="620"/>
      <c r="B155" s="1249" t="s">
        <v>13</v>
      </c>
      <c r="C155" s="1250"/>
      <c r="D155" s="1251"/>
      <c r="E155" s="1244" t="s">
        <v>14</v>
      </c>
      <c r="F155" s="1245"/>
      <c r="G155" s="1244" t="s">
        <v>14</v>
      </c>
      <c r="H155" s="1245"/>
      <c r="I155" s="1244">
        <f>SUM(I154)</f>
        <v>0</v>
      </c>
      <c r="J155" s="1245"/>
    </row>
    <row r="156" spans="1:12" s="41" customFormat="1" ht="21" hidden="1" customHeight="1" x14ac:dyDescent="0.3">
      <c r="A156" s="1243" t="s">
        <v>369</v>
      </c>
      <c r="B156" s="1243"/>
      <c r="C156" s="1243"/>
      <c r="D156" s="1243"/>
      <c r="E156" s="1243"/>
      <c r="F156" s="1243"/>
      <c r="G156" s="1243"/>
      <c r="H156" s="1243"/>
      <c r="I156" s="1243"/>
      <c r="J156" s="1243"/>
    </row>
    <row r="157" spans="1:12" s="41" customFormat="1" ht="21" hidden="1" customHeight="1" x14ac:dyDescent="0.3">
      <c r="A157" s="89" t="s">
        <v>80</v>
      </c>
      <c r="B157" s="90"/>
      <c r="C157" s="349">
        <v>851</v>
      </c>
      <c r="D157" s="349">
        <v>852</v>
      </c>
      <c r="E157" s="349">
        <v>853</v>
      </c>
      <c r="F157" s="94"/>
      <c r="G157" s="94"/>
      <c r="H157" s="94"/>
      <c r="I157" s="94"/>
      <c r="J157" s="94"/>
      <c r="K157" s="42"/>
      <c r="L157" s="43"/>
    </row>
    <row r="158" spans="1:12" s="41" customFormat="1" ht="15.6" hidden="1" x14ac:dyDescent="0.3">
      <c r="A158" s="89" t="s">
        <v>81</v>
      </c>
      <c r="B158" s="90"/>
      <c r="C158" s="90"/>
      <c r="D158" s="90"/>
      <c r="E158" s="95"/>
      <c r="F158" s="96"/>
      <c r="G158" s="96"/>
      <c r="H158" s="96"/>
      <c r="I158" s="96"/>
      <c r="J158" s="96"/>
    </row>
    <row r="159" spans="1:12" ht="39.75" hidden="1" customHeight="1" x14ac:dyDescent="0.3">
      <c r="A159" s="623" t="s">
        <v>1</v>
      </c>
      <c r="B159" s="1110" t="s">
        <v>15</v>
      </c>
      <c r="C159" s="1110"/>
      <c r="D159" s="1110"/>
      <c r="E159" s="1110" t="s">
        <v>47</v>
      </c>
      <c r="F159" s="1110"/>
      <c r="G159" s="1110" t="s">
        <v>48</v>
      </c>
      <c r="H159" s="1110"/>
      <c r="I159" s="1110" t="s">
        <v>103</v>
      </c>
      <c r="J159" s="1110"/>
    </row>
    <row r="160" spans="1:12" ht="15" hidden="1" customHeight="1" x14ac:dyDescent="0.3">
      <c r="A160" s="623">
        <v>1</v>
      </c>
      <c r="B160" s="1110">
        <v>2</v>
      </c>
      <c r="C160" s="1110"/>
      <c r="D160" s="1110"/>
      <c r="E160" s="1110">
        <v>3</v>
      </c>
      <c r="F160" s="1110"/>
      <c r="G160" s="1110">
        <v>4</v>
      </c>
      <c r="H160" s="1110"/>
      <c r="I160" s="1110">
        <v>5</v>
      </c>
      <c r="J160" s="1110"/>
    </row>
    <row r="161" spans="1:12" ht="20.25" hidden="1" customHeight="1" x14ac:dyDescent="0.3">
      <c r="A161" s="1280" t="s">
        <v>70</v>
      </c>
      <c r="B161" s="1285" t="s">
        <v>296</v>
      </c>
      <c r="C161" s="1286"/>
      <c r="D161" s="625" t="s">
        <v>515</v>
      </c>
      <c r="E161" s="1287"/>
      <c r="F161" s="1287"/>
      <c r="G161" s="1284">
        <v>2.1999999999999999E-2</v>
      </c>
      <c r="H161" s="1284"/>
      <c r="I161" s="1231"/>
      <c r="J161" s="1231"/>
    </row>
    <row r="162" spans="1:12" ht="17.25" hidden="1" customHeight="1" x14ac:dyDescent="0.3">
      <c r="A162" s="1281"/>
      <c r="B162" s="1286"/>
      <c r="C162" s="1286"/>
      <c r="D162" s="626" t="s">
        <v>516</v>
      </c>
      <c r="E162" s="1287"/>
      <c r="F162" s="1287"/>
      <c r="G162" s="1284">
        <v>2.1999999999999999E-2</v>
      </c>
      <c r="H162" s="1284"/>
      <c r="I162" s="1231"/>
      <c r="J162" s="1231"/>
    </row>
    <row r="163" spans="1:12" ht="18" hidden="1" customHeight="1" x14ac:dyDescent="0.3">
      <c r="A163" s="624" t="s">
        <v>75</v>
      </c>
      <c r="B163" s="1197" t="s">
        <v>298</v>
      </c>
      <c r="C163" s="1198"/>
      <c r="D163" s="1199"/>
      <c r="E163" s="1213">
        <v>0</v>
      </c>
      <c r="F163" s="1213"/>
      <c r="G163" s="1213">
        <v>0</v>
      </c>
      <c r="H163" s="1213"/>
      <c r="I163" s="1231"/>
      <c r="J163" s="1231"/>
    </row>
    <row r="164" spans="1:12" ht="31.5" hidden="1" customHeight="1" x14ac:dyDescent="0.3">
      <c r="A164" s="624" t="s">
        <v>77</v>
      </c>
      <c r="B164" s="1197" t="s">
        <v>299</v>
      </c>
      <c r="C164" s="1198"/>
      <c r="D164" s="1199"/>
      <c r="E164" s="1213">
        <v>0</v>
      </c>
      <c r="F164" s="1213"/>
      <c r="G164" s="1213">
        <v>0</v>
      </c>
      <c r="H164" s="1213"/>
      <c r="I164" s="1231"/>
      <c r="J164" s="1231"/>
    </row>
    <row r="165" spans="1:12" ht="31.5" hidden="1" customHeight="1" x14ac:dyDescent="0.3">
      <c r="A165" s="624" t="s">
        <v>86</v>
      </c>
      <c r="B165" s="1197" t="s">
        <v>297</v>
      </c>
      <c r="C165" s="1198"/>
      <c r="D165" s="1199"/>
      <c r="E165" s="1116">
        <v>0</v>
      </c>
      <c r="F165" s="1117"/>
      <c r="G165" s="1116">
        <v>0</v>
      </c>
      <c r="H165" s="1117"/>
      <c r="I165" s="1282"/>
      <c r="J165" s="1283"/>
    </row>
    <row r="166" spans="1:12" ht="15.75" hidden="1" customHeight="1" x14ac:dyDescent="0.3">
      <c r="A166" s="620"/>
      <c r="B166" s="1098" t="s">
        <v>13</v>
      </c>
      <c r="C166" s="1098"/>
      <c r="D166" s="1098"/>
      <c r="E166" s="1090" t="s">
        <v>74</v>
      </c>
      <c r="F166" s="1090"/>
      <c r="G166" s="1090" t="s">
        <v>14</v>
      </c>
      <c r="H166" s="1090"/>
      <c r="I166" s="1101">
        <f>SUM(I161:J165)</f>
        <v>0</v>
      </c>
      <c r="J166" s="1090"/>
    </row>
    <row r="167" spans="1:12" ht="27" hidden="1" customHeight="1" x14ac:dyDescent="0.3">
      <c r="A167" s="1243" t="s">
        <v>85</v>
      </c>
      <c r="B167" s="1243"/>
      <c r="C167" s="1243"/>
      <c r="D167" s="1243"/>
      <c r="E167" s="1243"/>
      <c r="F167" s="1243"/>
      <c r="G167" s="1243"/>
      <c r="H167" s="1243"/>
      <c r="I167" s="1243"/>
      <c r="J167" s="1243"/>
      <c r="K167" s="1237"/>
      <c r="L167" s="1237"/>
    </row>
    <row r="168" spans="1:12" s="41" customFormat="1" ht="15.75" hidden="1" customHeight="1" x14ac:dyDescent="0.3">
      <c r="A168" s="89" t="s">
        <v>80</v>
      </c>
      <c r="B168" s="90"/>
      <c r="C168" s="349"/>
      <c r="D168" s="349"/>
      <c r="E168" s="349"/>
      <c r="F168" s="94"/>
      <c r="G168" s="94"/>
      <c r="H168" s="94"/>
      <c r="I168" s="94"/>
      <c r="J168" s="94"/>
      <c r="K168" s="42"/>
      <c r="L168" s="43"/>
    </row>
    <row r="169" spans="1:12" s="41" customFormat="1" ht="15.6" hidden="1" x14ac:dyDescent="0.3">
      <c r="A169" s="89" t="s">
        <v>81</v>
      </c>
      <c r="B169" s="90"/>
      <c r="C169" s="90"/>
      <c r="D169" s="90"/>
      <c r="E169" s="95"/>
      <c r="F169" s="96"/>
      <c r="G169" s="96"/>
      <c r="H169" s="96"/>
      <c r="I169" s="96"/>
      <c r="J169" s="96"/>
    </row>
    <row r="170" spans="1:12" ht="24.75" hidden="1" customHeight="1" x14ac:dyDescent="0.3">
      <c r="A170" s="623" t="s">
        <v>1</v>
      </c>
      <c r="B170" s="1110" t="s">
        <v>44</v>
      </c>
      <c r="C170" s="1110"/>
      <c r="D170" s="1110"/>
      <c r="E170" s="1110" t="s">
        <v>45</v>
      </c>
      <c r="F170" s="1110"/>
      <c r="G170" s="1110" t="s">
        <v>46</v>
      </c>
      <c r="H170" s="1110"/>
      <c r="I170" s="1110" t="s">
        <v>102</v>
      </c>
      <c r="J170" s="1110"/>
      <c r="K170" s="11"/>
      <c r="L170" s="11"/>
    </row>
    <row r="171" spans="1:12" ht="14.25" hidden="1" customHeight="1" x14ac:dyDescent="0.3">
      <c r="A171" s="623">
        <v>1</v>
      </c>
      <c r="B171" s="1110">
        <v>2</v>
      </c>
      <c r="C171" s="1110"/>
      <c r="D171" s="1110"/>
      <c r="E171" s="1110">
        <v>3</v>
      </c>
      <c r="F171" s="1110"/>
      <c r="G171" s="1110">
        <v>4</v>
      </c>
      <c r="H171" s="1110"/>
      <c r="I171" s="1110">
        <v>5</v>
      </c>
      <c r="J171" s="1110"/>
      <c r="K171" s="650"/>
      <c r="L171" s="651"/>
    </row>
    <row r="172" spans="1:12" ht="15" hidden="1" customHeight="1" x14ac:dyDescent="0.3">
      <c r="A172" s="624"/>
      <c r="B172" s="1116"/>
      <c r="C172" s="1212"/>
      <c r="D172" s="1117"/>
      <c r="E172" s="1116"/>
      <c r="F172" s="1117"/>
      <c r="G172" s="1116"/>
      <c r="H172" s="1117"/>
      <c r="I172" s="1116"/>
      <c r="J172" s="1117"/>
      <c r="K172" s="11"/>
      <c r="L172" s="11"/>
    </row>
    <row r="173" spans="1:12" ht="17.25" hidden="1" customHeight="1" x14ac:dyDescent="0.3">
      <c r="A173" s="620"/>
      <c r="B173" s="1098" t="s">
        <v>13</v>
      </c>
      <c r="C173" s="1098"/>
      <c r="D173" s="1098"/>
      <c r="E173" s="1090" t="s">
        <v>14</v>
      </c>
      <c r="F173" s="1090"/>
      <c r="G173" s="1090" t="s">
        <v>14</v>
      </c>
      <c r="H173" s="1090"/>
      <c r="I173" s="1090"/>
      <c r="J173" s="1090"/>
      <c r="K173" s="11"/>
      <c r="L173" s="11"/>
    </row>
    <row r="174" spans="1:12" ht="16.5" hidden="1" customHeight="1" x14ac:dyDescent="0.3">
      <c r="A174" s="1218" t="s">
        <v>91</v>
      </c>
      <c r="B174" s="1218"/>
      <c r="C174" s="1218"/>
      <c r="D174" s="1218"/>
      <c r="E174" s="1218"/>
      <c r="F174" s="1218"/>
      <c r="G174" s="1218"/>
      <c r="H174" s="1218"/>
      <c r="I174" s="1218"/>
      <c r="J174" s="1218"/>
      <c r="K174" s="11"/>
      <c r="L174" s="11"/>
    </row>
    <row r="175" spans="1:12" ht="18" hidden="1" customHeight="1" x14ac:dyDescent="0.3">
      <c r="A175" s="89" t="s">
        <v>80</v>
      </c>
      <c r="B175" s="90"/>
      <c r="C175" s="349">
        <v>244</v>
      </c>
      <c r="D175" s="349"/>
      <c r="E175" s="349"/>
      <c r="F175" s="94"/>
      <c r="G175" s="94"/>
      <c r="H175" s="94"/>
      <c r="I175" s="94"/>
      <c r="J175" s="94"/>
      <c r="K175" s="11"/>
      <c r="L175" s="11"/>
    </row>
    <row r="176" spans="1:12" ht="18" hidden="1" customHeight="1" x14ac:dyDescent="0.3">
      <c r="A176" s="89" t="s">
        <v>81</v>
      </c>
      <c r="B176" s="90"/>
      <c r="C176" s="90"/>
      <c r="D176" s="90"/>
      <c r="E176" s="95" t="s">
        <v>82</v>
      </c>
      <c r="F176" s="96"/>
      <c r="G176" s="95"/>
      <c r="H176" s="96"/>
      <c r="I176" s="96"/>
      <c r="J176" s="96"/>
      <c r="K176" s="11"/>
      <c r="L176" s="11"/>
    </row>
    <row r="177" spans="1:13" ht="18" hidden="1" customHeight="1" x14ac:dyDescent="0.3">
      <c r="A177" s="1214" t="s">
        <v>568</v>
      </c>
      <c r="B177" s="1214"/>
      <c r="C177" s="1214"/>
      <c r="D177" s="1214"/>
      <c r="E177" s="1214"/>
      <c r="F177" s="1214"/>
      <c r="G177" s="1214"/>
      <c r="H177" s="1214"/>
      <c r="I177" s="1214"/>
      <c r="J177" s="1214"/>
      <c r="K177" s="11"/>
      <c r="L177" s="11"/>
    </row>
    <row r="178" spans="1:13" ht="30" hidden="1" customHeight="1" x14ac:dyDescent="0.3">
      <c r="A178" s="623" t="s">
        <v>1</v>
      </c>
      <c r="B178" s="1110" t="s">
        <v>44</v>
      </c>
      <c r="C178" s="1110"/>
      <c r="D178" s="1110"/>
      <c r="E178" s="1110" t="s">
        <v>45</v>
      </c>
      <c r="F178" s="1110"/>
      <c r="G178" s="1110" t="s">
        <v>46</v>
      </c>
      <c r="H178" s="1110"/>
      <c r="I178" s="1110" t="s">
        <v>102</v>
      </c>
      <c r="J178" s="1110"/>
      <c r="K178" s="144"/>
      <c r="L178" s="11"/>
    </row>
    <row r="179" spans="1:13" ht="17.25" hidden="1" customHeight="1" x14ac:dyDescent="0.3">
      <c r="A179" s="623">
        <v>1</v>
      </c>
      <c r="B179" s="1110">
        <v>2</v>
      </c>
      <c r="C179" s="1110"/>
      <c r="D179" s="1110"/>
      <c r="E179" s="1110">
        <v>3</v>
      </c>
      <c r="F179" s="1110"/>
      <c r="G179" s="1110">
        <v>4</v>
      </c>
      <c r="H179" s="1110"/>
      <c r="I179" s="1110">
        <v>5</v>
      </c>
      <c r="J179" s="1110"/>
      <c r="K179" s="11"/>
      <c r="L179" s="11"/>
    </row>
    <row r="180" spans="1:13" ht="21.75" hidden="1" customHeight="1" x14ac:dyDescent="0.3">
      <c r="A180" s="624" t="s">
        <v>70</v>
      </c>
      <c r="B180" s="1197" t="s">
        <v>569</v>
      </c>
      <c r="C180" s="1198"/>
      <c r="D180" s="1199"/>
      <c r="E180" s="1116">
        <v>5000</v>
      </c>
      <c r="F180" s="1117"/>
      <c r="G180" s="1116">
        <v>1</v>
      </c>
      <c r="H180" s="1117"/>
      <c r="I180" s="1238">
        <v>0</v>
      </c>
      <c r="J180" s="1239"/>
      <c r="K180" s="11"/>
      <c r="L180" s="145"/>
    </row>
    <row r="181" spans="1:13" ht="38.25" hidden="1" customHeight="1" x14ac:dyDescent="0.3">
      <c r="A181" s="624" t="s">
        <v>75</v>
      </c>
      <c r="B181" s="1215" t="s">
        <v>542</v>
      </c>
      <c r="C181" s="1216"/>
      <c r="D181" s="1217"/>
      <c r="E181" s="1116">
        <v>1625</v>
      </c>
      <c r="F181" s="1117"/>
      <c r="G181" s="1116">
        <v>2</v>
      </c>
      <c r="H181" s="1117"/>
      <c r="I181" s="1238">
        <v>0</v>
      </c>
      <c r="J181" s="1239"/>
      <c r="K181" s="11"/>
      <c r="L181" s="145"/>
    </row>
    <row r="182" spans="1:13" ht="15" hidden="1" customHeight="1" x14ac:dyDescent="0.3">
      <c r="A182" s="251"/>
      <c r="B182" s="1277" t="s">
        <v>13</v>
      </c>
      <c r="C182" s="1277"/>
      <c r="D182" s="1277"/>
      <c r="E182" s="1278" t="s">
        <v>14</v>
      </c>
      <c r="F182" s="1278"/>
      <c r="G182" s="1278" t="s">
        <v>14</v>
      </c>
      <c r="H182" s="1278"/>
      <c r="I182" s="1279">
        <f>I180+I181</f>
        <v>0</v>
      </c>
      <c r="J182" s="1279"/>
      <c r="K182" s="11"/>
      <c r="L182" s="11"/>
      <c r="M182" s="14"/>
    </row>
    <row r="183" spans="1:13" ht="29.25" customHeight="1" x14ac:dyDescent="0.3">
      <c r="A183" s="1218" t="s">
        <v>49</v>
      </c>
      <c r="B183" s="1218"/>
      <c r="C183" s="1218"/>
      <c r="D183" s="1218"/>
      <c r="E183" s="1218"/>
      <c r="F183" s="1218"/>
      <c r="G183" s="1218"/>
      <c r="H183" s="1218"/>
      <c r="I183" s="1218"/>
      <c r="J183" s="1218"/>
      <c r="K183" s="11"/>
      <c r="L183" s="11"/>
      <c r="M183" s="14"/>
    </row>
    <row r="184" spans="1:13" ht="19.5" customHeight="1" x14ac:dyDescent="0.3">
      <c r="A184" s="89" t="s">
        <v>80</v>
      </c>
      <c r="B184" s="90"/>
      <c r="C184" s="349" t="s">
        <v>996</v>
      </c>
      <c r="D184" s="349"/>
      <c r="E184" s="349"/>
      <c r="F184" s="94"/>
      <c r="G184" s="94"/>
      <c r="H184" s="94"/>
      <c r="I184" s="94"/>
      <c r="J184" s="94"/>
      <c r="K184" s="11"/>
      <c r="L184" s="11"/>
      <c r="M184" s="14"/>
    </row>
    <row r="185" spans="1:13" ht="17.25" customHeight="1" x14ac:dyDescent="0.3">
      <c r="A185" s="89" t="s">
        <v>81</v>
      </c>
      <c r="B185" s="90"/>
      <c r="C185" s="90"/>
      <c r="D185" s="90"/>
      <c r="E185" s="95" t="s">
        <v>82</v>
      </c>
      <c r="F185" s="96"/>
      <c r="G185" s="95"/>
      <c r="H185" s="96"/>
      <c r="I185" s="96"/>
      <c r="J185" s="96"/>
      <c r="K185" s="11"/>
      <c r="L185" s="11"/>
      <c r="M185" s="14"/>
    </row>
    <row r="186" spans="1:13" ht="17.25" hidden="1" customHeight="1" x14ac:dyDescent="0.3">
      <c r="A186" s="1218" t="s">
        <v>301</v>
      </c>
      <c r="B186" s="1218"/>
      <c r="C186" s="1218"/>
      <c r="D186" s="1218"/>
      <c r="E186" s="1218"/>
      <c r="F186" s="1218"/>
      <c r="G186" s="1218"/>
      <c r="H186" s="1218"/>
      <c r="I186" s="1218"/>
      <c r="J186" s="1218"/>
      <c r="K186" s="11"/>
      <c r="L186" s="11"/>
      <c r="M186" s="14"/>
    </row>
    <row r="187" spans="1:13" ht="39.75" hidden="1" customHeight="1" x14ac:dyDescent="0.3">
      <c r="A187" s="623" t="s">
        <v>1</v>
      </c>
      <c r="B187" s="1110" t="s">
        <v>15</v>
      </c>
      <c r="C187" s="1110"/>
      <c r="D187" s="1110"/>
      <c r="E187" s="623" t="s">
        <v>50</v>
      </c>
      <c r="F187" s="623" t="s">
        <v>51</v>
      </c>
      <c r="G187" s="1110" t="s">
        <v>52</v>
      </c>
      <c r="H187" s="1110"/>
      <c r="I187" s="1110" t="s">
        <v>104</v>
      </c>
      <c r="J187" s="1110"/>
      <c r="K187" s="11"/>
      <c r="L187" s="11"/>
      <c r="M187" s="14"/>
    </row>
    <row r="188" spans="1:13" ht="15" hidden="1" customHeight="1" x14ac:dyDescent="0.3">
      <c r="A188" s="623">
        <v>1</v>
      </c>
      <c r="B188" s="1110">
        <v>2</v>
      </c>
      <c r="C188" s="1110"/>
      <c r="D188" s="1110"/>
      <c r="E188" s="623">
        <v>3</v>
      </c>
      <c r="F188" s="623">
        <v>4</v>
      </c>
      <c r="G188" s="1110">
        <v>5</v>
      </c>
      <c r="H188" s="1110"/>
      <c r="I188" s="1110">
        <v>6</v>
      </c>
      <c r="J188" s="1110"/>
      <c r="K188" s="11"/>
      <c r="L188" s="11"/>
      <c r="M188" s="14"/>
    </row>
    <row r="189" spans="1:13" ht="14.25" hidden="1" customHeight="1" x14ac:dyDescent="0.3">
      <c r="A189" s="618">
        <v>1</v>
      </c>
      <c r="B189" s="1125" t="s">
        <v>348</v>
      </c>
      <c r="C189" s="1126"/>
      <c r="D189" s="1127"/>
      <c r="E189" s="155" t="s">
        <v>74</v>
      </c>
      <c r="F189" s="155" t="s">
        <v>74</v>
      </c>
      <c r="G189" s="1232" t="s">
        <v>74</v>
      </c>
      <c r="H189" s="1232"/>
      <c r="I189" s="1233">
        <f>I190+I191+I192+I193</f>
        <v>0</v>
      </c>
      <c r="J189" s="1233"/>
      <c r="K189" s="11"/>
      <c r="L189" s="11"/>
      <c r="M189" s="14"/>
    </row>
    <row r="190" spans="1:13" ht="15" hidden="1" customHeight="1" x14ac:dyDescent="0.3">
      <c r="A190" s="624" t="s">
        <v>349</v>
      </c>
      <c r="B190" s="1143" t="s">
        <v>93</v>
      </c>
      <c r="C190" s="1143"/>
      <c r="D190" s="1143"/>
      <c r="E190" s="624">
        <v>6</v>
      </c>
      <c r="F190" s="624">
        <v>12</v>
      </c>
      <c r="G190" s="1234">
        <v>4250</v>
      </c>
      <c r="H190" s="1234"/>
      <c r="I190" s="1231"/>
      <c r="J190" s="1231"/>
      <c r="K190" s="13"/>
      <c r="L190" s="13"/>
      <c r="M190" s="14"/>
    </row>
    <row r="191" spans="1:13" hidden="1" x14ac:dyDescent="0.3">
      <c r="A191" s="624" t="s">
        <v>350</v>
      </c>
      <c r="B191" s="1143" t="s">
        <v>95</v>
      </c>
      <c r="C191" s="1143"/>
      <c r="D191" s="1143"/>
      <c r="E191" s="624"/>
      <c r="F191" s="624"/>
      <c r="G191" s="1235"/>
      <c r="H191" s="1235"/>
      <c r="I191" s="1231"/>
      <c r="J191" s="1231"/>
      <c r="M191" s="14"/>
    </row>
    <row r="192" spans="1:13" hidden="1" x14ac:dyDescent="0.3">
      <c r="A192" s="624" t="s">
        <v>351</v>
      </c>
      <c r="B192" s="1143" t="s">
        <v>96</v>
      </c>
      <c r="C192" s="1143"/>
      <c r="D192" s="1143"/>
      <c r="E192" s="624"/>
      <c r="F192" s="624"/>
      <c r="G192" s="1230"/>
      <c r="H192" s="1230"/>
      <c r="I192" s="1236"/>
      <c r="J192" s="1236"/>
      <c r="M192" s="14"/>
    </row>
    <row r="193" spans="1:14" hidden="1" x14ac:dyDescent="0.3">
      <c r="A193" s="624" t="s">
        <v>268</v>
      </c>
      <c r="B193" s="1143" t="s">
        <v>199</v>
      </c>
      <c r="C193" s="1143"/>
      <c r="D193" s="1143"/>
      <c r="E193" s="624"/>
      <c r="F193" s="624"/>
      <c r="G193" s="1230"/>
      <c r="H193" s="1230"/>
      <c r="I193" s="1231"/>
      <c r="J193" s="1231"/>
      <c r="M193" s="14"/>
    </row>
    <row r="194" spans="1:14" hidden="1" x14ac:dyDescent="0.3">
      <c r="A194" s="618">
        <v>2</v>
      </c>
      <c r="B194" s="1125" t="s">
        <v>352</v>
      </c>
      <c r="C194" s="1126"/>
      <c r="D194" s="1127"/>
      <c r="E194" s="155" t="s">
        <v>74</v>
      </c>
      <c r="F194" s="155" t="s">
        <v>74</v>
      </c>
      <c r="G194" s="1232" t="s">
        <v>74</v>
      </c>
      <c r="H194" s="1232"/>
      <c r="I194" s="1233">
        <f>I195</f>
        <v>0</v>
      </c>
      <c r="J194" s="1233"/>
      <c r="M194" s="14"/>
    </row>
    <row r="195" spans="1:14" s="41" customFormat="1" ht="19.5" hidden="1" customHeight="1" x14ac:dyDescent="0.3">
      <c r="A195" s="624" t="s">
        <v>353</v>
      </c>
      <c r="B195" s="1143" t="s">
        <v>199</v>
      </c>
      <c r="C195" s="1143"/>
      <c r="D195" s="1143"/>
      <c r="E195" s="624">
        <v>1</v>
      </c>
      <c r="F195" s="624">
        <v>10</v>
      </c>
      <c r="G195" s="1230">
        <v>25000</v>
      </c>
      <c r="H195" s="1230"/>
      <c r="I195" s="1231"/>
      <c r="J195" s="1231"/>
    </row>
    <row r="196" spans="1:14" ht="16.5" hidden="1" customHeight="1" x14ac:dyDescent="0.3">
      <c r="A196" s="624"/>
      <c r="B196" s="1098" t="s">
        <v>332</v>
      </c>
      <c r="C196" s="1098"/>
      <c r="D196" s="1098"/>
      <c r="E196" s="620" t="s">
        <v>14</v>
      </c>
      <c r="F196" s="620" t="s">
        <v>14</v>
      </c>
      <c r="G196" s="1090" t="s">
        <v>14</v>
      </c>
      <c r="H196" s="1090"/>
      <c r="I196" s="1101">
        <f>I189+I194</f>
        <v>0</v>
      </c>
      <c r="J196" s="1090"/>
      <c r="K196" s="133"/>
      <c r="N196" s="135"/>
    </row>
    <row r="197" spans="1:14" ht="12" hidden="1" customHeight="1" x14ac:dyDescent="0.3">
      <c r="A197" s="97"/>
      <c r="B197" s="90"/>
      <c r="C197" s="90"/>
      <c r="D197" s="90"/>
      <c r="E197" s="90"/>
      <c r="F197" s="90"/>
      <c r="G197" s="90"/>
      <c r="H197" s="90"/>
      <c r="I197" s="90"/>
      <c r="J197" s="90"/>
      <c r="K197" s="14"/>
      <c r="M197" s="82"/>
    </row>
    <row r="198" spans="1:14" ht="18.75" hidden="1" customHeight="1" x14ac:dyDescent="0.3">
      <c r="A198" s="1218" t="s">
        <v>285</v>
      </c>
      <c r="B198" s="1218"/>
      <c r="C198" s="1218"/>
      <c r="D198" s="1218"/>
      <c r="E198" s="1218"/>
      <c r="F198" s="1218"/>
      <c r="G198" s="1218"/>
      <c r="H198" s="1218"/>
      <c r="I198" s="1218"/>
      <c r="J198" s="1218"/>
      <c r="K198" s="14"/>
      <c r="M198" s="82"/>
    </row>
    <row r="199" spans="1:14" ht="12.75" hidden="1" customHeight="1" x14ac:dyDescent="0.3">
      <c r="A199" s="623" t="s">
        <v>1</v>
      </c>
      <c r="B199" s="1110" t="s">
        <v>15</v>
      </c>
      <c r="C199" s="1110"/>
      <c r="D199" s="1110"/>
      <c r="E199" s="1110" t="s">
        <v>53</v>
      </c>
      <c r="F199" s="1110"/>
      <c r="G199" s="1110" t="s">
        <v>54</v>
      </c>
      <c r="H199" s="1110"/>
      <c r="I199" s="1110" t="s">
        <v>264</v>
      </c>
      <c r="J199" s="1110"/>
      <c r="K199" s="14"/>
      <c r="M199" s="82"/>
    </row>
    <row r="200" spans="1:14" ht="15" hidden="1" customHeight="1" x14ac:dyDescent="0.3">
      <c r="A200" s="623">
        <v>1</v>
      </c>
      <c r="B200" s="1110">
        <v>2</v>
      </c>
      <c r="C200" s="1110"/>
      <c r="D200" s="1110"/>
      <c r="E200" s="1110">
        <v>3</v>
      </c>
      <c r="F200" s="1110"/>
      <c r="G200" s="1110">
        <v>4</v>
      </c>
      <c r="H200" s="1110"/>
      <c r="I200" s="1110">
        <v>5</v>
      </c>
      <c r="J200" s="1110"/>
      <c r="K200" s="14"/>
      <c r="M200" s="82"/>
    </row>
    <row r="201" spans="1:14" ht="17.25" hidden="1" customHeight="1" x14ac:dyDescent="0.3">
      <c r="A201" s="624">
        <v>1</v>
      </c>
      <c r="B201" s="1226" t="s">
        <v>329</v>
      </c>
      <c r="C201" s="1227"/>
      <c r="D201" s="1228"/>
      <c r="E201" s="1213"/>
      <c r="F201" s="1213"/>
      <c r="G201" s="1229"/>
      <c r="H201" s="1229"/>
      <c r="I201" s="1229">
        <f>E201*G201</f>
        <v>0</v>
      </c>
      <c r="J201" s="1229"/>
      <c r="K201" s="14"/>
      <c r="M201" s="82"/>
    </row>
    <row r="202" spans="1:14" hidden="1" x14ac:dyDescent="0.3">
      <c r="A202" s="624"/>
      <c r="B202" s="1098" t="s">
        <v>13</v>
      </c>
      <c r="C202" s="1098"/>
      <c r="D202" s="1098"/>
      <c r="E202" s="1090" t="s">
        <v>74</v>
      </c>
      <c r="F202" s="1090"/>
      <c r="G202" s="1090" t="s">
        <v>74</v>
      </c>
      <c r="H202" s="1090"/>
      <c r="I202" s="1203">
        <f>I201</f>
        <v>0</v>
      </c>
      <c r="J202" s="1090"/>
    </row>
    <row r="203" spans="1:14" ht="24" customHeight="1" x14ac:dyDescent="0.3">
      <c r="A203" s="1218" t="s">
        <v>281</v>
      </c>
      <c r="B203" s="1218"/>
      <c r="C203" s="1218"/>
      <c r="D203" s="1218"/>
      <c r="E203" s="1218"/>
      <c r="F203" s="1218"/>
      <c r="G203" s="1218"/>
      <c r="H203" s="1218"/>
      <c r="I203" s="1218"/>
      <c r="J203" s="1218"/>
    </row>
    <row r="204" spans="1:14" s="41" customFormat="1" ht="25.5" customHeight="1" x14ac:dyDescent="0.3">
      <c r="A204" s="623" t="s">
        <v>1</v>
      </c>
      <c r="B204" s="1110" t="s">
        <v>44</v>
      </c>
      <c r="C204" s="1110"/>
      <c r="D204" s="1110"/>
      <c r="E204" s="623" t="s">
        <v>55</v>
      </c>
      <c r="F204" s="1110" t="s">
        <v>56</v>
      </c>
      <c r="G204" s="1110"/>
      <c r="H204" s="623" t="s">
        <v>57</v>
      </c>
      <c r="I204" s="1110" t="s">
        <v>104</v>
      </c>
      <c r="J204" s="1110"/>
    </row>
    <row r="205" spans="1:14" s="41" customFormat="1" ht="13.8" x14ac:dyDescent="0.3">
      <c r="A205" s="623">
        <v>1</v>
      </c>
      <c r="B205" s="1110">
        <v>2</v>
      </c>
      <c r="C205" s="1110"/>
      <c r="D205" s="1110"/>
      <c r="E205" s="623">
        <v>3</v>
      </c>
      <c r="F205" s="1110">
        <v>4</v>
      </c>
      <c r="G205" s="1110"/>
      <c r="H205" s="623">
        <v>5</v>
      </c>
      <c r="I205" s="1110">
        <v>6</v>
      </c>
      <c r="J205" s="1110"/>
    </row>
    <row r="206" spans="1:14" ht="15" hidden="1" customHeight="1" x14ac:dyDescent="0.3">
      <c r="A206" s="618">
        <v>1</v>
      </c>
      <c r="B206" s="1125" t="s">
        <v>151</v>
      </c>
      <c r="C206" s="1126"/>
      <c r="D206" s="1127"/>
      <c r="E206" s="99">
        <f>E207+E208</f>
        <v>0</v>
      </c>
      <c r="F206" s="1223"/>
      <c r="G206" s="1224"/>
      <c r="H206" s="100">
        <f>F208/F207-100%</f>
        <v>3.5000412984224072E-2</v>
      </c>
      <c r="I206" s="1225">
        <f>I207+I208</f>
        <v>0</v>
      </c>
      <c r="J206" s="1225"/>
      <c r="K206" s="14"/>
    </row>
    <row r="207" spans="1:14" ht="15" hidden="1" customHeight="1" x14ac:dyDescent="0.3">
      <c r="A207" s="624"/>
      <c r="B207" s="1213" t="s">
        <v>100</v>
      </c>
      <c r="C207" s="1213"/>
      <c r="D207" s="1213"/>
      <c r="E207" s="628"/>
      <c r="F207" s="1192">
        <v>1937.12</v>
      </c>
      <c r="G207" s="1193"/>
      <c r="H207" s="624"/>
      <c r="I207" s="1222">
        <f>E207*F207</f>
        <v>0</v>
      </c>
      <c r="J207" s="1222"/>
      <c r="K207" s="14"/>
    </row>
    <row r="208" spans="1:14" ht="15" hidden="1" customHeight="1" x14ac:dyDescent="0.3">
      <c r="A208" s="624"/>
      <c r="B208" s="1213" t="s">
        <v>101</v>
      </c>
      <c r="C208" s="1213"/>
      <c r="D208" s="1213"/>
      <c r="E208" s="628"/>
      <c r="F208" s="1192">
        <v>2004.92</v>
      </c>
      <c r="G208" s="1193"/>
      <c r="H208" s="624"/>
      <c r="I208" s="1222">
        <f>E208*F208</f>
        <v>0</v>
      </c>
      <c r="J208" s="1222"/>
      <c r="K208" s="14"/>
    </row>
    <row r="209" spans="1:11" ht="34.5" hidden="1" customHeight="1" x14ac:dyDescent="0.3">
      <c r="A209" s="618">
        <v>2</v>
      </c>
      <c r="B209" s="1125" t="s">
        <v>588</v>
      </c>
      <c r="C209" s="1126"/>
      <c r="D209" s="1127"/>
      <c r="E209" s="99">
        <f>E210+E211</f>
        <v>0</v>
      </c>
      <c r="F209" s="1223"/>
      <c r="G209" s="1224"/>
      <c r="H209" s="100">
        <f>F211/F210-100%</f>
        <v>3.5040944581984368E-2</v>
      </c>
      <c r="I209" s="1225">
        <f>I210+I211</f>
        <v>0</v>
      </c>
      <c r="J209" s="1225"/>
      <c r="K209" s="14"/>
    </row>
    <row r="210" spans="1:11" ht="15" hidden="1" customHeight="1" x14ac:dyDescent="0.3">
      <c r="A210" s="624"/>
      <c r="B210" s="1213" t="s">
        <v>100</v>
      </c>
      <c r="C210" s="1213"/>
      <c r="D210" s="1213"/>
      <c r="E210" s="628"/>
      <c r="F210" s="1192">
        <v>52.51</v>
      </c>
      <c r="G210" s="1193"/>
      <c r="H210" s="624"/>
      <c r="I210" s="1222">
        <f>E210*F210</f>
        <v>0</v>
      </c>
      <c r="J210" s="1222"/>
      <c r="K210" s="14"/>
    </row>
    <row r="211" spans="1:11" ht="15" hidden="1" customHeight="1" x14ac:dyDescent="0.3">
      <c r="A211" s="624"/>
      <c r="B211" s="1213" t="s">
        <v>101</v>
      </c>
      <c r="C211" s="1213"/>
      <c r="D211" s="1213"/>
      <c r="E211" s="628"/>
      <c r="F211" s="1192">
        <v>54.35</v>
      </c>
      <c r="G211" s="1193"/>
      <c r="H211" s="624"/>
      <c r="I211" s="1222">
        <f>E211*F211</f>
        <v>0</v>
      </c>
      <c r="J211" s="1222"/>
      <c r="K211" s="108"/>
    </row>
    <row r="212" spans="1:11" ht="15" hidden="1" customHeight="1" x14ac:dyDescent="0.3">
      <c r="A212" s="618">
        <v>3</v>
      </c>
      <c r="B212" s="1125" t="s">
        <v>589</v>
      </c>
      <c r="C212" s="1126"/>
      <c r="D212" s="1127"/>
      <c r="E212" s="99">
        <f>E213+E214</f>
        <v>0</v>
      </c>
      <c r="F212" s="1223"/>
      <c r="G212" s="1224"/>
      <c r="H212" s="100">
        <f>F214/F213-100%</f>
        <v>3.5000412984224072E-2</v>
      </c>
      <c r="I212" s="1397">
        <f>I213+I214</f>
        <v>0</v>
      </c>
      <c r="J212" s="1398"/>
      <c r="K212" s="108"/>
    </row>
    <row r="213" spans="1:11" ht="15" hidden="1" customHeight="1" x14ac:dyDescent="0.3">
      <c r="A213" s="624"/>
      <c r="B213" s="1213" t="s">
        <v>100</v>
      </c>
      <c r="C213" s="1213"/>
      <c r="D213" s="1213"/>
      <c r="E213" s="628"/>
      <c r="F213" s="1192">
        <v>1937.12</v>
      </c>
      <c r="G213" s="1193"/>
      <c r="H213" s="624"/>
      <c r="I213" s="1222">
        <f>E213*F213</f>
        <v>0</v>
      </c>
      <c r="J213" s="1222"/>
      <c r="K213" s="108"/>
    </row>
    <row r="214" spans="1:11" ht="15" hidden="1" customHeight="1" x14ac:dyDescent="0.3">
      <c r="A214" s="624"/>
      <c r="B214" s="1213" t="s">
        <v>101</v>
      </c>
      <c r="C214" s="1213"/>
      <c r="D214" s="1213"/>
      <c r="E214" s="628"/>
      <c r="F214" s="1192">
        <v>2004.92</v>
      </c>
      <c r="G214" s="1193"/>
      <c r="H214" s="624"/>
      <c r="I214" s="1222">
        <f>E214*F214</f>
        <v>0</v>
      </c>
      <c r="J214" s="1222"/>
      <c r="K214" s="108"/>
    </row>
    <row r="215" spans="1:11" ht="15" customHeight="1" x14ac:dyDescent="0.3">
      <c r="A215" s="618">
        <v>1</v>
      </c>
      <c r="B215" s="1125" t="s">
        <v>153</v>
      </c>
      <c r="C215" s="1126"/>
      <c r="D215" s="1127"/>
      <c r="E215" s="99">
        <f>E216+E217</f>
        <v>14</v>
      </c>
      <c r="F215" s="1223"/>
      <c r="G215" s="1224"/>
      <c r="H215" s="100">
        <f>F217/F216-100%</f>
        <v>0</v>
      </c>
      <c r="I215" s="1225">
        <f>I216+I217</f>
        <v>885</v>
      </c>
      <c r="J215" s="1225"/>
      <c r="K215" s="14">
        <v>883.3</v>
      </c>
    </row>
    <row r="216" spans="1:11" ht="15" customHeight="1" x14ac:dyDescent="0.3">
      <c r="A216" s="624"/>
      <c r="B216" s="1213" t="s">
        <v>100</v>
      </c>
      <c r="C216" s="1213"/>
      <c r="D216" s="1213"/>
      <c r="E216" s="628">
        <v>10</v>
      </c>
      <c r="F216" s="823">
        <v>63.18</v>
      </c>
      <c r="G216" s="824"/>
      <c r="H216" s="624"/>
      <c r="I216" s="1222">
        <f>E216*F216+0.2</f>
        <v>632</v>
      </c>
      <c r="J216" s="1222"/>
      <c r="K216" s="14"/>
    </row>
    <row r="217" spans="1:11" ht="15" customHeight="1" x14ac:dyDescent="0.3">
      <c r="A217" s="624"/>
      <c r="B217" s="1213" t="s">
        <v>101</v>
      </c>
      <c r="C217" s="1213"/>
      <c r="D217" s="1213"/>
      <c r="E217" s="628">
        <v>4</v>
      </c>
      <c r="F217" s="823">
        <v>63.18</v>
      </c>
      <c r="G217" s="824"/>
      <c r="H217" s="624"/>
      <c r="I217" s="1222">
        <f>E217*F217+0.28</f>
        <v>253</v>
      </c>
      <c r="J217" s="1222"/>
      <c r="K217" s="14"/>
    </row>
    <row r="218" spans="1:11" ht="15" customHeight="1" x14ac:dyDescent="0.3">
      <c r="A218" s="618">
        <v>2</v>
      </c>
      <c r="B218" s="1125" t="s">
        <v>154</v>
      </c>
      <c r="C218" s="1126"/>
      <c r="D218" s="1127"/>
      <c r="E218" s="99">
        <f>E219+E220</f>
        <v>34</v>
      </c>
      <c r="F218" s="1223"/>
      <c r="G218" s="1224"/>
      <c r="H218" s="100">
        <f>F220/F219-100%</f>
        <v>0</v>
      </c>
      <c r="I218" s="1225">
        <f>I219+I220</f>
        <v>2615</v>
      </c>
      <c r="J218" s="1225"/>
      <c r="K218" s="176">
        <f>I218+I215</f>
        <v>3500</v>
      </c>
    </row>
    <row r="219" spans="1:11" ht="15" customHeight="1" x14ac:dyDescent="0.4">
      <c r="A219" s="624"/>
      <c r="B219" s="1213" t="s">
        <v>100</v>
      </c>
      <c r="C219" s="1213"/>
      <c r="D219" s="1213"/>
      <c r="E219" s="628">
        <v>24</v>
      </c>
      <c r="F219" s="823">
        <v>76.34</v>
      </c>
      <c r="G219" s="824"/>
      <c r="H219" s="624"/>
      <c r="I219" s="1222">
        <f>E219*F219+0.84</f>
        <v>1833</v>
      </c>
      <c r="J219" s="1222"/>
      <c r="K219" s="146"/>
    </row>
    <row r="220" spans="1:11" ht="15" customHeight="1" x14ac:dyDescent="0.3">
      <c r="A220" s="624"/>
      <c r="B220" s="1213" t="s">
        <v>101</v>
      </c>
      <c r="C220" s="1213"/>
      <c r="D220" s="1213"/>
      <c r="E220" s="628">
        <v>10</v>
      </c>
      <c r="F220" s="823">
        <v>76.34</v>
      </c>
      <c r="G220" s="824"/>
      <c r="H220" s="624"/>
      <c r="I220" s="1222">
        <f>E220*F220+18.6</f>
        <v>782.00000000000011</v>
      </c>
      <c r="J220" s="1222"/>
      <c r="K220" s="15"/>
    </row>
    <row r="221" spans="1:11" ht="15" customHeight="1" x14ac:dyDescent="0.3">
      <c r="A221" s="618">
        <v>3</v>
      </c>
      <c r="B221" s="1125" t="s">
        <v>155</v>
      </c>
      <c r="C221" s="1126"/>
      <c r="D221" s="1127"/>
      <c r="E221" s="643">
        <f>E222+E223</f>
        <v>358</v>
      </c>
      <c r="F221" s="1223"/>
      <c r="G221" s="1224"/>
      <c r="H221" s="100">
        <f>F223/F222-100%</f>
        <v>0</v>
      </c>
      <c r="I221" s="1225">
        <f>I222+I223</f>
        <v>2999.9999999999995</v>
      </c>
      <c r="J221" s="1225"/>
      <c r="K221" s="14">
        <v>3069.78</v>
      </c>
    </row>
    <row r="222" spans="1:11" ht="15" customHeight="1" x14ac:dyDescent="0.3">
      <c r="A222" s="624"/>
      <c r="B222" s="1213" t="s">
        <v>100</v>
      </c>
      <c r="C222" s="1213"/>
      <c r="D222" s="1213"/>
      <c r="E222" s="603">
        <v>280</v>
      </c>
      <c r="F222" s="823">
        <v>8.36</v>
      </c>
      <c r="G222" s="824"/>
      <c r="H222" s="624"/>
      <c r="I222" s="1222">
        <f>E222*F222+0.2</f>
        <v>2340.9999999999995</v>
      </c>
      <c r="J222" s="1222"/>
      <c r="K222" s="14"/>
    </row>
    <row r="223" spans="1:11" ht="15" customHeight="1" x14ac:dyDescent="0.3">
      <c r="A223" s="624"/>
      <c r="B223" s="1213" t="s">
        <v>101</v>
      </c>
      <c r="C223" s="1213"/>
      <c r="D223" s="1213"/>
      <c r="E223" s="603">
        <v>78</v>
      </c>
      <c r="F223" s="823">
        <v>8.36</v>
      </c>
      <c r="G223" s="824"/>
      <c r="H223" s="624"/>
      <c r="I223" s="1222">
        <f>E223*F223+0.44+6.48</f>
        <v>659</v>
      </c>
      <c r="J223" s="1222"/>
    </row>
    <row r="224" spans="1:11" ht="15" hidden="1" customHeight="1" x14ac:dyDescent="0.3">
      <c r="A224" s="618">
        <v>7</v>
      </c>
      <c r="B224" s="1125" t="s">
        <v>378</v>
      </c>
      <c r="C224" s="1126"/>
      <c r="D224" s="1127"/>
      <c r="E224" s="643">
        <f>E225+E226</f>
        <v>0</v>
      </c>
      <c r="F224" s="1223"/>
      <c r="G224" s="1224"/>
      <c r="H224" s="100">
        <v>0</v>
      </c>
      <c r="I224" s="1225">
        <f>I225+I226</f>
        <v>0</v>
      </c>
      <c r="J224" s="1225"/>
      <c r="K224" s="135"/>
    </row>
    <row r="225" spans="1:12" ht="15" hidden="1" customHeight="1" x14ac:dyDescent="0.3">
      <c r="A225" s="624"/>
      <c r="B225" s="1213" t="s">
        <v>100</v>
      </c>
      <c r="C225" s="1213"/>
      <c r="D225" s="1213"/>
      <c r="E225" s="603"/>
      <c r="F225" s="1192">
        <v>747.07</v>
      </c>
      <c r="G225" s="1193"/>
      <c r="H225" s="624"/>
      <c r="I225" s="1222">
        <f>E225*F225</f>
        <v>0</v>
      </c>
      <c r="J225" s="1222"/>
    </row>
    <row r="226" spans="1:12" ht="15" hidden="1" customHeight="1" x14ac:dyDescent="0.3">
      <c r="A226" s="624"/>
      <c r="B226" s="1213" t="s">
        <v>101</v>
      </c>
      <c r="C226" s="1213"/>
      <c r="D226" s="1213"/>
      <c r="E226" s="603"/>
      <c r="F226" s="1192">
        <v>747.07</v>
      </c>
      <c r="G226" s="1193"/>
      <c r="H226" s="624"/>
      <c r="I226" s="1222">
        <f>E226*F226</f>
        <v>0</v>
      </c>
      <c r="J226" s="1222"/>
    </row>
    <row r="227" spans="1:12" ht="15" customHeight="1" x14ac:dyDescent="0.3">
      <c r="A227" s="624"/>
      <c r="B227" s="1098" t="s">
        <v>13</v>
      </c>
      <c r="C227" s="1098"/>
      <c r="D227" s="1098"/>
      <c r="E227" s="620" t="s">
        <v>14</v>
      </c>
      <c r="F227" s="1090" t="s">
        <v>14</v>
      </c>
      <c r="G227" s="1090"/>
      <c r="H227" s="620" t="s">
        <v>14</v>
      </c>
      <c r="I227" s="1101">
        <f>I206+I209+I212+I215+I218+I221+I224</f>
        <v>6500</v>
      </c>
      <c r="J227" s="1101"/>
      <c r="K227" s="1">
        <v>6514</v>
      </c>
    </row>
    <row r="228" spans="1:12" s="41" customFormat="1" ht="19.5" hidden="1" customHeight="1" x14ac:dyDescent="0.3">
      <c r="A228" s="1218" t="s">
        <v>286</v>
      </c>
      <c r="B228" s="1218"/>
      <c r="C228" s="1218"/>
      <c r="D228" s="1218"/>
      <c r="E228" s="1218"/>
      <c r="F228" s="1218"/>
      <c r="G228" s="1218"/>
      <c r="H228" s="1218"/>
      <c r="I228" s="1218"/>
      <c r="J228" s="1218"/>
    </row>
    <row r="229" spans="1:12" s="41" customFormat="1" ht="15" hidden="1" customHeight="1" x14ac:dyDescent="0.3">
      <c r="A229" s="623" t="s">
        <v>1</v>
      </c>
      <c r="B229" s="1110" t="s">
        <v>44</v>
      </c>
      <c r="C229" s="1110"/>
      <c r="D229" s="1110"/>
      <c r="E229" s="1110" t="s">
        <v>58</v>
      </c>
      <c r="F229" s="1110"/>
      <c r="G229" s="1110" t="s">
        <v>59</v>
      </c>
      <c r="H229" s="1110"/>
      <c r="I229" s="1110" t="s">
        <v>60</v>
      </c>
      <c r="J229" s="1110"/>
    </row>
    <row r="230" spans="1:12" ht="15" hidden="1" customHeight="1" x14ac:dyDescent="0.3">
      <c r="A230" s="623">
        <v>1</v>
      </c>
      <c r="B230" s="1110">
        <v>2</v>
      </c>
      <c r="C230" s="1110"/>
      <c r="D230" s="1110"/>
      <c r="E230" s="1110">
        <v>3</v>
      </c>
      <c r="F230" s="1110"/>
      <c r="G230" s="1110">
        <v>4</v>
      </c>
      <c r="H230" s="1110"/>
      <c r="I230" s="1110">
        <v>5</v>
      </c>
      <c r="J230" s="1110"/>
      <c r="K230" s="15"/>
    </row>
    <row r="231" spans="1:12" ht="15" hidden="1" customHeight="1" x14ac:dyDescent="0.3">
      <c r="A231" s="624"/>
      <c r="B231" s="1116"/>
      <c r="C231" s="1212"/>
      <c r="D231" s="1117"/>
      <c r="E231" s="1213"/>
      <c r="F231" s="1213"/>
      <c r="G231" s="1213"/>
      <c r="H231" s="1213"/>
      <c r="I231" s="1213"/>
      <c r="J231" s="1213"/>
      <c r="K231" s="14"/>
    </row>
    <row r="232" spans="1:12" ht="15" hidden="1" customHeight="1" x14ac:dyDescent="0.3">
      <c r="A232" s="620"/>
      <c r="B232" s="1098" t="s">
        <v>13</v>
      </c>
      <c r="C232" s="1098"/>
      <c r="D232" s="1098"/>
      <c r="E232" s="1090" t="s">
        <v>14</v>
      </c>
      <c r="F232" s="1090"/>
      <c r="G232" s="1090" t="s">
        <v>14</v>
      </c>
      <c r="H232" s="1090"/>
      <c r="I232" s="1090"/>
      <c r="J232" s="1090"/>
    </row>
    <row r="233" spans="1:12" ht="16.5" customHeight="1" x14ac:dyDescent="0.3">
      <c r="A233" s="1218" t="s">
        <v>282</v>
      </c>
      <c r="B233" s="1218"/>
      <c r="C233" s="1218"/>
      <c r="D233" s="1218"/>
      <c r="E233" s="1218"/>
      <c r="F233" s="1218"/>
      <c r="G233" s="1218"/>
      <c r="H233" s="1218"/>
      <c r="I233" s="1218"/>
      <c r="J233" s="1218"/>
    </row>
    <row r="234" spans="1:12" ht="15" customHeight="1" x14ac:dyDescent="0.3">
      <c r="A234" s="1174" t="s">
        <v>1</v>
      </c>
      <c r="B234" s="1176" t="s">
        <v>15</v>
      </c>
      <c r="C234" s="1177"/>
      <c r="D234" s="1178"/>
      <c r="E234" s="1174" t="s">
        <v>61</v>
      </c>
      <c r="F234" s="1174" t="s">
        <v>62</v>
      </c>
      <c r="G234" s="1110" t="s">
        <v>63</v>
      </c>
      <c r="H234" s="1110"/>
      <c r="I234" s="1110"/>
      <c r="J234" s="1110"/>
    </row>
    <row r="235" spans="1:12" ht="24" customHeight="1" x14ac:dyDescent="0.3">
      <c r="A235" s="1175"/>
      <c r="B235" s="1179"/>
      <c r="C235" s="1180"/>
      <c r="D235" s="1181"/>
      <c r="E235" s="1175"/>
      <c r="F235" s="1175"/>
      <c r="G235" s="623" t="s">
        <v>305</v>
      </c>
      <c r="H235" s="623" t="s">
        <v>302</v>
      </c>
      <c r="I235" s="619" t="s">
        <v>303</v>
      </c>
      <c r="J235" s="623" t="s">
        <v>304</v>
      </c>
    </row>
    <row r="236" spans="1:12" ht="11.25" customHeight="1" x14ac:dyDescent="0.3">
      <c r="A236" s="623">
        <v>1</v>
      </c>
      <c r="B236" s="1110">
        <v>2</v>
      </c>
      <c r="C236" s="1110"/>
      <c r="D236" s="1110"/>
      <c r="E236" s="623">
        <v>3</v>
      </c>
      <c r="F236" s="623">
        <v>4</v>
      </c>
      <c r="G236" s="1139">
        <v>5</v>
      </c>
      <c r="H236" s="1210"/>
      <c r="I236" s="1210"/>
      <c r="J236" s="1140"/>
    </row>
    <row r="237" spans="1:12" ht="41.25" customHeight="1" x14ac:dyDescent="0.3">
      <c r="A237" s="624">
        <v>1</v>
      </c>
      <c r="B237" s="835" t="s">
        <v>716</v>
      </c>
      <c r="C237" s="835"/>
      <c r="D237" s="835"/>
      <c r="E237" s="624" t="s">
        <v>600</v>
      </c>
      <c r="F237" s="624"/>
      <c r="G237" s="624"/>
      <c r="H237" s="624"/>
      <c r="I237" s="172"/>
      <c r="J237" s="639">
        <f>27000-17000</f>
        <v>10000</v>
      </c>
    </row>
    <row r="238" spans="1:12" ht="21" customHeight="1" x14ac:dyDescent="0.3">
      <c r="A238" s="624">
        <v>2</v>
      </c>
      <c r="B238" s="835" t="s">
        <v>788</v>
      </c>
      <c r="C238" s="835"/>
      <c r="D238" s="835"/>
      <c r="E238" s="624" t="s">
        <v>600</v>
      </c>
      <c r="F238" s="624">
        <v>1</v>
      </c>
      <c r="G238" s="624" t="s">
        <v>306</v>
      </c>
      <c r="H238" s="624">
        <v>1</v>
      </c>
      <c r="I238" s="172">
        <v>12000</v>
      </c>
      <c r="J238" s="639">
        <v>12000</v>
      </c>
    </row>
    <row r="239" spans="1:12" ht="22.5" customHeight="1" x14ac:dyDescent="0.3">
      <c r="A239" s="624">
        <v>3</v>
      </c>
      <c r="B239" s="835" t="s">
        <v>786</v>
      </c>
      <c r="C239" s="835"/>
      <c r="D239" s="835"/>
      <c r="E239" s="576" t="s">
        <v>811</v>
      </c>
      <c r="F239" s="576">
        <v>1</v>
      </c>
      <c r="G239" s="576" t="s">
        <v>787</v>
      </c>
      <c r="H239" s="576">
        <v>1</v>
      </c>
      <c r="I239" s="172">
        <v>50000</v>
      </c>
      <c r="J239" s="646">
        <f>I239</f>
        <v>50000</v>
      </c>
      <c r="K239" s="166"/>
      <c r="L239" s="142"/>
    </row>
    <row r="240" spans="1:12" ht="24.75" customHeight="1" x14ac:dyDescent="0.3">
      <c r="A240" s="624">
        <v>4</v>
      </c>
      <c r="B240" s="835" t="s">
        <v>942</v>
      </c>
      <c r="C240" s="835"/>
      <c r="D240" s="835"/>
      <c r="E240" s="576" t="s">
        <v>811</v>
      </c>
      <c r="F240" s="576">
        <v>1</v>
      </c>
      <c r="G240" s="576" t="s">
        <v>787</v>
      </c>
      <c r="H240" s="576">
        <v>1</v>
      </c>
      <c r="I240" s="172">
        <v>10000</v>
      </c>
      <c r="J240" s="639">
        <f>I240</f>
        <v>10000</v>
      </c>
      <c r="K240" s="166"/>
      <c r="L240" s="142"/>
    </row>
    <row r="241" spans="1:12" ht="17.25" hidden="1" customHeight="1" x14ac:dyDescent="0.3">
      <c r="A241" s="1392"/>
      <c r="B241" s="836"/>
      <c r="C241" s="837"/>
      <c r="D241" s="838"/>
      <c r="E241" s="624"/>
      <c r="F241" s="211"/>
      <c r="G241" s="211"/>
      <c r="H241" s="211"/>
      <c r="I241" s="172"/>
      <c r="J241" s="639"/>
      <c r="K241" s="175"/>
    </row>
    <row r="242" spans="1:12" hidden="1" x14ac:dyDescent="0.3">
      <c r="A242" s="1393"/>
      <c r="B242" s="1394"/>
      <c r="C242" s="1395"/>
      <c r="D242" s="1396"/>
      <c r="E242" s="624"/>
      <c r="F242" s="211"/>
      <c r="G242" s="211"/>
      <c r="H242" s="211"/>
      <c r="I242" s="172"/>
      <c r="J242" s="639"/>
    </row>
    <row r="243" spans="1:12" ht="24" hidden="1" customHeight="1" x14ac:dyDescent="0.3">
      <c r="A243" s="624"/>
      <c r="B243" s="835"/>
      <c r="C243" s="835"/>
      <c r="D243" s="835"/>
      <c r="E243" s="624"/>
      <c r="F243" s="624"/>
      <c r="G243" s="624"/>
      <c r="H243" s="624"/>
      <c r="I243" s="172"/>
      <c r="J243" s="639"/>
    </row>
    <row r="244" spans="1:12" ht="30" hidden="1" customHeight="1" x14ac:dyDescent="0.3">
      <c r="A244" s="624"/>
      <c r="B244" s="1219"/>
      <c r="C244" s="1219"/>
      <c r="D244" s="1219"/>
      <c r="E244" s="624"/>
      <c r="F244" s="624"/>
      <c r="G244" s="624"/>
      <c r="H244" s="624"/>
      <c r="I244" s="171"/>
      <c r="J244" s="563"/>
      <c r="K244" s="11"/>
      <c r="L244" s="11"/>
    </row>
    <row r="245" spans="1:12" ht="29.25" hidden="1" customHeight="1" x14ac:dyDescent="0.3">
      <c r="A245" s="624"/>
      <c r="B245" s="835"/>
      <c r="C245" s="835"/>
      <c r="D245" s="835"/>
      <c r="E245" s="624"/>
      <c r="F245" s="624"/>
      <c r="G245" s="624"/>
      <c r="H245" s="624"/>
      <c r="I245" s="172"/>
      <c r="J245" s="639"/>
      <c r="K245" s="11"/>
      <c r="L245" s="11"/>
    </row>
    <row r="246" spans="1:12" ht="23.25" hidden="1" customHeight="1" x14ac:dyDescent="0.3">
      <c r="A246" s="624"/>
      <c r="B246" s="835"/>
      <c r="C246" s="835"/>
      <c r="D246" s="835"/>
      <c r="E246" s="624"/>
      <c r="F246" s="624"/>
      <c r="G246" s="624"/>
      <c r="H246" s="624"/>
      <c r="I246" s="172"/>
      <c r="J246" s="639"/>
      <c r="K246" s="11"/>
      <c r="L246" s="11"/>
    </row>
    <row r="247" spans="1:12" ht="46.5" hidden="1" customHeight="1" x14ac:dyDescent="0.3">
      <c r="A247" s="624"/>
      <c r="B247" s="835"/>
      <c r="C247" s="835"/>
      <c r="D247" s="835"/>
      <c r="E247" s="624"/>
      <c r="F247" s="624"/>
      <c r="G247" s="624"/>
      <c r="H247" s="624"/>
      <c r="I247" s="172"/>
      <c r="J247" s="639"/>
    </row>
    <row r="248" spans="1:12" ht="25.5" hidden="1" customHeight="1" x14ac:dyDescent="0.3">
      <c r="A248" s="624"/>
      <c r="B248" s="809"/>
      <c r="C248" s="1220"/>
      <c r="D248" s="1221"/>
      <c r="E248" s="624"/>
      <c r="F248" s="624"/>
      <c r="G248" s="624"/>
      <c r="H248" s="624"/>
      <c r="I248" s="172"/>
      <c r="J248" s="639"/>
    </row>
    <row r="249" spans="1:12" ht="38.25" hidden="1" customHeight="1" x14ac:dyDescent="0.3">
      <c r="A249" s="624"/>
      <c r="B249" s="835"/>
      <c r="C249" s="835"/>
      <c r="D249" s="835"/>
      <c r="E249" s="624"/>
      <c r="F249" s="624"/>
      <c r="G249" s="624"/>
      <c r="H249" s="624"/>
      <c r="I249" s="172"/>
      <c r="J249" s="639"/>
    </row>
    <row r="250" spans="1:12" ht="38.25" hidden="1" customHeight="1" x14ac:dyDescent="0.3">
      <c r="A250" s="624"/>
      <c r="B250" s="809"/>
      <c r="C250" s="810"/>
      <c r="D250" s="811"/>
      <c r="E250" s="624"/>
      <c r="F250" s="624"/>
      <c r="G250" s="624"/>
      <c r="H250" s="624"/>
      <c r="I250" s="172"/>
      <c r="J250" s="639"/>
    </row>
    <row r="251" spans="1:12" ht="17.25" hidden="1" customHeight="1" x14ac:dyDescent="0.3">
      <c r="A251" s="624"/>
      <c r="B251" s="809"/>
      <c r="C251" s="810"/>
      <c r="D251" s="811"/>
      <c r="E251" s="624"/>
      <c r="F251" s="624"/>
      <c r="G251" s="624"/>
      <c r="H251" s="624"/>
      <c r="I251" s="172"/>
      <c r="J251" s="639"/>
    </row>
    <row r="252" spans="1:12" ht="9.75" hidden="1" customHeight="1" x14ac:dyDescent="0.3">
      <c r="A252" s="624"/>
      <c r="B252" s="820"/>
      <c r="C252" s="821"/>
      <c r="D252" s="822"/>
      <c r="E252" s="624"/>
      <c r="F252" s="624"/>
      <c r="G252" s="624"/>
      <c r="H252" s="624"/>
      <c r="I252" s="172"/>
      <c r="J252" s="639"/>
    </row>
    <row r="253" spans="1:12" ht="11.25" hidden="1" customHeight="1" x14ac:dyDescent="0.3">
      <c r="A253" s="624"/>
      <c r="B253" s="820"/>
      <c r="C253" s="821"/>
      <c r="D253" s="822"/>
      <c r="E253" s="624"/>
      <c r="F253" s="624"/>
      <c r="G253" s="624"/>
      <c r="H253" s="624"/>
      <c r="I253" s="172"/>
      <c r="J253" s="639"/>
    </row>
    <row r="254" spans="1:12" x14ac:dyDescent="0.3">
      <c r="A254" s="620"/>
      <c r="B254" s="1098" t="s">
        <v>13</v>
      </c>
      <c r="C254" s="1098"/>
      <c r="D254" s="1098"/>
      <c r="E254" s="620" t="s">
        <v>14</v>
      </c>
      <c r="F254" s="620" t="s">
        <v>14</v>
      </c>
      <c r="G254" s="1167">
        <f>SUM(J237:J253)</f>
        <v>82000</v>
      </c>
      <c r="H254" s="1168"/>
      <c r="I254" s="1168"/>
      <c r="J254" s="1168"/>
    </row>
    <row r="255" spans="1:12" ht="17.25" hidden="1" customHeight="1" x14ac:dyDescent="0.3">
      <c r="A255" s="1218" t="s">
        <v>287</v>
      </c>
      <c r="B255" s="1218"/>
      <c r="C255" s="1218"/>
      <c r="D255" s="1218"/>
      <c r="E255" s="1218"/>
      <c r="F255" s="1218"/>
      <c r="G255" s="1218"/>
      <c r="H255" s="1218"/>
      <c r="I255" s="1218"/>
      <c r="J255" s="1218"/>
    </row>
    <row r="256" spans="1:12" ht="17.25" hidden="1" customHeight="1" x14ac:dyDescent="0.3">
      <c r="A256" s="1174" t="s">
        <v>1</v>
      </c>
      <c r="B256" s="1176" t="s">
        <v>15</v>
      </c>
      <c r="C256" s="1177"/>
      <c r="D256" s="1178"/>
      <c r="E256" s="1176" t="s">
        <v>64</v>
      </c>
      <c r="F256" s="1178"/>
      <c r="G256" s="1110" t="s">
        <v>65</v>
      </c>
      <c r="H256" s="1110"/>
      <c r="I256" s="1110"/>
      <c r="J256" s="1110"/>
    </row>
    <row r="257" spans="1:11" ht="27.75" hidden="1" customHeight="1" x14ac:dyDescent="0.3">
      <c r="A257" s="1175"/>
      <c r="B257" s="1179"/>
      <c r="C257" s="1180"/>
      <c r="D257" s="1181"/>
      <c r="E257" s="1179"/>
      <c r="F257" s="1181"/>
      <c r="G257" s="623" t="s">
        <v>305</v>
      </c>
      <c r="H257" s="623" t="s">
        <v>302</v>
      </c>
      <c r="I257" s="623" t="s">
        <v>303</v>
      </c>
      <c r="J257" s="623" t="s">
        <v>304</v>
      </c>
    </row>
    <row r="258" spans="1:11" ht="14.25" hidden="1" customHeight="1" x14ac:dyDescent="0.3">
      <c r="A258" s="623">
        <v>1</v>
      </c>
      <c r="B258" s="1110">
        <v>2</v>
      </c>
      <c r="C258" s="1110"/>
      <c r="D258" s="1110"/>
      <c r="E258" s="1139">
        <v>3</v>
      </c>
      <c r="F258" s="1140"/>
      <c r="G258" s="1110">
        <v>4</v>
      </c>
      <c r="H258" s="1110"/>
      <c r="I258" s="1110"/>
      <c r="J258" s="1110"/>
    </row>
    <row r="259" spans="1:11" ht="30" hidden="1" customHeight="1" x14ac:dyDescent="0.3">
      <c r="A259" s="618" t="s">
        <v>70</v>
      </c>
      <c r="B259" s="1125" t="s">
        <v>354</v>
      </c>
      <c r="C259" s="1126"/>
      <c r="D259" s="1127"/>
      <c r="E259" s="1128" t="s">
        <v>74</v>
      </c>
      <c r="F259" s="1129"/>
      <c r="G259" s="155" t="s">
        <v>74</v>
      </c>
      <c r="H259" s="155" t="s">
        <v>74</v>
      </c>
      <c r="I259" s="359" t="s">
        <v>74</v>
      </c>
      <c r="J259" s="363">
        <f>SUM(J260:J263)</f>
        <v>0</v>
      </c>
    </row>
    <row r="260" spans="1:11" ht="30" hidden="1" customHeight="1" x14ac:dyDescent="0.3">
      <c r="A260" s="576">
        <v>1</v>
      </c>
      <c r="B260" s="1143"/>
      <c r="C260" s="1143"/>
      <c r="D260" s="1143"/>
      <c r="E260" s="584"/>
      <c r="F260" s="585">
        <v>1</v>
      </c>
      <c r="G260" s="590">
        <v>1</v>
      </c>
      <c r="H260" s="590">
        <v>1</v>
      </c>
      <c r="I260" s="234">
        <v>0</v>
      </c>
      <c r="J260" s="639">
        <v>0</v>
      </c>
    </row>
    <row r="261" spans="1:11" ht="30" hidden="1" customHeight="1" x14ac:dyDescent="0.3">
      <c r="A261" s="624">
        <v>1</v>
      </c>
      <c r="B261" s="835" t="s">
        <v>637</v>
      </c>
      <c r="C261" s="835"/>
      <c r="D261" s="835"/>
      <c r="E261" s="1116">
        <v>1</v>
      </c>
      <c r="F261" s="1117"/>
      <c r="G261" s="624">
        <v>1</v>
      </c>
      <c r="H261" s="624">
        <v>1</v>
      </c>
      <c r="I261" s="170">
        <v>0</v>
      </c>
      <c r="J261" s="547">
        <v>0</v>
      </c>
    </row>
    <row r="262" spans="1:11" s="41" customFormat="1" ht="30" hidden="1" customHeight="1" x14ac:dyDescent="0.3">
      <c r="A262" s="353">
        <v>3</v>
      </c>
      <c r="B262" s="809" t="s">
        <v>637</v>
      </c>
      <c r="C262" s="1390"/>
      <c r="D262" s="1391"/>
      <c r="E262" s="1116">
        <v>1</v>
      </c>
      <c r="F262" s="1117"/>
      <c r="G262" s="624">
        <v>1</v>
      </c>
      <c r="H262" s="624">
        <v>1</v>
      </c>
      <c r="I262" s="170">
        <v>0</v>
      </c>
      <c r="J262" s="639">
        <f>I262</f>
        <v>0</v>
      </c>
    </row>
    <row r="263" spans="1:11" ht="30" hidden="1" customHeight="1" x14ac:dyDescent="0.3">
      <c r="A263" s="624">
        <v>4</v>
      </c>
      <c r="B263" s="835" t="s">
        <v>647</v>
      </c>
      <c r="C263" s="835"/>
      <c r="D263" s="835"/>
      <c r="E263" s="1116"/>
      <c r="F263" s="1117"/>
      <c r="G263" s="624"/>
      <c r="H263" s="624"/>
      <c r="I263" s="170"/>
      <c r="J263" s="639">
        <v>0</v>
      </c>
    </row>
    <row r="264" spans="1:11" ht="24" hidden="1" customHeight="1" x14ac:dyDescent="0.3">
      <c r="A264" s="624"/>
      <c r="B264" s="835"/>
      <c r="C264" s="835"/>
      <c r="D264" s="835"/>
      <c r="E264" s="820"/>
      <c r="F264" s="822"/>
      <c r="G264" s="576"/>
      <c r="H264" s="576"/>
      <c r="I264" s="170"/>
      <c r="J264" s="110"/>
    </row>
    <row r="265" spans="1:11" ht="22.5" hidden="1" customHeight="1" x14ac:dyDescent="0.3">
      <c r="A265" s="624"/>
      <c r="B265" s="835"/>
      <c r="C265" s="835"/>
      <c r="D265" s="835"/>
      <c r="E265" s="1116"/>
      <c r="F265" s="1117"/>
      <c r="G265" s="624"/>
      <c r="H265" s="624"/>
      <c r="I265" s="170"/>
      <c r="J265" s="110"/>
    </row>
    <row r="266" spans="1:11" ht="30" hidden="1" customHeight="1" x14ac:dyDescent="0.3">
      <c r="A266" s="624"/>
      <c r="B266" s="835"/>
      <c r="C266" s="835"/>
      <c r="D266" s="835"/>
      <c r="E266" s="1116"/>
      <c r="F266" s="1117"/>
      <c r="G266" s="624"/>
      <c r="H266" s="624"/>
      <c r="I266" s="170"/>
      <c r="J266" s="110"/>
    </row>
    <row r="267" spans="1:11" ht="30" hidden="1" customHeight="1" x14ac:dyDescent="0.3">
      <c r="A267" s="624"/>
      <c r="B267" s="835"/>
      <c r="C267" s="835"/>
      <c r="D267" s="835"/>
      <c r="E267" s="820"/>
      <c r="F267" s="822"/>
      <c r="G267" s="576"/>
      <c r="H267" s="576"/>
      <c r="I267" s="170"/>
      <c r="J267" s="110"/>
      <c r="K267" s="173"/>
    </row>
    <row r="268" spans="1:11" ht="51.75" hidden="1" customHeight="1" x14ac:dyDescent="0.3">
      <c r="A268" s="624"/>
      <c r="B268" s="835"/>
      <c r="C268" s="835"/>
      <c r="D268" s="835"/>
      <c r="E268" s="1116"/>
      <c r="F268" s="1117"/>
      <c r="G268" s="624"/>
      <c r="H268" s="624"/>
      <c r="I268" s="170"/>
      <c r="J268" s="110"/>
    </row>
    <row r="269" spans="1:11" ht="30" hidden="1" customHeight="1" x14ac:dyDescent="0.3">
      <c r="A269" s="624"/>
      <c r="B269" s="835"/>
      <c r="C269" s="835"/>
      <c r="D269" s="835"/>
      <c r="E269" s="1116"/>
      <c r="F269" s="1117"/>
      <c r="G269" s="624"/>
      <c r="H269" s="624"/>
      <c r="I269" s="170"/>
      <c r="J269" s="110"/>
    </row>
    <row r="270" spans="1:11" ht="43.5" hidden="1" customHeight="1" x14ac:dyDescent="0.3">
      <c r="A270" s="624"/>
      <c r="B270" s="1143"/>
      <c r="C270" s="1143"/>
      <c r="D270" s="1143"/>
      <c r="E270" s="1116"/>
      <c r="F270" s="1117"/>
      <c r="G270" s="624"/>
      <c r="H270" s="624"/>
      <c r="I270" s="170"/>
      <c r="J270" s="110"/>
    </row>
    <row r="271" spans="1:11" ht="48" hidden="1" customHeight="1" x14ac:dyDescent="0.3">
      <c r="A271" s="624"/>
      <c r="B271" s="1143"/>
      <c r="C271" s="1143"/>
      <c r="D271" s="1143"/>
      <c r="E271" s="1116"/>
      <c r="F271" s="1117"/>
      <c r="G271" s="624"/>
      <c r="H271" s="624"/>
      <c r="I271" s="170"/>
      <c r="J271" s="110"/>
    </row>
    <row r="272" spans="1:11" ht="30" hidden="1" customHeight="1" x14ac:dyDescent="0.3">
      <c r="A272" s="624"/>
      <c r="B272" s="1143"/>
      <c r="C272" s="1143"/>
      <c r="D272" s="1143"/>
      <c r="E272" s="1116"/>
      <c r="F272" s="1117"/>
      <c r="G272" s="624"/>
      <c r="H272" s="628"/>
      <c r="I272" s="170"/>
      <c r="J272" s="110"/>
    </row>
    <row r="273" spans="1:11" ht="30" hidden="1" customHeight="1" x14ac:dyDescent="0.3">
      <c r="A273" s="624"/>
      <c r="B273" s="835"/>
      <c r="C273" s="835"/>
      <c r="D273" s="835"/>
      <c r="E273" s="1116"/>
      <c r="F273" s="1117"/>
      <c r="G273" s="624"/>
      <c r="H273" s="624"/>
      <c r="I273" s="170"/>
      <c r="J273" s="110"/>
    </row>
    <row r="274" spans="1:11" ht="30" hidden="1" customHeight="1" x14ac:dyDescent="0.3">
      <c r="A274" s="624"/>
      <c r="B274" s="571"/>
      <c r="C274" s="572"/>
      <c r="D274" s="573"/>
      <c r="E274" s="604"/>
      <c r="F274" s="605"/>
      <c r="G274" s="624"/>
      <c r="H274" s="624"/>
      <c r="I274" s="170"/>
      <c r="J274" s="110"/>
    </row>
    <row r="275" spans="1:11" ht="30" hidden="1" customHeight="1" x14ac:dyDescent="0.3">
      <c r="A275" s="618" t="s">
        <v>75</v>
      </c>
      <c r="B275" s="1125" t="s">
        <v>354</v>
      </c>
      <c r="C275" s="1126"/>
      <c r="D275" s="1127"/>
      <c r="E275" s="1128" t="s">
        <v>74</v>
      </c>
      <c r="F275" s="1129"/>
      <c r="G275" s="155" t="s">
        <v>74</v>
      </c>
      <c r="H275" s="155" t="s">
        <v>74</v>
      </c>
      <c r="I275" s="359" t="s">
        <v>74</v>
      </c>
      <c r="J275" s="363">
        <f>J276</f>
        <v>0</v>
      </c>
    </row>
    <row r="276" spans="1:11" ht="30" hidden="1" customHeight="1" x14ac:dyDescent="0.3">
      <c r="A276" s="624"/>
      <c r="B276" s="1143"/>
      <c r="C276" s="1143"/>
      <c r="D276" s="1143"/>
      <c r="E276" s="1116"/>
      <c r="F276" s="1117"/>
      <c r="G276" s="624"/>
      <c r="H276" s="624"/>
      <c r="I276" s="101"/>
      <c r="J276" s="110"/>
    </row>
    <row r="277" spans="1:11" ht="30" hidden="1" customHeight="1" x14ac:dyDescent="0.3">
      <c r="A277" s="618" t="s">
        <v>77</v>
      </c>
      <c r="B277" s="1125" t="s">
        <v>524</v>
      </c>
      <c r="C277" s="1126"/>
      <c r="D277" s="1127"/>
      <c r="E277" s="1128" t="s">
        <v>74</v>
      </c>
      <c r="F277" s="1129"/>
      <c r="G277" s="155" t="s">
        <v>74</v>
      </c>
      <c r="H277" s="155" t="s">
        <v>74</v>
      </c>
      <c r="I277" s="359" t="s">
        <v>74</v>
      </c>
      <c r="J277" s="363">
        <f>J278</f>
        <v>0</v>
      </c>
    </row>
    <row r="278" spans="1:11" ht="30" hidden="1" customHeight="1" x14ac:dyDescent="0.3">
      <c r="A278" s="624"/>
      <c r="B278" s="1143"/>
      <c r="C278" s="1143"/>
      <c r="D278" s="1143"/>
      <c r="E278" s="1116"/>
      <c r="F278" s="1117"/>
      <c r="G278" s="624"/>
      <c r="H278" s="624"/>
      <c r="I278" s="101"/>
      <c r="J278" s="110"/>
    </row>
    <row r="279" spans="1:11" ht="30" hidden="1" customHeight="1" x14ac:dyDescent="0.3">
      <c r="A279" s="618" t="s">
        <v>86</v>
      </c>
      <c r="B279" s="1125" t="s">
        <v>356</v>
      </c>
      <c r="C279" s="1126"/>
      <c r="D279" s="1127"/>
      <c r="E279" s="1128" t="s">
        <v>74</v>
      </c>
      <c r="F279" s="1129"/>
      <c r="G279" s="155" t="s">
        <v>74</v>
      </c>
      <c r="H279" s="155" t="s">
        <v>74</v>
      </c>
      <c r="I279" s="359" t="s">
        <v>74</v>
      </c>
      <c r="J279" s="363">
        <f>J280+J281</f>
        <v>0</v>
      </c>
      <c r="K279" s="1" t="s">
        <v>533</v>
      </c>
    </row>
    <row r="280" spans="1:11" ht="30" hidden="1" customHeight="1" x14ac:dyDescent="0.3">
      <c r="A280" s="576"/>
      <c r="B280" s="809"/>
      <c r="C280" s="810"/>
      <c r="D280" s="811"/>
      <c r="E280" s="858"/>
      <c r="F280" s="859"/>
      <c r="G280" s="590"/>
      <c r="H280" s="590"/>
      <c r="I280" s="234"/>
      <c r="J280" s="639"/>
    </row>
    <row r="281" spans="1:11" ht="30" hidden="1" customHeight="1" x14ac:dyDescent="0.3">
      <c r="A281" s="576"/>
      <c r="B281" s="809"/>
      <c r="C281" s="810"/>
      <c r="D281" s="811"/>
      <c r="E281" s="584"/>
      <c r="F281" s="585"/>
      <c r="G281" s="590"/>
      <c r="H281" s="590"/>
      <c r="I281" s="234"/>
      <c r="J281" s="639"/>
    </row>
    <row r="282" spans="1:11" ht="55.5" hidden="1" customHeight="1" x14ac:dyDescent="0.3">
      <c r="A282" s="618" t="s">
        <v>87</v>
      </c>
      <c r="B282" s="1125" t="s">
        <v>530</v>
      </c>
      <c r="C282" s="1126"/>
      <c r="D282" s="1127"/>
      <c r="E282" s="1128" t="s">
        <v>74</v>
      </c>
      <c r="F282" s="1129"/>
      <c r="G282" s="155" t="s">
        <v>74</v>
      </c>
      <c r="H282" s="155" t="s">
        <v>74</v>
      </c>
      <c r="I282" s="359" t="s">
        <v>74</v>
      </c>
      <c r="J282" s="238">
        <f>J283</f>
        <v>0</v>
      </c>
    </row>
    <row r="283" spans="1:11" ht="30" hidden="1" customHeight="1" x14ac:dyDescent="0.3">
      <c r="A283" s="576"/>
      <c r="B283" s="809"/>
      <c r="C283" s="810"/>
      <c r="D283" s="811"/>
      <c r="E283" s="858"/>
      <c r="F283" s="859"/>
      <c r="G283" s="590"/>
      <c r="H283" s="590"/>
      <c r="I283" s="234"/>
      <c r="J283" s="237"/>
    </row>
    <row r="284" spans="1:11" ht="54.75" hidden="1" customHeight="1" x14ac:dyDescent="0.3">
      <c r="A284" s="618" t="s">
        <v>97</v>
      </c>
      <c r="B284" s="1125" t="s">
        <v>534</v>
      </c>
      <c r="C284" s="1126"/>
      <c r="D284" s="1127"/>
      <c r="E284" s="1128" t="s">
        <v>74</v>
      </c>
      <c r="F284" s="1129"/>
      <c r="G284" s="155" t="s">
        <v>74</v>
      </c>
      <c r="H284" s="155" t="s">
        <v>74</v>
      </c>
      <c r="I284" s="359" t="s">
        <v>74</v>
      </c>
      <c r="J284" s="238">
        <f>J285+J286+J287+J288</f>
        <v>0</v>
      </c>
    </row>
    <row r="285" spans="1:11" ht="30" hidden="1" customHeight="1" x14ac:dyDescent="0.3">
      <c r="A285" s="576"/>
      <c r="B285" s="999"/>
      <c r="C285" s="1000"/>
      <c r="D285" s="1001"/>
      <c r="E285" s="858"/>
      <c r="F285" s="859"/>
      <c r="G285" s="590"/>
      <c r="H285" s="590"/>
      <c r="I285" s="234"/>
      <c r="J285" s="639"/>
    </row>
    <row r="286" spans="1:11" ht="30" hidden="1" customHeight="1" x14ac:dyDescent="0.3">
      <c r="A286" s="576"/>
      <c r="B286" s="999"/>
      <c r="C286" s="1000"/>
      <c r="D286" s="1001"/>
      <c r="E286" s="858"/>
      <c r="F286" s="859"/>
      <c r="G286" s="590"/>
      <c r="H286" s="590"/>
      <c r="I286" s="234"/>
      <c r="J286" s="639"/>
    </row>
    <row r="287" spans="1:11" ht="30" hidden="1" customHeight="1" x14ac:dyDescent="0.3">
      <c r="A287" s="576"/>
      <c r="B287" s="999"/>
      <c r="C287" s="1000"/>
      <c r="D287" s="1001"/>
      <c r="E287" s="858"/>
      <c r="F287" s="859"/>
      <c r="G287" s="590"/>
      <c r="H287" s="590"/>
      <c r="I287" s="234"/>
      <c r="J287" s="639"/>
    </row>
    <row r="288" spans="1:11" ht="30" hidden="1" customHeight="1" x14ac:dyDescent="0.3">
      <c r="A288" s="576"/>
      <c r="B288" s="1151"/>
      <c r="C288" s="1151"/>
      <c r="D288" s="1151"/>
      <c r="E288" s="1116"/>
      <c r="F288" s="1117"/>
      <c r="G288" s="624"/>
      <c r="H288" s="624"/>
      <c r="I288" s="101"/>
      <c r="J288" s="110"/>
    </row>
    <row r="289" spans="1:11" ht="30" hidden="1" customHeight="1" x14ac:dyDescent="0.3">
      <c r="A289" s="448"/>
      <c r="B289" s="1164" t="s">
        <v>332</v>
      </c>
      <c r="C289" s="1164"/>
      <c r="D289" s="1164"/>
      <c r="E289" s="1165" t="s">
        <v>14</v>
      </c>
      <c r="F289" s="1166"/>
      <c r="G289" s="1167">
        <f>J259+J275+J277+J279+J282+J284</f>
        <v>0</v>
      </c>
      <c r="H289" s="1168"/>
      <c r="I289" s="1168"/>
      <c r="J289" s="1168"/>
    </row>
    <row r="290" spans="1:11" ht="30" hidden="1" customHeight="1" x14ac:dyDescent="0.3">
      <c r="A290" s="893" t="s">
        <v>382</v>
      </c>
      <c r="B290" s="893"/>
      <c r="C290" s="893"/>
      <c r="D290" s="893"/>
      <c r="E290" s="893"/>
      <c r="F290" s="893"/>
      <c r="G290" s="893"/>
      <c r="H290" s="893"/>
      <c r="I290" s="893"/>
      <c r="J290" s="893"/>
    </row>
    <row r="291" spans="1:11" ht="30" hidden="1" customHeight="1" x14ac:dyDescent="0.3">
      <c r="A291" s="623" t="s">
        <v>1</v>
      </c>
      <c r="B291" s="1110" t="s">
        <v>44</v>
      </c>
      <c r="C291" s="1110"/>
      <c r="D291" s="1110"/>
      <c r="E291" s="1110" t="s">
        <v>58</v>
      </c>
      <c r="F291" s="1110"/>
      <c r="G291" s="1139" t="s">
        <v>66</v>
      </c>
      <c r="H291" s="1140"/>
      <c r="I291" s="1110" t="s">
        <v>60</v>
      </c>
      <c r="J291" s="1110"/>
    </row>
    <row r="292" spans="1:11" ht="30" hidden="1" customHeight="1" x14ac:dyDescent="0.3">
      <c r="A292" s="623">
        <v>1</v>
      </c>
      <c r="B292" s="1110">
        <v>2</v>
      </c>
      <c r="C292" s="1110"/>
      <c r="D292" s="1110"/>
      <c r="E292" s="1110">
        <v>3</v>
      </c>
      <c r="F292" s="1110"/>
      <c r="G292" s="1110">
        <v>4</v>
      </c>
      <c r="H292" s="1110"/>
      <c r="I292" s="1110">
        <v>5</v>
      </c>
      <c r="J292" s="1110"/>
    </row>
    <row r="293" spans="1:11" ht="30" hidden="1" customHeight="1" x14ac:dyDescent="0.3">
      <c r="A293" s="624" t="s">
        <v>27</v>
      </c>
      <c r="B293" s="1116"/>
      <c r="C293" s="1212"/>
      <c r="D293" s="1117"/>
      <c r="E293" s="1213"/>
      <c r="F293" s="1213"/>
      <c r="G293" s="1213"/>
      <c r="H293" s="1213"/>
      <c r="I293" s="1213"/>
      <c r="J293" s="1213"/>
    </row>
    <row r="294" spans="1:11" ht="30" hidden="1" customHeight="1" x14ac:dyDescent="0.3">
      <c r="A294" s="620"/>
      <c r="B294" s="1098" t="s">
        <v>13</v>
      </c>
      <c r="C294" s="1098"/>
      <c r="D294" s="1098"/>
      <c r="E294" s="1090" t="s">
        <v>14</v>
      </c>
      <c r="F294" s="1090"/>
      <c r="G294" s="1090" t="s">
        <v>14</v>
      </c>
      <c r="H294" s="1090"/>
      <c r="I294" s="1090">
        <f>I293</f>
        <v>0</v>
      </c>
      <c r="J294" s="1090"/>
    </row>
    <row r="295" spans="1:11" ht="15.75" hidden="1" customHeight="1" x14ac:dyDescent="0.3">
      <c r="A295" s="1214" t="s">
        <v>383</v>
      </c>
      <c r="B295" s="1214"/>
      <c r="C295" s="1214"/>
      <c r="D295" s="1214"/>
      <c r="E295" s="1214"/>
      <c r="F295" s="1214"/>
      <c r="G295" s="1214"/>
      <c r="H295" s="1214"/>
      <c r="I295" s="1214"/>
      <c r="J295" s="1214"/>
    </row>
    <row r="296" spans="1:11" ht="17.25" hidden="1" customHeight="1" x14ac:dyDescent="0.3">
      <c r="A296" s="623" t="s">
        <v>1</v>
      </c>
      <c r="B296" s="1139" t="s">
        <v>15</v>
      </c>
      <c r="C296" s="1210"/>
      <c r="D296" s="1140"/>
      <c r="E296" s="1139" t="s">
        <v>58</v>
      </c>
      <c r="F296" s="1140"/>
      <c r="G296" s="1139" t="s">
        <v>66</v>
      </c>
      <c r="H296" s="1140"/>
      <c r="I296" s="1139" t="s">
        <v>264</v>
      </c>
      <c r="J296" s="1140"/>
    </row>
    <row r="297" spans="1:11" ht="16.5" hidden="1" customHeight="1" x14ac:dyDescent="0.3">
      <c r="A297" s="623">
        <v>1</v>
      </c>
      <c r="B297" s="1139">
        <v>2</v>
      </c>
      <c r="C297" s="1210"/>
      <c r="D297" s="1140"/>
      <c r="E297" s="1139">
        <v>3</v>
      </c>
      <c r="F297" s="1140"/>
      <c r="G297" s="1139">
        <v>4</v>
      </c>
      <c r="H297" s="1140"/>
      <c r="I297" s="1139">
        <v>5</v>
      </c>
      <c r="J297" s="1140"/>
    </row>
    <row r="298" spans="1:11" ht="30" hidden="1" customHeight="1" x14ac:dyDescent="0.3">
      <c r="A298" s="618" t="s">
        <v>70</v>
      </c>
      <c r="B298" s="1125" t="s">
        <v>170</v>
      </c>
      <c r="C298" s="1126"/>
      <c r="D298" s="1127"/>
      <c r="E298" s="102"/>
      <c r="F298" s="102"/>
      <c r="G298" s="1187"/>
      <c r="H298" s="1188"/>
      <c r="I298" s="1211">
        <f>I299</f>
        <v>0</v>
      </c>
      <c r="J298" s="1190"/>
    </row>
    <row r="299" spans="1:11" ht="17.25" hidden="1" customHeight="1" x14ac:dyDescent="0.3">
      <c r="A299" s="624" t="s">
        <v>27</v>
      </c>
      <c r="B299" s="1104" t="s">
        <v>334</v>
      </c>
      <c r="C299" s="1105"/>
      <c r="D299" s="1106"/>
      <c r="E299" s="356" t="s">
        <v>307</v>
      </c>
      <c r="F299" s="356">
        <v>4</v>
      </c>
      <c r="G299" s="1192" t="s">
        <v>260</v>
      </c>
      <c r="H299" s="1193"/>
      <c r="I299" s="1204"/>
      <c r="J299" s="1109"/>
    </row>
    <row r="300" spans="1:11" ht="30" hidden="1" customHeight="1" x14ac:dyDescent="0.3">
      <c r="A300" s="618" t="s">
        <v>70</v>
      </c>
      <c r="B300" s="1125" t="s">
        <v>591</v>
      </c>
      <c r="C300" s="1126"/>
      <c r="D300" s="1127"/>
      <c r="E300" s="158" t="s">
        <v>74</v>
      </c>
      <c r="F300" s="158" t="s">
        <v>74</v>
      </c>
      <c r="G300" s="1128" t="s">
        <v>74</v>
      </c>
      <c r="H300" s="1129"/>
      <c r="I300" s="1211">
        <f>I301+I303+I302+I304</f>
        <v>0</v>
      </c>
      <c r="J300" s="1190"/>
    </row>
    <row r="301" spans="1:11" s="41" customFormat="1" ht="30" hidden="1" customHeight="1" x14ac:dyDescent="0.3">
      <c r="A301" s="624">
        <v>1</v>
      </c>
      <c r="B301" s="999" t="s">
        <v>938</v>
      </c>
      <c r="C301" s="1000"/>
      <c r="D301" s="1001"/>
      <c r="E301" s="356" t="s">
        <v>543</v>
      </c>
      <c r="F301" s="628">
        <v>33</v>
      </c>
      <c r="G301" s="1192" t="s">
        <v>74</v>
      </c>
      <c r="H301" s="1193"/>
      <c r="I301" s="1204">
        <v>0</v>
      </c>
      <c r="J301" s="1109"/>
      <c r="K301" s="41" t="s">
        <v>646</v>
      </c>
    </row>
    <row r="302" spans="1:11" s="41" customFormat="1" ht="30" hidden="1" customHeight="1" x14ac:dyDescent="0.3">
      <c r="A302" s="624">
        <v>2</v>
      </c>
      <c r="B302" s="999" t="s">
        <v>636</v>
      </c>
      <c r="C302" s="1000"/>
      <c r="D302" s="1001"/>
      <c r="E302" s="356" t="s">
        <v>543</v>
      </c>
      <c r="F302" s="157">
        <v>33</v>
      </c>
      <c r="G302" s="1192" t="s">
        <v>74</v>
      </c>
      <c r="H302" s="1193"/>
      <c r="I302" s="1377">
        <v>0</v>
      </c>
      <c r="J302" s="1378"/>
    </row>
    <row r="303" spans="1:11" s="41" customFormat="1" ht="30" hidden="1" customHeight="1" x14ac:dyDescent="0.3">
      <c r="A303" s="624">
        <v>3</v>
      </c>
      <c r="B303" s="999" t="s">
        <v>645</v>
      </c>
      <c r="C303" s="1000"/>
      <c r="D303" s="1001"/>
      <c r="E303" s="356" t="s">
        <v>543</v>
      </c>
      <c r="F303" s="157">
        <v>33</v>
      </c>
      <c r="G303" s="1192" t="s">
        <v>74</v>
      </c>
      <c r="H303" s="1193"/>
      <c r="I303" s="1388">
        <v>0</v>
      </c>
      <c r="J303" s="1389"/>
    </row>
    <row r="304" spans="1:11" ht="95.25" hidden="1" customHeight="1" x14ac:dyDescent="0.3">
      <c r="A304" s="624">
        <v>4</v>
      </c>
      <c r="B304" s="999" t="s">
        <v>648</v>
      </c>
      <c r="C304" s="1000"/>
      <c r="D304" s="1001"/>
      <c r="E304" s="356" t="s">
        <v>543</v>
      </c>
      <c r="F304" s="157">
        <v>33</v>
      </c>
      <c r="G304" s="1192" t="s">
        <v>74</v>
      </c>
      <c r="H304" s="1193"/>
      <c r="I304" s="1377">
        <v>0</v>
      </c>
      <c r="J304" s="1378"/>
    </row>
    <row r="305" spans="1:11" ht="30" hidden="1" customHeight="1" x14ac:dyDescent="0.3">
      <c r="A305" s="618" t="s">
        <v>75</v>
      </c>
      <c r="B305" s="1125" t="s">
        <v>566</v>
      </c>
      <c r="C305" s="1126"/>
      <c r="D305" s="1127"/>
      <c r="E305" s="1128" t="s">
        <v>74</v>
      </c>
      <c r="F305" s="1129"/>
      <c r="G305" s="1128" t="s">
        <v>74</v>
      </c>
      <c r="H305" s="1129"/>
      <c r="I305" s="1385">
        <f>I306</f>
        <v>0</v>
      </c>
      <c r="J305" s="1386"/>
    </row>
    <row r="306" spans="1:11" s="41" customFormat="1" ht="30" hidden="1" customHeight="1" x14ac:dyDescent="0.3">
      <c r="A306" s="104" t="s">
        <v>34</v>
      </c>
      <c r="B306" s="1141" t="s">
        <v>544</v>
      </c>
      <c r="C306" s="1387"/>
      <c r="D306" s="1142"/>
      <c r="E306" s="356" t="s">
        <v>308</v>
      </c>
      <c r="F306" s="628">
        <v>822</v>
      </c>
      <c r="G306" s="1107" t="s">
        <v>260</v>
      </c>
      <c r="H306" s="1107"/>
      <c r="I306" s="1102"/>
      <c r="J306" s="1103"/>
    </row>
    <row r="307" spans="1:11" ht="30" hidden="1" customHeight="1" x14ac:dyDescent="0.3">
      <c r="A307" s="624"/>
      <c r="B307" s="1191"/>
      <c r="C307" s="1191"/>
      <c r="D307" s="1191"/>
      <c r="E307" s="356" t="s">
        <v>308</v>
      </c>
      <c r="F307" s="628">
        <v>1007</v>
      </c>
      <c r="G307" s="1107" t="s">
        <v>260</v>
      </c>
      <c r="H307" s="1107"/>
      <c r="I307" s="1102"/>
      <c r="J307" s="1103"/>
      <c r="K307" s="15"/>
    </row>
    <row r="308" spans="1:11" ht="30" hidden="1" customHeight="1" x14ac:dyDescent="0.3">
      <c r="A308" s="624"/>
      <c r="B308" s="1191"/>
      <c r="C308" s="1191"/>
      <c r="D308" s="1191"/>
      <c r="E308" s="356" t="s">
        <v>308</v>
      </c>
      <c r="F308" s="628">
        <v>1007</v>
      </c>
      <c r="G308" s="1107" t="s">
        <v>260</v>
      </c>
      <c r="H308" s="1107"/>
      <c r="I308" s="1102"/>
      <c r="J308" s="1103"/>
      <c r="K308" s="14"/>
    </row>
    <row r="309" spans="1:11" ht="30" hidden="1" customHeight="1" x14ac:dyDescent="0.3">
      <c r="A309" s="104"/>
      <c r="B309" s="1191"/>
      <c r="C309" s="1191"/>
      <c r="D309" s="1191"/>
      <c r="E309" s="356" t="s">
        <v>308</v>
      </c>
      <c r="F309" s="628">
        <v>1007</v>
      </c>
      <c r="G309" s="1107" t="s">
        <v>260</v>
      </c>
      <c r="H309" s="1107"/>
      <c r="I309" s="1102"/>
      <c r="J309" s="1103"/>
    </row>
    <row r="310" spans="1:11" ht="17.25" hidden="1" customHeight="1" x14ac:dyDescent="0.3">
      <c r="A310" s="624"/>
      <c r="B310" s="1098" t="s">
        <v>13</v>
      </c>
      <c r="C310" s="1098"/>
      <c r="D310" s="1098"/>
      <c r="E310" s="1201" t="s">
        <v>74</v>
      </c>
      <c r="F310" s="1202"/>
      <c r="G310" s="1090" t="s">
        <v>14</v>
      </c>
      <c r="H310" s="1090"/>
      <c r="I310" s="1384">
        <f>I305+I300</f>
        <v>0</v>
      </c>
      <c r="J310" s="1384"/>
    </row>
    <row r="311" spans="1:11" ht="21.75" customHeight="1" x14ac:dyDescent="0.3">
      <c r="A311" s="1200" t="s">
        <v>384</v>
      </c>
      <c r="B311" s="1200"/>
      <c r="C311" s="1200"/>
      <c r="D311" s="1200"/>
      <c r="E311" s="1200"/>
      <c r="F311" s="1200"/>
      <c r="G311" s="1200"/>
      <c r="H311" s="1200"/>
      <c r="I311" s="1200"/>
      <c r="J311" s="1200"/>
    </row>
    <row r="312" spans="1:11" ht="21.75" hidden="1" customHeight="1" x14ac:dyDescent="0.3">
      <c r="A312" s="1196" t="s">
        <v>545</v>
      </c>
      <c r="B312" s="1196"/>
      <c r="C312" s="1196"/>
      <c r="D312" s="1196"/>
      <c r="E312" s="1196"/>
      <c r="F312" s="1196"/>
      <c r="G312" s="1196"/>
      <c r="H312" s="1196"/>
      <c r="I312" s="1196"/>
      <c r="J312" s="1196"/>
    </row>
    <row r="313" spans="1:11" ht="21.75" hidden="1" customHeight="1" x14ac:dyDescent="0.3">
      <c r="A313" s="623" t="s">
        <v>1</v>
      </c>
      <c r="B313" s="1110" t="s">
        <v>15</v>
      </c>
      <c r="C313" s="1110"/>
      <c r="D313" s="1110"/>
      <c r="E313" s="1110" t="s">
        <v>58</v>
      </c>
      <c r="F313" s="1110"/>
      <c r="G313" s="1110" t="s">
        <v>66</v>
      </c>
      <c r="H313" s="1110"/>
      <c r="I313" s="1110" t="s">
        <v>264</v>
      </c>
      <c r="J313" s="1110"/>
    </row>
    <row r="314" spans="1:11" ht="21.75" hidden="1" customHeight="1" x14ac:dyDescent="0.3">
      <c r="A314" s="623">
        <v>1</v>
      </c>
      <c r="B314" s="1110">
        <v>2</v>
      </c>
      <c r="C314" s="1110"/>
      <c r="D314" s="1110"/>
      <c r="E314" s="1110">
        <v>3</v>
      </c>
      <c r="F314" s="1110"/>
      <c r="G314" s="1110">
        <v>4</v>
      </c>
      <c r="H314" s="1110"/>
      <c r="I314" s="1110">
        <v>5</v>
      </c>
      <c r="J314" s="1110"/>
    </row>
    <row r="315" spans="1:11" ht="39.75" hidden="1" customHeight="1" x14ac:dyDescent="0.3">
      <c r="A315" s="618" t="s">
        <v>70</v>
      </c>
      <c r="B315" s="1125" t="s">
        <v>172</v>
      </c>
      <c r="C315" s="1126"/>
      <c r="D315" s="1127"/>
      <c r="E315" s="102"/>
      <c r="F315" s="102"/>
      <c r="G315" s="1187"/>
      <c r="H315" s="1188"/>
      <c r="I315" s="1189">
        <f>SUM(I316:J317)</f>
        <v>0</v>
      </c>
      <c r="J315" s="1190"/>
    </row>
    <row r="316" spans="1:11" ht="35.25" hidden="1" customHeight="1" x14ac:dyDescent="0.3">
      <c r="A316" s="624" t="s">
        <v>27</v>
      </c>
      <c r="B316" s="1191" t="s">
        <v>173</v>
      </c>
      <c r="C316" s="1191"/>
      <c r="D316" s="1191"/>
      <c r="E316" s="356" t="s">
        <v>308</v>
      </c>
      <c r="F316" s="628">
        <v>822</v>
      </c>
      <c r="G316" s="1107" t="s">
        <v>260</v>
      </c>
      <c r="H316" s="1107"/>
      <c r="I316" s="1102"/>
      <c r="J316" s="1103"/>
    </row>
    <row r="317" spans="1:11" ht="21.75" hidden="1" customHeight="1" x14ac:dyDescent="0.3">
      <c r="A317" s="104" t="s">
        <v>27</v>
      </c>
      <c r="B317" s="1104"/>
      <c r="C317" s="1105"/>
      <c r="D317" s="1106"/>
      <c r="E317" s="356"/>
      <c r="F317" s="147"/>
      <c r="G317" s="1107"/>
      <c r="H317" s="1107"/>
      <c r="I317" s="1108"/>
      <c r="J317" s="1109"/>
    </row>
    <row r="318" spans="1:11" ht="21.75" hidden="1" customHeight="1" x14ac:dyDescent="0.3">
      <c r="A318" s="624"/>
      <c r="B318" s="1098" t="s">
        <v>13</v>
      </c>
      <c r="C318" s="1098"/>
      <c r="D318" s="1098"/>
      <c r="E318" s="1123" t="s">
        <v>74</v>
      </c>
      <c r="F318" s="1124"/>
      <c r="G318" s="1090" t="s">
        <v>14</v>
      </c>
      <c r="H318" s="1090"/>
      <c r="I318" s="1101">
        <f>I315</f>
        <v>0</v>
      </c>
      <c r="J318" s="1090"/>
    </row>
    <row r="319" spans="1:11" ht="15.6" hidden="1" x14ac:dyDescent="0.3">
      <c r="A319" s="1196" t="s">
        <v>546</v>
      </c>
      <c r="B319" s="1196"/>
      <c r="C319" s="1196"/>
      <c r="D319" s="1196"/>
      <c r="E319" s="1196"/>
      <c r="F319" s="1196"/>
      <c r="G319" s="1196"/>
      <c r="H319" s="1196"/>
      <c r="I319" s="1196"/>
      <c r="J319" s="1196"/>
    </row>
    <row r="320" spans="1:11" ht="15" hidden="1" customHeight="1" x14ac:dyDescent="0.3">
      <c r="A320" s="623" t="s">
        <v>1</v>
      </c>
      <c r="B320" s="1110" t="s">
        <v>15</v>
      </c>
      <c r="C320" s="1110"/>
      <c r="D320" s="1110"/>
      <c r="E320" s="1110" t="s">
        <v>58</v>
      </c>
      <c r="F320" s="1110"/>
      <c r="G320" s="1110" t="s">
        <v>66</v>
      </c>
      <c r="H320" s="1110"/>
      <c r="I320" s="1110" t="s">
        <v>264</v>
      </c>
      <c r="J320" s="1110"/>
    </row>
    <row r="321" spans="1:12" hidden="1" x14ac:dyDescent="0.3">
      <c r="A321" s="623">
        <v>1</v>
      </c>
      <c r="B321" s="1110">
        <v>2</v>
      </c>
      <c r="C321" s="1110"/>
      <c r="D321" s="1110"/>
      <c r="E321" s="1110">
        <v>3</v>
      </c>
      <c r="F321" s="1110"/>
      <c r="G321" s="1110">
        <v>4</v>
      </c>
      <c r="H321" s="1110"/>
      <c r="I321" s="1110">
        <v>5</v>
      </c>
      <c r="J321" s="1110"/>
    </row>
    <row r="322" spans="1:12" ht="30.75" hidden="1" customHeight="1" x14ac:dyDescent="0.3">
      <c r="A322" s="618" t="s">
        <v>70</v>
      </c>
      <c r="B322" s="1125" t="s">
        <v>172</v>
      </c>
      <c r="C322" s="1126"/>
      <c r="D322" s="1127"/>
      <c r="E322" s="102"/>
      <c r="F322" s="102"/>
      <c r="G322" s="1187"/>
      <c r="H322" s="1188"/>
      <c r="I322" s="1189">
        <f>SUM(I323:J324)</f>
        <v>0</v>
      </c>
      <c r="J322" s="1190"/>
      <c r="K322" s="148"/>
      <c r="L322" s="149"/>
    </row>
    <row r="323" spans="1:12" hidden="1" x14ac:dyDescent="0.3">
      <c r="A323" s="624" t="s">
        <v>27</v>
      </c>
      <c r="B323" s="1191" t="s">
        <v>173</v>
      </c>
      <c r="C323" s="1191"/>
      <c r="D323" s="1191"/>
      <c r="E323" s="356" t="s">
        <v>308</v>
      </c>
      <c r="F323" s="628"/>
      <c r="G323" s="1107" t="s">
        <v>260</v>
      </c>
      <c r="H323" s="1107"/>
      <c r="I323" s="1102"/>
      <c r="J323" s="1103"/>
      <c r="K323" s="148"/>
      <c r="L323" s="149"/>
    </row>
    <row r="324" spans="1:12" hidden="1" x14ac:dyDescent="0.3">
      <c r="A324" s="104" t="s">
        <v>27</v>
      </c>
      <c r="B324" s="1104"/>
      <c r="C324" s="1105"/>
      <c r="D324" s="1106"/>
      <c r="E324" s="356"/>
      <c r="F324" s="147"/>
      <c r="G324" s="1107"/>
      <c r="H324" s="1107"/>
      <c r="I324" s="1108"/>
      <c r="J324" s="1109"/>
    </row>
    <row r="325" spans="1:12" s="45" customFormat="1" ht="15" hidden="1" customHeight="1" x14ac:dyDescent="0.3">
      <c r="A325" s="624"/>
      <c r="B325" s="1098" t="s">
        <v>13</v>
      </c>
      <c r="C325" s="1098"/>
      <c r="D325" s="1098"/>
      <c r="E325" s="1123" t="s">
        <v>74</v>
      </c>
      <c r="F325" s="1124"/>
      <c r="G325" s="1090" t="s">
        <v>14</v>
      </c>
      <c r="H325" s="1090"/>
      <c r="I325" s="1101">
        <f>I322</f>
        <v>0</v>
      </c>
      <c r="J325" s="1090"/>
    </row>
    <row r="326" spans="1:12" s="45" customFormat="1" ht="15" hidden="1" customHeight="1" x14ac:dyDescent="0.3">
      <c r="A326" s="1196" t="s">
        <v>547</v>
      </c>
      <c r="B326" s="1196"/>
      <c r="C326" s="1196"/>
      <c r="D326" s="1196"/>
      <c r="E326" s="1196"/>
      <c r="F326" s="1196"/>
      <c r="G326" s="1196"/>
      <c r="H326" s="1196"/>
      <c r="I326" s="1196"/>
      <c r="J326" s="1196"/>
    </row>
    <row r="327" spans="1:12" s="45" customFormat="1" ht="15" hidden="1" customHeight="1" x14ac:dyDescent="0.3">
      <c r="A327" s="623" t="s">
        <v>1</v>
      </c>
      <c r="B327" s="1110" t="s">
        <v>15</v>
      </c>
      <c r="C327" s="1110"/>
      <c r="D327" s="1110"/>
      <c r="E327" s="1110" t="s">
        <v>58</v>
      </c>
      <c r="F327" s="1110"/>
      <c r="G327" s="1110" t="s">
        <v>66</v>
      </c>
      <c r="H327" s="1110"/>
      <c r="I327" s="1110" t="s">
        <v>264</v>
      </c>
      <c r="J327" s="1110"/>
    </row>
    <row r="328" spans="1:12" s="45" customFormat="1" ht="15" hidden="1" customHeight="1" x14ac:dyDescent="0.3">
      <c r="A328" s="623">
        <v>1</v>
      </c>
      <c r="B328" s="1110">
        <v>2</v>
      </c>
      <c r="C328" s="1110"/>
      <c r="D328" s="1110"/>
      <c r="E328" s="1110">
        <v>3</v>
      </c>
      <c r="F328" s="1110"/>
      <c r="G328" s="1110">
        <v>4</v>
      </c>
      <c r="H328" s="1110"/>
      <c r="I328" s="1110">
        <v>5</v>
      </c>
      <c r="J328" s="1110"/>
    </row>
    <row r="329" spans="1:12" s="45" customFormat="1" ht="39.75" hidden="1" customHeight="1" x14ac:dyDescent="0.3">
      <c r="A329" s="618" t="s">
        <v>70</v>
      </c>
      <c r="B329" s="1125" t="s">
        <v>172</v>
      </c>
      <c r="C329" s="1126"/>
      <c r="D329" s="1127"/>
      <c r="E329" s="102"/>
      <c r="F329" s="102"/>
      <c r="G329" s="1187"/>
      <c r="H329" s="1188"/>
      <c r="I329" s="1189">
        <f>SUM(I330:J331)</f>
        <v>0</v>
      </c>
      <c r="J329" s="1190"/>
    </row>
    <row r="330" spans="1:12" s="45" customFormat="1" ht="15" hidden="1" customHeight="1" x14ac:dyDescent="0.3">
      <c r="A330" s="624" t="s">
        <v>27</v>
      </c>
      <c r="B330" s="1191" t="s">
        <v>549</v>
      </c>
      <c r="C330" s="1191"/>
      <c r="D330" s="1191"/>
      <c r="E330" s="356"/>
      <c r="F330" s="628"/>
      <c r="G330" s="1107" t="s">
        <v>260</v>
      </c>
      <c r="H330" s="1107"/>
      <c r="I330" s="1102"/>
      <c r="J330" s="1103"/>
    </row>
    <row r="331" spans="1:12" s="46" customFormat="1" ht="15" hidden="1" customHeight="1" x14ac:dyDescent="0.3">
      <c r="A331" s="104" t="s">
        <v>27</v>
      </c>
      <c r="B331" s="1104"/>
      <c r="C331" s="1105"/>
      <c r="D331" s="1106"/>
      <c r="E331" s="356"/>
      <c r="F331" s="147"/>
      <c r="G331" s="1107"/>
      <c r="H331" s="1107"/>
      <c r="I331" s="1108"/>
      <c r="J331" s="1109"/>
    </row>
    <row r="332" spans="1:12" s="45" customFormat="1" ht="33" hidden="1" customHeight="1" x14ac:dyDescent="0.3">
      <c r="A332" s="624"/>
      <c r="B332" s="1098" t="s">
        <v>13</v>
      </c>
      <c r="C332" s="1098"/>
      <c r="D332" s="1098"/>
      <c r="E332" s="1123" t="s">
        <v>74</v>
      </c>
      <c r="F332" s="1124"/>
      <c r="G332" s="1090" t="s">
        <v>14</v>
      </c>
      <c r="H332" s="1090"/>
      <c r="I332" s="1101">
        <f>I329</f>
        <v>0</v>
      </c>
      <c r="J332" s="1090"/>
    </row>
    <row r="333" spans="1:12" s="46" customFormat="1" ht="15" hidden="1" customHeight="1" x14ac:dyDescent="0.3">
      <c r="A333" s="1196" t="s">
        <v>548</v>
      </c>
      <c r="B333" s="1196"/>
      <c r="C333" s="1196"/>
      <c r="D333" s="1196"/>
      <c r="E333" s="1196"/>
      <c r="F333" s="1196"/>
      <c r="G333" s="1196"/>
      <c r="H333" s="1196"/>
      <c r="I333" s="1196"/>
      <c r="J333" s="1196"/>
    </row>
    <row r="334" spans="1:12" s="46" customFormat="1" ht="15" hidden="1" customHeight="1" x14ac:dyDescent="0.3">
      <c r="A334" s="623" t="s">
        <v>1</v>
      </c>
      <c r="B334" s="1110" t="s">
        <v>15</v>
      </c>
      <c r="C334" s="1110"/>
      <c r="D334" s="1110"/>
      <c r="E334" s="1110" t="s">
        <v>58</v>
      </c>
      <c r="F334" s="1110"/>
      <c r="G334" s="1110" t="s">
        <v>66</v>
      </c>
      <c r="H334" s="1110"/>
      <c r="I334" s="1110" t="s">
        <v>264</v>
      </c>
      <c r="J334" s="1110"/>
    </row>
    <row r="335" spans="1:12" s="46" customFormat="1" ht="15" hidden="1" customHeight="1" x14ac:dyDescent="0.3">
      <c r="A335" s="623">
        <v>1</v>
      </c>
      <c r="B335" s="1110">
        <v>2</v>
      </c>
      <c r="C335" s="1110"/>
      <c r="D335" s="1110"/>
      <c r="E335" s="1110">
        <v>3</v>
      </c>
      <c r="F335" s="1110"/>
      <c r="G335" s="1110">
        <v>4</v>
      </c>
      <c r="H335" s="1110"/>
      <c r="I335" s="1110">
        <v>5</v>
      </c>
      <c r="J335" s="1110"/>
    </row>
    <row r="336" spans="1:12" s="46" customFormat="1" ht="38.25" hidden="1" customHeight="1" x14ac:dyDescent="0.3">
      <c r="A336" s="618" t="s">
        <v>70</v>
      </c>
      <c r="B336" s="1125" t="s">
        <v>172</v>
      </c>
      <c r="C336" s="1126"/>
      <c r="D336" s="1127"/>
      <c r="E336" s="102"/>
      <c r="F336" s="102"/>
      <c r="G336" s="1187"/>
      <c r="H336" s="1188"/>
      <c r="I336" s="1189">
        <f>SUM(I337:J338)</f>
        <v>0</v>
      </c>
      <c r="J336" s="1190"/>
    </row>
    <row r="337" spans="1:10" s="46" customFormat="1" ht="15" hidden="1" customHeight="1" x14ac:dyDescent="0.3">
      <c r="A337" s="624" t="s">
        <v>27</v>
      </c>
      <c r="B337" s="1191"/>
      <c r="C337" s="1191"/>
      <c r="D337" s="1191"/>
      <c r="E337" s="356" t="s">
        <v>308</v>
      </c>
      <c r="F337" s="628"/>
      <c r="G337" s="1107" t="s">
        <v>260</v>
      </c>
      <c r="H337" s="1107"/>
      <c r="I337" s="1102"/>
      <c r="J337" s="1103"/>
    </row>
    <row r="338" spans="1:10" s="46" customFormat="1" ht="15" hidden="1" customHeight="1" x14ac:dyDescent="0.3">
      <c r="A338" s="104" t="s">
        <v>27</v>
      </c>
      <c r="B338" s="1104"/>
      <c r="C338" s="1105"/>
      <c r="D338" s="1106"/>
      <c r="E338" s="356"/>
      <c r="F338" s="147"/>
      <c r="G338" s="1107"/>
      <c r="H338" s="1107"/>
      <c r="I338" s="1108"/>
      <c r="J338" s="1109"/>
    </row>
    <row r="339" spans="1:10" s="46" customFormat="1" ht="15" hidden="1" customHeight="1" x14ac:dyDescent="0.3">
      <c r="A339" s="624"/>
      <c r="B339" s="1098" t="s">
        <v>13</v>
      </c>
      <c r="C339" s="1098"/>
      <c r="D339" s="1098"/>
      <c r="E339" s="1123" t="s">
        <v>74</v>
      </c>
      <c r="F339" s="1124"/>
      <c r="G339" s="1090" t="s">
        <v>14</v>
      </c>
      <c r="H339" s="1090"/>
      <c r="I339" s="1101">
        <f>I336</f>
        <v>0</v>
      </c>
      <c r="J339" s="1090"/>
    </row>
    <row r="340" spans="1:10" s="46" customFormat="1" ht="15" hidden="1" customHeight="1" x14ac:dyDescent="0.3">
      <c r="A340" s="1196" t="s">
        <v>551</v>
      </c>
      <c r="B340" s="1196"/>
      <c r="C340" s="1196"/>
      <c r="D340" s="1196"/>
      <c r="E340" s="1196"/>
      <c r="F340" s="1196"/>
      <c r="G340" s="1196"/>
      <c r="H340" s="1196"/>
      <c r="I340" s="1196"/>
      <c r="J340" s="1196"/>
    </row>
    <row r="341" spans="1:10" s="46" customFormat="1" ht="15" hidden="1" customHeight="1" x14ac:dyDescent="0.3">
      <c r="A341" s="623" t="s">
        <v>1</v>
      </c>
      <c r="B341" s="1110" t="s">
        <v>15</v>
      </c>
      <c r="C341" s="1110"/>
      <c r="D341" s="1110"/>
      <c r="E341" s="1110" t="s">
        <v>58</v>
      </c>
      <c r="F341" s="1110"/>
      <c r="G341" s="1110" t="s">
        <v>66</v>
      </c>
      <c r="H341" s="1110"/>
      <c r="I341" s="1110" t="s">
        <v>264</v>
      </c>
      <c r="J341" s="1110"/>
    </row>
    <row r="342" spans="1:10" s="46" customFormat="1" ht="15" hidden="1" customHeight="1" x14ac:dyDescent="0.3">
      <c r="A342" s="623">
        <v>1</v>
      </c>
      <c r="B342" s="1110">
        <v>2</v>
      </c>
      <c r="C342" s="1110"/>
      <c r="D342" s="1110"/>
      <c r="E342" s="1110">
        <v>3</v>
      </c>
      <c r="F342" s="1110"/>
      <c r="G342" s="1110">
        <v>4</v>
      </c>
      <c r="H342" s="1110"/>
      <c r="I342" s="1110">
        <v>5</v>
      </c>
      <c r="J342" s="1110"/>
    </row>
    <row r="343" spans="1:10" s="46" customFormat="1" ht="36" hidden="1" customHeight="1" x14ac:dyDescent="0.3">
      <c r="A343" s="618" t="s">
        <v>70</v>
      </c>
      <c r="B343" s="1125" t="s">
        <v>172</v>
      </c>
      <c r="C343" s="1126"/>
      <c r="D343" s="1127"/>
      <c r="E343" s="102"/>
      <c r="F343" s="102"/>
      <c r="G343" s="1187"/>
      <c r="H343" s="1188"/>
      <c r="I343" s="1189">
        <f>SUM(I344:J345)</f>
        <v>0</v>
      </c>
      <c r="J343" s="1190"/>
    </row>
    <row r="344" spans="1:10" s="46" customFormat="1" ht="15" hidden="1" customHeight="1" x14ac:dyDescent="0.3">
      <c r="A344" s="624" t="s">
        <v>27</v>
      </c>
      <c r="B344" s="1191" t="s">
        <v>550</v>
      </c>
      <c r="C344" s="1191"/>
      <c r="D344" s="1191"/>
      <c r="E344" s="356" t="s">
        <v>308</v>
      </c>
      <c r="F344" s="628"/>
      <c r="G344" s="1107" t="s">
        <v>260</v>
      </c>
      <c r="H344" s="1107"/>
      <c r="I344" s="1102"/>
      <c r="J344" s="1103"/>
    </row>
    <row r="345" spans="1:10" s="46" customFormat="1" ht="15" hidden="1" customHeight="1" x14ac:dyDescent="0.3">
      <c r="A345" s="104" t="s">
        <v>27</v>
      </c>
      <c r="B345" s="1104"/>
      <c r="C345" s="1105"/>
      <c r="D345" s="1106"/>
      <c r="E345" s="356"/>
      <c r="F345" s="147"/>
      <c r="G345" s="1107"/>
      <c r="H345" s="1107"/>
      <c r="I345" s="1108"/>
      <c r="J345" s="1109"/>
    </row>
    <row r="346" spans="1:10" s="45" customFormat="1" ht="15.6" x14ac:dyDescent="0.3">
      <c r="A346" s="1383" t="s">
        <v>552</v>
      </c>
      <c r="B346" s="1383"/>
      <c r="C346" s="1383"/>
      <c r="D346" s="1383"/>
      <c r="E346" s="1383"/>
      <c r="F346" s="1383"/>
      <c r="G346" s="1383"/>
      <c r="H346" s="1383"/>
      <c r="I346" s="1383"/>
      <c r="J346" s="1383"/>
    </row>
    <row r="347" spans="1:10" s="45" customFormat="1" ht="13.8" x14ac:dyDescent="0.3">
      <c r="A347" s="623" t="s">
        <v>1</v>
      </c>
      <c r="B347" s="1110" t="s">
        <v>15</v>
      </c>
      <c r="C347" s="1110"/>
      <c r="D347" s="1110"/>
      <c r="E347" s="1110" t="s">
        <v>58</v>
      </c>
      <c r="F347" s="1110"/>
      <c r="G347" s="1110" t="s">
        <v>66</v>
      </c>
      <c r="H347" s="1110"/>
      <c r="I347" s="1110" t="s">
        <v>264</v>
      </c>
      <c r="J347" s="1110"/>
    </row>
    <row r="348" spans="1:10" s="45" customFormat="1" ht="13.8" x14ac:dyDescent="0.3">
      <c r="A348" s="623">
        <v>1</v>
      </c>
      <c r="B348" s="1110">
        <v>2</v>
      </c>
      <c r="C348" s="1110"/>
      <c r="D348" s="1110"/>
      <c r="E348" s="1110">
        <v>3</v>
      </c>
      <c r="F348" s="1110"/>
      <c r="G348" s="1110">
        <v>4</v>
      </c>
      <c r="H348" s="1110"/>
      <c r="I348" s="1110">
        <v>5</v>
      </c>
      <c r="J348" s="1110"/>
    </row>
    <row r="349" spans="1:10" s="45" customFormat="1" ht="32.25" customHeight="1" x14ac:dyDescent="0.3">
      <c r="A349" s="618">
        <v>1</v>
      </c>
      <c r="B349" s="1125" t="s">
        <v>172</v>
      </c>
      <c r="C349" s="1126"/>
      <c r="D349" s="1127"/>
      <c r="E349" s="102"/>
      <c r="F349" s="102"/>
      <c r="G349" s="1187"/>
      <c r="H349" s="1188"/>
      <c r="I349" s="1211">
        <f>I350+I351</f>
        <v>48800</v>
      </c>
      <c r="J349" s="1190"/>
    </row>
    <row r="350" spans="1:10" s="45" customFormat="1" ht="47.25" customHeight="1" x14ac:dyDescent="0.3">
      <c r="A350" s="624">
        <v>1</v>
      </c>
      <c r="B350" s="835" t="s">
        <v>904</v>
      </c>
      <c r="C350" s="835"/>
      <c r="D350" s="835"/>
      <c r="E350" s="648"/>
      <c r="F350" s="577"/>
      <c r="G350" s="978"/>
      <c r="H350" s="978"/>
      <c r="I350" s="991">
        <f>27000+20000-12000-3000-214+14</f>
        <v>31800</v>
      </c>
      <c r="J350" s="992"/>
    </row>
    <row r="351" spans="1:10" s="45" customFormat="1" ht="30" customHeight="1" x14ac:dyDescent="0.3">
      <c r="A351" s="624">
        <v>2</v>
      </c>
      <c r="B351" s="835" t="s">
        <v>967</v>
      </c>
      <c r="C351" s="835"/>
      <c r="D351" s="835"/>
      <c r="E351" s="648"/>
      <c r="F351" s="577"/>
      <c r="G351" s="978"/>
      <c r="H351" s="978"/>
      <c r="I351" s="991">
        <v>17000</v>
      </c>
      <c r="J351" s="992"/>
    </row>
    <row r="352" spans="1:10" s="45" customFormat="1" ht="28.5" hidden="1" customHeight="1" x14ac:dyDescent="0.3">
      <c r="A352" s="1196" t="s">
        <v>551</v>
      </c>
      <c r="B352" s="1196"/>
      <c r="C352" s="1196"/>
      <c r="D352" s="1196"/>
      <c r="E352" s="1196"/>
      <c r="F352" s="1196"/>
      <c r="G352" s="1196"/>
      <c r="H352" s="1196"/>
      <c r="I352" s="1196"/>
      <c r="J352" s="1196"/>
    </row>
    <row r="353" spans="1:10" s="45" customFormat="1" ht="42.75" hidden="1" customHeight="1" x14ac:dyDescent="0.3">
      <c r="A353" s="623" t="s">
        <v>1</v>
      </c>
      <c r="B353" s="1110" t="s">
        <v>15</v>
      </c>
      <c r="C353" s="1110"/>
      <c r="D353" s="1110"/>
      <c r="E353" s="1110" t="s">
        <v>58</v>
      </c>
      <c r="F353" s="1110"/>
      <c r="G353" s="1110" t="s">
        <v>66</v>
      </c>
      <c r="H353" s="1110"/>
      <c r="I353" s="1110" t="s">
        <v>264</v>
      </c>
      <c r="J353" s="1110"/>
    </row>
    <row r="354" spans="1:10" s="45" customFormat="1" ht="23.25" hidden="1" customHeight="1" x14ac:dyDescent="0.3">
      <c r="A354" s="623">
        <v>1</v>
      </c>
      <c r="B354" s="1110">
        <v>2</v>
      </c>
      <c r="C354" s="1110"/>
      <c r="D354" s="1110"/>
      <c r="E354" s="1110">
        <v>3</v>
      </c>
      <c r="F354" s="1110"/>
      <c r="G354" s="1110">
        <v>4</v>
      </c>
      <c r="H354" s="1110"/>
      <c r="I354" s="1110">
        <v>5</v>
      </c>
      <c r="J354" s="1110"/>
    </row>
    <row r="355" spans="1:10" s="45" customFormat="1" ht="33" hidden="1" customHeight="1" x14ac:dyDescent="0.3">
      <c r="A355" s="618" t="s">
        <v>70</v>
      </c>
      <c r="B355" s="1125" t="s">
        <v>172</v>
      </c>
      <c r="C355" s="1126"/>
      <c r="D355" s="1127"/>
      <c r="E355" s="102"/>
      <c r="F355" s="102"/>
      <c r="G355" s="1187"/>
      <c r="H355" s="1188"/>
      <c r="I355" s="1189">
        <f>SUM(I356:J357)</f>
        <v>0</v>
      </c>
      <c r="J355" s="1190"/>
    </row>
    <row r="356" spans="1:10" s="45" customFormat="1" ht="48" hidden="1" customHeight="1" x14ac:dyDescent="0.3">
      <c r="A356" s="624" t="s">
        <v>27</v>
      </c>
      <c r="B356" s="1191" t="s">
        <v>639</v>
      </c>
      <c r="C356" s="1191"/>
      <c r="D356" s="1191"/>
      <c r="E356" s="356" t="s">
        <v>308</v>
      </c>
      <c r="F356" s="628"/>
      <c r="G356" s="1107" t="s">
        <v>260</v>
      </c>
      <c r="H356" s="1107"/>
      <c r="I356" s="1102">
        <v>0</v>
      </c>
      <c r="J356" s="1103"/>
    </row>
    <row r="357" spans="1:10" ht="48.75" hidden="1" customHeight="1" x14ac:dyDescent="0.3">
      <c r="A357" s="104" t="s">
        <v>27</v>
      </c>
      <c r="B357" s="1104" t="s">
        <v>649</v>
      </c>
      <c r="C357" s="1105"/>
      <c r="D357" s="1106"/>
      <c r="E357" s="356"/>
      <c r="F357" s="147"/>
      <c r="G357" s="1107"/>
      <c r="H357" s="1107"/>
      <c r="I357" s="1108">
        <v>0</v>
      </c>
      <c r="J357" s="1109"/>
    </row>
    <row r="358" spans="1:10" ht="48.75" hidden="1" customHeight="1" x14ac:dyDescent="0.3">
      <c r="A358" s="1383" t="s">
        <v>552</v>
      </c>
      <c r="B358" s="1383"/>
      <c r="C358" s="1383"/>
      <c r="D358" s="1383"/>
      <c r="E358" s="1383"/>
      <c r="F358" s="1383"/>
      <c r="G358" s="1383"/>
      <c r="H358" s="1383"/>
      <c r="I358" s="1383"/>
      <c r="J358" s="1383"/>
    </row>
    <row r="359" spans="1:10" ht="26.25" hidden="1" customHeight="1" x14ac:dyDescent="0.3">
      <c r="A359" s="623" t="s">
        <v>1</v>
      </c>
      <c r="B359" s="1110" t="s">
        <v>15</v>
      </c>
      <c r="C359" s="1110"/>
      <c r="D359" s="1110"/>
      <c r="E359" s="1110" t="s">
        <v>58</v>
      </c>
      <c r="F359" s="1110"/>
      <c r="G359" s="1110" t="s">
        <v>66</v>
      </c>
      <c r="H359" s="1110"/>
      <c r="I359" s="1110" t="s">
        <v>264</v>
      </c>
      <c r="J359" s="1110"/>
    </row>
    <row r="360" spans="1:10" ht="23.25" hidden="1" customHeight="1" x14ac:dyDescent="0.3">
      <c r="A360" s="623">
        <v>1</v>
      </c>
      <c r="B360" s="1110">
        <v>2</v>
      </c>
      <c r="C360" s="1110"/>
      <c r="D360" s="1110"/>
      <c r="E360" s="1110">
        <v>3</v>
      </c>
      <c r="F360" s="1110"/>
      <c r="G360" s="1110">
        <v>4</v>
      </c>
      <c r="H360" s="1110"/>
      <c r="I360" s="1110">
        <v>5</v>
      </c>
      <c r="J360" s="1110"/>
    </row>
    <row r="361" spans="1:10" ht="48.75" hidden="1" customHeight="1" x14ac:dyDescent="0.3">
      <c r="A361" s="618">
        <v>1</v>
      </c>
      <c r="B361" s="1125" t="s">
        <v>650</v>
      </c>
      <c r="C361" s="1126"/>
      <c r="D361" s="1127"/>
      <c r="E361" s="102"/>
      <c r="F361" s="102"/>
      <c r="G361" s="1187"/>
      <c r="H361" s="1188"/>
      <c r="I361" s="1211">
        <f>I362+I363</f>
        <v>0</v>
      </c>
      <c r="J361" s="1190"/>
    </row>
    <row r="362" spans="1:10" ht="48.75" hidden="1" customHeight="1" x14ac:dyDescent="0.3">
      <c r="A362" s="624" t="s">
        <v>27</v>
      </c>
      <c r="B362" s="1042" t="s">
        <v>651</v>
      </c>
      <c r="C362" s="1042"/>
      <c r="D362" s="1042"/>
      <c r="E362" s="648"/>
      <c r="F362" s="577"/>
      <c r="G362" s="978"/>
      <c r="H362" s="978"/>
      <c r="I362" s="991">
        <v>0</v>
      </c>
      <c r="J362" s="992"/>
    </row>
    <row r="363" spans="1:10" ht="48.75" hidden="1" customHeight="1" x14ac:dyDescent="0.3">
      <c r="A363" s="624" t="s">
        <v>29</v>
      </c>
      <c r="B363" s="1042" t="s">
        <v>654</v>
      </c>
      <c r="C363" s="1042"/>
      <c r="D363" s="1042"/>
      <c r="E363" s="648"/>
      <c r="F363" s="577"/>
      <c r="G363" s="978"/>
      <c r="H363" s="978"/>
      <c r="I363" s="1047">
        <v>0</v>
      </c>
      <c r="J363" s="1047"/>
    </row>
    <row r="364" spans="1:10" ht="48.75" hidden="1" customHeight="1" x14ac:dyDescent="0.3">
      <c r="A364" s="104" t="s">
        <v>31</v>
      </c>
      <c r="B364" s="1213" t="s">
        <v>655</v>
      </c>
      <c r="C364" s="1213"/>
      <c r="D364" s="1213"/>
      <c r="E364" s="356"/>
      <c r="F364" s="147"/>
      <c r="G364" s="1107"/>
      <c r="H364" s="1107"/>
      <c r="I364" s="1412">
        <v>0</v>
      </c>
      <c r="J364" s="1412"/>
    </row>
    <row r="365" spans="1:10" ht="48.75" hidden="1" customHeight="1" x14ac:dyDescent="0.3">
      <c r="A365" s="256"/>
      <c r="B365" s="629"/>
      <c r="C365" s="629"/>
      <c r="D365" s="629"/>
      <c r="E365" s="281"/>
      <c r="F365" s="294"/>
      <c r="G365" s="649"/>
      <c r="H365" s="649"/>
      <c r="I365" s="631"/>
      <c r="J365" s="631"/>
    </row>
    <row r="366" spans="1:10" ht="15.6" hidden="1" x14ac:dyDescent="0.3">
      <c r="A366" s="1383" t="s">
        <v>557</v>
      </c>
      <c r="B366" s="1383"/>
      <c r="C366" s="1383"/>
      <c r="D366" s="1383"/>
      <c r="E366" s="1383"/>
      <c r="F366" s="1383"/>
      <c r="G366" s="1383"/>
      <c r="H366" s="1383"/>
      <c r="I366" s="1383"/>
      <c r="J366" s="1383"/>
    </row>
    <row r="367" spans="1:10" hidden="1" x14ac:dyDescent="0.3">
      <c r="A367" s="623" t="s">
        <v>1</v>
      </c>
      <c r="B367" s="1110" t="s">
        <v>15</v>
      </c>
      <c r="C367" s="1110"/>
      <c r="D367" s="1110"/>
      <c r="E367" s="1110" t="s">
        <v>58</v>
      </c>
      <c r="F367" s="1110"/>
      <c r="G367" s="1110" t="s">
        <v>66</v>
      </c>
      <c r="H367" s="1110"/>
      <c r="I367" s="1110" t="s">
        <v>264</v>
      </c>
      <c r="J367" s="1110"/>
    </row>
    <row r="368" spans="1:10" hidden="1" x14ac:dyDescent="0.3">
      <c r="A368" s="623">
        <v>1</v>
      </c>
      <c r="B368" s="1110">
        <v>2</v>
      </c>
      <c r="C368" s="1110"/>
      <c r="D368" s="1110"/>
      <c r="E368" s="1110">
        <v>3</v>
      </c>
      <c r="F368" s="1110"/>
      <c r="G368" s="1110">
        <v>4</v>
      </c>
      <c r="H368" s="1110"/>
      <c r="I368" s="1110">
        <v>5</v>
      </c>
      <c r="J368" s="1110"/>
    </row>
    <row r="369" spans="1:10" ht="46.5" hidden="1" customHeight="1" x14ac:dyDescent="0.3">
      <c r="A369" s="240" t="s">
        <v>70</v>
      </c>
      <c r="B369" s="1125" t="s">
        <v>187</v>
      </c>
      <c r="C369" s="1126"/>
      <c r="D369" s="1127"/>
      <c r="E369" s="102"/>
      <c r="F369" s="99"/>
      <c r="G369" s="1382"/>
      <c r="H369" s="1382"/>
      <c r="I369" s="1189">
        <f>I370</f>
        <v>0</v>
      </c>
      <c r="J369" s="1190"/>
    </row>
    <row r="370" spans="1:10" hidden="1" x14ac:dyDescent="0.3">
      <c r="A370" s="104" t="s">
        <v>27</v>
      </c>
      <c r="B370" s="1042" t="s">
        <v>638</v>
      </c>
      <c r="C370" s="1042"/>
      <c r="D370" s="1042"/>
      <c r="E370" s="648"/>
      <c r="F370" s="577"/>
      <c r="G370" s="978"/>
      <c r="H370" s="978"/>
      <c r="I370" s="991">
        <v>0</v>
      </c>
      <c r="J370" s="992"/>
    </row>
    <row r="371" spans="1:10" hidden="1" x14ac:dyDescent="0.3">
      <c r="A371" s="104"/>
      <c r="B371" s="820"/>
      <c r="C371" s="821"/>
      <c r="D371" s="822"/>
      <c r="E371" s="648"/>
      <c r="F371" s="577"/>
      <c r="G371" s="823"/>
      <c r="H371" s="824"/>
      <c r="I371" s="633"/>
      <c r="J371" s="634"/>
    </row>
    <row r="372" spans="1:10" ht="25.5" customHeight="1" x14ac:dyDescent="0.3">
      <c r="A372" s="104"/>
      <c r="B372" s="1098" t="s">
        <v>13</v>
      </c>
      <c r="C372" s="1098"/>
      <c r="D372" s="1098"/>
      <c r="E372" s="356"/>
      <c r="F372" s="628"/>
      <c r="G372" s="1107"/>
      <c r="H372" s="1107"/>
      <c r="I372" s="1182">
        <f>I315+I322+I329+I336+I343+I349+I355+I369+I361</f>
        <v>48800</v>
      </c>
      <c r="J372" s="1183"/>
    </row>
    <row r="373" spans="1:10" ht="15.6" hidden="1" x14ac:dyDescent="0.3">
      <c r="A373" s="1173" t="s">
        <v>385</v>
      </c>
      <c r="B373" s="1173"/>
      <c r="C373" s="1173"/>
      <c r="D373" s="1173"/>
      <c r="E373" s="1173"/>
      <c r="F373" s="1173"/>
      <c r="G373" s="1173"/>
      <c r="H373" s="1173"/>
      <c r="I373" s="1173"/>
      <c r="J373" s="1173"/>
    </row>
    <row r="374" spans="1:10" hidden="1" x14ac:dyDescent="0.3">
      <c r="A374" s="1174" t="s">
        <v>1</v>
      </c>
      <c r="B374" s="1176" t="s">
        <v>15</v>
      </c>
      <c r="C374" s="1177"/>
      <c r="D374" s="1178"/>
      <c r="E374" s="1176" t="s">
        <v>64</v>
      </c>
      <c r="F374" s="1178"/>
      <c r="G374" s="1110" t="s">
        <v>65</v>
      </c>
      <c r="H374" s="1110"/>
      <c r="I374" s="1110"/>
      <c r="J374" s="1110"/>
    </row>
    <row r="375" spans="1:10" ht="26.4" hidden="1" x14ac:dyDescent="0.3">
      <c r="A375" s="1175"/>
      <c r="B375" s="1179"/>
      <c r="C375" s="1180"/>
      <c r="D375" s="1181"/>
      <c r="E375" s="1179"/>
      <c r="F375" s="1181"/>
      <c r="G375" s="623" t="s">
        <v>305</v>
      </c>
      <c r="H375" s="623" t="s">
        <v>302</v>
      </c>
      <c r="I375" s="623" t="s">
        <v>303</v>
      </c>
      <c r="J375" s="623" t="s">
        <v>304</v>
      </c>
    </row>
    <row r="376" spans="1:10" hidden="1" x14ac:dyDescent="0.3">
      <c r="A376" s="623">
        <v>1</v>
      </c>
      <c r="B376" s="1110">
        <v>2</v>
      </c>
      <c r="C376" s="1110"/>
      <c r="D376" s="1110"/>
      <c r="E376" s="1139">
        <v>3</v>
      </c>
      <c r="F376" s="1140"/>
      <c r="G376" s="1110">
        <v>4</v>
      </c>
      <c r="H376" s="1110"/>
      <c r="I376" s="1110"/>
      <c r="J376" s="1110"/>
    </row>
    <row r="377" spans="1:10" hidden="1" x14ac:dyDescent="0.3">
      <c r="A377" s="624" t="s">
        <v>70</v>
      </c>
      <c r="B377" s="1143" t="s">
        <v>346</v>
      </c>
      <c r="C377" s="1143"/>
      <c r="D377" s="1143"/>
      <c r="E377" s="1116">
        <v>1</v>
      </c>
      <c r="F377" s="1117"/>
      <c r="G377" s="624" t="s">
        <v>306</v>
      </c>
      <c r="H377" s="624">
        <v>1</v>
      </c>
      <c r="I377" s="101"/>
      <c r="J377" s="110">
        <v>0</v>
      </c>
    </row>
    <row r="378" spans="1:10" hidden="1" x14ac:dyDescent="0.3">
      <c r="A378" s="624" t="s">
        <v>75</v>
      </c>
      <c r="B378" s="1143" t="s">
        <v>347</v>
      </c>
      <c r="C378" s="1143"/>
      <c r="D378" s="1143"/>
      <c r="E378" s="1116">
        <v>1</v>
      </c>
      <c r="F378" s="1117"/>
      <c r="G378" s="624" t="s">
        <v>306</v>
      </c>
      <c r="H378" s="624">
        <v>1</v>
      </c>
      <c r="I378" s="101"/>
      <c r="J378" s="110">
        <f t="shared" ref="J378:J379" si="17">H378*I378</f>
        <v>0</v>
      </c>
    </row>
    <row r="379" spans="1:10" hidden="1" x14ac:dyDescent="0.3">
      <c r="A379" s="624" t="s">
        <v>77</v>
      </c>
      <c r="B379" s="1143" t="s">
        <v>342</v>
      </c>
      <c r="C379" s="1143"/>
      <c r="D379" s="1143"/>
      <c r="E379" s="1116">
        <v>1</v>
      </c>
      <c r="F379" s="1117"/>
      <c r="G379" s="624" t="s">
        <v>306</v>
      </c>
      <c r="H379" s="628">
        <v>1</v>
      </c>
      <c r="I379" s="101"/>
      <c r="J379" s="110">
        <f t="shared" si="17"/>
        <v>0</v>
      </c>
    </row>
    <row r="380" spans="1:10" ht="15.6" hidden="1" x14ac:dyDescent="0.3">
      <c r="A380" s="448"/>
      <c r="B380" s="1164" t="s">
        <v>13</v>
      </c>
      <c r="C380" s="1164"/>
      <c r="D380" s="1164"/>
      <c r="E380" s="1165" t="s">
        <v>14</v>
      </c>
      <c r="F380" s="1166"/>
      <c r="G380" s="1167">
        <f>SUM(J377:J379)</f>
        <v>0</v>
      </c>
      <c r="H380" s="1168"/>
      <c r="I380" s="1168"/>
      <c r="J380" s="1168"/>
    </row>
    <row r="381" spans="1:10" hidden="1" x14ac:dyDescent="0.3">
      <c r="A381" s="90"/>
      <c r="B381" s="90"/>
      <c r="C381" s="90"/>
      <c r="D381" s="90"/>
      <c r="E381" s="90"/>
      <c r="F381" s="90"/>
      <c r="G381" s="90"/>
      <c r="H381" s="90"/>
      <c r="I381" s="90"/>
      <c r="J381" s="90"/>
    </row>
    <row r="382" spans="1:10" ht="32.25" customHeight="1" x14ac:dyDescent="0.3">
      <c r="A382" s="90"/>
      <c r="B382" s="90"/>
      <c r="C382" s="90"/>
      <c r="D382" s="90"/>
      <c r="E382" s="90"/>
      <c r="F382" s="90"/>
      <c r="G382" s="90"/>
      <c r="H382" s="105" t="s">
        <v>212</v>
      </c>
      <c r="I382" s="1172">
        <f>J87+J94+I105+I145+I166+I182+I196+I227+G254+G289+I294+I310+I372+G380</f>
        <v>306999.99599999998</v>
      </c>
      <c r="J382" s="1172"/>
    </row>
    <row r="383" spans="1:10" x14ac:dyDescent="0.3">
      <c r="A383" s="90"/>
      <c r="B383" s="90"/>
      <c r="C383" s="90"/>
      <c r="D383" s="90"/>
      <c r="E383" s="90"/>
      <c r="F383" s="90"/>
      <c r="G383" s="90"/>
      <c r="H383" s="106" t="s">
        <v>248</v>
      </c>
      <c r="I383" s="90"/>
      <c r="J383" s="90"/>
    </row>
    <row r="384" spans="1:10" x14ac:dyDescent="0.3">
      <c r="A384" s="90"/>
      <c r="B384" s="90"/>
      <c r="C384" s="90"/>
      <c r="D384" s="90"/>
      <c r="E384" s="90"/>
      <c r="F384" s="90"/>
      <c r="G384" s="90"/>
      <c r="H384" s="106" t="s">
        <v>266</v>
      </c>
      <c r="I384" s="1163">
        <f>I382</f>
        <v>306999.99599999998</v>
      </c>
      <c r="J384" s="1163"/>
    </row>
    <row r="385" spans="1:12" x14ac:dyDescent="0.3">
      <c r="A385" s="90"/>
      <c r="B385" s="90"/>
      <c r="C385" s="90"/>
      <c r="D385" s="90"/>
      <c r="E385" s="90"/>
      <c r="F385" s="90"/>
      <c r="G385" s="90"/>
      <c r="H385" s="106" t="s">
        <v>592</v>
      </c>
      <c r="I385" s="1163">
        <v>0</v>
      </c>
      <c r="J385" s="1163"/>
    </row>
    <row r="386" spans="1:12" x14ac:dyDescent="0.3">
      <c r="A386" s="90" t="s">
        <v>1001</v>
      </c>
      <c r="B386" s="90"/>
      <c r="C386" s="90"/>
      <c r="D386" s="90"/>
      <c r="E386" s="90"/>
      <c r="F386" s="90"/>
      <c r="G386" s="90"/>
      <c r="H386" s="106" t="s">
        <v>338</v>
      </c>
      <c r="I386" s="1163">
        <v>0</v>
      </c>
      <c r="J386" s="1163"/>
    </row>
    <row r="387" spans="1:12" hidden="1" x14ac:dyDescent="0.3">
      <c r="A387" s="90"/>
      <c r="B387" s="90"/>
      <c r="C387" s="90"/>
      <c r="D387" s="90"/>
      <c r="E387" s="90"/>
      <c r="F387" s="90"/>
      <c r="G387" s="90"/>
      <c r="H387" s="106"/>
      <c r="I387" s="1163"/>
      <c r="J387" s="1163"/>
    </row>
    <row r="388" spans="1:12" hidden="1" x14ac:dyDescent="0.3">
      <c r="A388" s="90"/>
      <c r="B388" s="90"/>
      <c r="C388" s="90"/>
      <c r="D388" s="90"/>
      <c r="E388" s="90"/>
      <c r="F388" s="90"/>
      <c r="G388" s="90"/>
      <c r="H388" s="106"/>
      <c r="I388" s="1163"/>
      <c r="J388" s="1163"/>
    </row>
    <row r="389" spans="1:12" hidden="1" x14ac:dyDescent="0.3">
      <c r="A389" s="90"/>
      <c r="B389" s="90"/>
      <c r="C389" s="90"/>
      <c r="D389" s="90"/>
      <c r="E389" s="90"/>
      <c r="F389" s="90"/>
      <c r="G389" s="90"/>
      <c r="H389" s="106"/>
      <c r="I389" s="1163"/>
      <c r="J389" s="1163"/>
    </row>
    <row r="390" spans="1:12" hidden="1" x14ac:dyDescent="0.3">
      <c r="A390" s="90"/>
      <c r="B390" s="90"/>
      <c r="C390" s="90"/>
      <c r="D390" s="90"/>
      <c r="E390" s="90"/>
      <c r="F390" s="90"/>
      <c r="G390" s="90"/>
      <c r="H390" s="106"/>
      <c r="I390" s="1163"/>
      <c r="J390" s="1163"/>
    </row>
    <row r="391" spans="1:12" hidden="1" x14ac:dyDescent="0.3">
      <c r="A391" s="90"/>
      <c r="B391" s="90"/>
      <c r="C391" s="90"/>
      <c r="D391" s="90"/>
      <c r="E391" s="90"/>
      <c r="F391" s="90"/>
      <c r="G391" s="90"/>
      <c r="H391" s="106"/>
      <c r="I391" s="1163"/>
      <c r="J391" s="1163"/>
    </row>
    <row r="392" spans="1:12" hidden="1" x14ac:dyDescent="0.3">
      <c r="A392" s="90"/>
      <c r="B392" s="90"/>
      <c r="C392" s="90"/>
      <c r="D392" s="90"/>
      <c r="E392" s="90"/>
      <c r="F392" s="90"/>
      <c r="G392" s="90"/>
      <c r="H392" s="106"/>
      <c r="I392" s="635"/>
      <c r="J392" s="635"/>
    </row>
    <row r="393" spans="1:12" hidden="1" x14ac:dyDescent="0.3">
      <c r="A393" s="90"/>
      <c r="B393" s="90"/>
      <c r="C393" s="90"/>
      <c r="D393" s="90"/>
      <c r="E393" s="90"/>
      <c r="F393" s="90"/>
      <c r="G393" s="90"/>
      <c r="H393" s="106"/>
      <c r="I393" s="90"/>
      <c r="J393" s="90"/>
    </row>
    <row r="394" spans="1:12" hidden="1" x14ac:dyDescent="0.3">
      <c r="A394" s="1379"/>
      <c r="B394" s="1379"/>
      <c r="C394" s="1379"/>
      <c r="D394" s="244"/>
      <c r="E394" s="244"/>
      <c r="F394" s="245"/>
      <c r="G394" s="246"/>
      <c r="H394" s="246"/>
      <c r="I394" s="246"/>
      <c r="J394" s="174"/>
    </row>
    <row r="395" spans="1:12" x14ac:dyDescent="0.3">
      <c r="A395" s="247"/>
      <c r="B395" s="247"/>
      <c r="C395" s="247"/>
      <c r="D395" s="1380"/>
      <c r="E395" s="1380"/>
      <c r="F395" s="1381"/>
      <c r="G395" s="1381"/>
      <c r="H395" s="1381"/>
      <c r="I395" s="1381"/>
      <c r="J395" s="45"/>
    </row>
    <row r="396" spans="1:12" s="173" customFormat="1" ht="15.6" x14ac:dyDescent="0.3">
      <c r="A396" s="1024" t="s">
        <v>211</v>
      </c>
      <c r="B396" s="1024"/>
      <c r="C396" s="1024"/>
      <c r="D396" s="432"/>
      <c r="E396" s="432"/>
      <c r="F396" s="433" t="s">
        <v>471</v>
      </c>
      <c r="G396" s="433"/>
      <c r="H396" s="433"/>
      <c r="I396" s="433"/>
      <c r="J396" s="434"/>
      <c r="K396" s="334"/>
      <c r="L396" s="323">
        <f>I384+I390</f>
        <v>306999.99599999998</v>
      </c>
    </row>
    <row r="397" spans="1:12" x14ac:dyDescent="0.3">
      <c r="A397" s="637"/>
      <c r="B397" s="637"/>
      <c r="C397" s="637"/>
      <c r="D397" s="1025" t="s">
        <v>279</v>
      </c>
      <c r="E397" s="1025"/>
      <c r="F397" s="1026" t="s">
        <v>280</v>
      </c>
      <c r="G397" s="1026"/>
      <c r="H397" s="1026"/>
      <c r="I397" s="1026"/>
      <c r="J397" s="45"/>
    </row>
    <row r="398" spans="1:12" x14ac:dyDescent="0.3">
      <c r="A398" s="1169" t="s">
        <v>470</v>
      </c>
      <c r="B398" s="1169"/>
      <c r="C398" s="1169"/>
      <c r="D398" s="150"/>
      <c r="E398" s="150"/>
      <c r="F398" s="151" t="s">
        <v>472</v>
      </c>
      <c r="G398" s="151"/>
      <c r="H398" s="151"/>
      <c r="I398" s="151"/>
      <c r="J398" s="46"/>
    </row>
    <row r="399" spans="1:12" x14ac:dyDescent="0.3">
      <c r="A399" s="548"/>
      <c r="B399" s="548"/>
      <c r="C399" s="548"/>
      <c r="D399" s="1025" t="s">
        <v>279</v>
      </c>
      <c r="E399" s="1025"/>
      <c r="F399" s="1026" t="s">
        <v>280</v>
      </c>
      <c r="G399" s="1026"/>
      <c r="H399" s="1026"/>
      <c r="I399" s="1026"/>
      <c r="J399" s="45"/>
    </row>
    <row r="400" spans="1:12" x14ac:dyDescent="0.3">
      <c r="A400" s="548"/>
      <c r="B400" s="548"/>
      <c r="C400" s="548"/>
      <c r="D400" s="548"/>
      <c r="E400" s="548"/>
      <c r="F400" s="548"/>
      <c r="G400" s="45"/>
      <c r="H400" s="45"/>
      <c r="I400" s="45"/>
      <c r="J400" s="45"/>
    </row>
    <row r="401" spans="1:10" x14ac:dyDescent="0.3">
      <c r="A401" s="1152" t="s">
        <v>473</v>
      </c>
      <c r="B401" s="1152"/>
      <c r="C401" s="548"/>
      <c r="D401" s="548"/>
      <c r="E401" s="548"/>
      <c r="F401" s="548"/>
      <c r="G401" s="45"/>
      <c r="H401" s="45"/>
      <c r="I401" s="45"/>
      <c r="J401" s="45"/>
    </row>
    <row r="402" spans="1:10" x14ac:dyDescent="0.3">
      <c r="A402" s="548"/>
      <c r="B402" s="548"/>
      <c r="C402" s="548"/>
      <c r="D402" s="548"/>
      <c r="E402" s="548"/>
      <c r="F402" s="548"/>
      <c r="G402" s="45"/>
      <c r="H402" s="45"/>
      <c r="I402" s="45"/>
      <c r="J402" s="45"/>
    </row>
    <row r="403" spans="1:10" x14ac:dyDescent="0.3">
      <c r="A403" s="758"/>
      <c r="B403" s="758"/>
      <c r="C403" s="548"/>
      <c r="D403" s="548"/>
      <c r="E403" s="548"/>
      <c r="F403" s="548"/>
      <c r="G403" s="45"/>
      <c r="H403" s="45"/>
      <c r="I403" s="45"/>
      <c r="J403" s="45"/>
    </row>
  </sheetData>
  <mergeCells count="820">
    <mergeCell ref="I386:J386"/>
    <mergeCell ref="I387:J387"/>
    <mergeCell ref="I382:J382"/>
    <mergeCell ref="A403:B403"/>
    <mergeCell ref="D395:E395"/>
    <mergeCell ref="F395:I395"/>
    <mergeCell ref="A396:C396"/>
    <mergeCell ref="D397:E397"/>
    <mergeCell ref="F397:I397"/>
    <mergeCell ref="A398:C398"/>
    <mergeCell ref="D399:E399"/>
    <mergeCell ref="F399:I399"/>
    <mergeCell ref="A401:B401"/>
    <mergeCell ref="G368:H368"/>
    <mergeCell ref="I368:J368"/>
    <mergeCell ref="G369:H369"/>
    <mergeCell ref="I369:J369"/>
    <mergeCell ref="G370:H370"/>
    <mergeCell ref="I370:J370"/>
    <mergeCell ref="G371:H371"/>
    <mergeCell ref="B372:D372"/>
    <mergeCell ref="G372:H372"/>
    <mergeCell ref="I372:J372"/>
    <mergeCell ref="B368:D368"/>
    <mergeCell ref="E368:F368"/>
    <mergeCell ref="B369:D369"/>
    <mergeCell ref="B370:D370"/>
    <mergeCell ref="B371:D371"/>
    <mergeCell ref="A1:J1"/>
    <mergeCell ref="A2:J2"/>
    <mergeCell ref="A3:J3"/>
    <mergeCell ref="A5:J5"/>
    <mergeCell ref="A8:J8"/>
    <mergeCell ref="A9:A11"/>
    <mergeCell ref="B9:B11"/>
    <mergeCell ref="C9:C11"/>
    <mergeCell ref="D9:G9"/>
    <mergeCell ref="H9:H11"/>
    <mergeCell ref="A22:J22"/>
    <mergeCell ref="A23:J23"/>
    <mergeCell ref="A36:J36"/>
    <mergeCell ref="A51:J51"/>
    <mergeCell ref="A56:J56"/>
    <mergeCell ref="A66:B66"/>
    <mergeCell ref="I9:I11"/>
    <mergeCell ref="J9:J11"/>
    <mergeCell ref="D10:D11"/>
    <mergeCell ref="E10:G10"/>
    <mergeCell ref="A13:J13"/>
    <mergeCell ref="A14:J14"/>
    <mergeCell ref="J71:J73"/>
    <mergeCell ref="D72:D73"/>
    <mergeCell ref="E72:G72"/>
    <mergeCell ref="A75:J75"/>
    <mergeCell ref="A82:I82"/>
    <mergeCell ref="A83:I83"/>
    <mergeCell ref="A67:I67"/>
    <mergeCell ref="A68:I68"/>
    <mergeCell ref="A71:A73"/>
    <mergeCell ref="B71:B73"/>
    <mergeCell ref="C71:C73"/>
    <mergeCell ref="D71:G71"/>
    <mergeCell ref="H71:H73"/>
    <mergeCell ref="I71:I73"/>
    <mergeCell ref="B91:D91"/>
    <mergeCell ref="E91:F91"/>
    <mergeCell ref="G91:H91"/>
    <mergeCell ref="I91:J91"/>
    <mergeCell ref="B92:D92"/>
    <mergeCell ref="E92:F92"/>
    <mergeCell ref="G92:H92"/>
    <mergeCell ref="I92:J92"/>
    <mergeCell ref="A85:J85"/>
    <mergeCell ref="A86:B86"/>
    <mergeCell ref="A87:I87"/>
    <mergeCell ref="A89:J89"/>
    <mergeCell ref="B90:D90"/>
    <mergeCell ref="E90:F90"/>
    <mergeCell ref="G90:H90"/>
    <mergeCell ref="I90:J90"/>
    <mergeCell ref="A95:J95"/>
    <mergeCell ref="B96:D96"/>
    <mergeCell ref="E96:F96"/>
    <mergeCell ref="I96:J96"/>
    <mergeCell ref="B97:D97"/>
    <mergeCell ref="E97:F97"/>
    <mergeCell ref="I97:J97"/>
    <mergeCell ref="B93:D93"/>
    <mergeCell ref="E93:F93"/>
    <mergeCell ref="G93:H93"/>
    <mergeCell ref="I93:J93"/>
    <mergeCell ref="B94:D94"/>
    <mergeCell ref="E94:F94"/>
    <mergeCell ref="G94:H94"/>
    <mergeCell ref="B102:D102"/>
    <mergeCell ref="E102:F102"/>
    <mergeCell ref="I102:J102"/>
    <mergeCell ref="A103:J103"/>
    <mergeCell ref="B104:D104"/>
    <mergeCell ref="E104:F104"/>
    <mergeCell ref="I104:J104"/>
    <mergeCell ref="A98:J98"/>
    <mergeCell ref="B99:D99"/>
    <mergeCell ref="E99:F99"/>
    <mergeCell ref="I99:J99"/>
    <mergeCell ref="A100:J100"/>
    <mergeCell ref="B101:D101"/>
    <mergeCell ref="E101:F101"/>
    <mergeCell ref="I101:J101"/>
    <mergeCell ref="B108:D108"/>
    <mergeCell ref="E108:F108"/>
    <mergeCell ref="I108:J108"/>
    <mergeCell ref="B109:D109"/>
    <mergeCell ref="E109:F109"/>
    <mergeCell ref="I109:J109"/>
    <mergeCell ref="B105:D105"/>
    <mergeCell ref="E105:F105"/>
    <mergeCell ref="I105:J105"/>
    <mergeCell ref="A106:J106"/>
    <mergeCell ref="B107:D107"/>
    <mergeCell ref="E107:F107"/>
    <mergeCell ref="I107:J107"/>
    <mergeCell ref="B113:F113"/>
    <mergeCell ref="G113:H113"/>
    <mergeCell ref="I113:J113"/>
    <mergeCell ref="B114:F114"/>
    <mergeCell ref="G114:H114"/>
    <mergeCell ref="I114:J114"/>
    <mergeCell ref="B110:D110"/>
    <mergeCell ref="E110:F110"/>
    <mergeCell ref="I110:J110"/>
    <mergeCell ref="A111:J111"/>
    <mergeCell ref="B112:F112"/>
    <mergeCell ref="G112:H112"/>
    <mergeCell ref="I112:J112"/>
    <mergeCell ref="B117:F117"/>
    <mergeCell ref="G117:H117"/>
    <mergeCell ref="I117:J117"/>
    <mergeCell ref="B118:F118"/>
    <mergeCell ref="G118:H118"/>
    <mergeCell ref="I118:J118"/>
    <mergeCell ref="B115:F115"/>
    <mergeCell ref="G115:H115"/>
    <mergeCell ref="I115:J115"/>
    <mergeCell ref="B116:F116"/>
    <mergeCell ref="G116:H116"/>
    <mergeCell ref="I116:J116"/>
    <mergeCell ref="B121:F121"/>
    <mergeCell ref="G121:H121"/>
    <mergeCell ref="I121:J121"/>
    <mergeCell ref="B122:F122"/>
    <mergeCell ref="G122:H122"/>
    <mergeCell ref="I122:J122"/>
    <mergeCell ref="B119:F119"/>
    <mergeCell ref="G119:H119"/>
    <mergeCell ref="I119:J119"/>
    <mergeCell ref="B120:F120"/>
    <mergeCell ref="G120:H120"/>
    <mergeCell ref="I120:J120"/>
    <mergeCell ref="B125:F125"/>
    <mergeCell ref="G125:H125"/>
    <mergeCell ref="I125:J125"/>
    <mergeCell ref="B126:F126"/>
    <mergeCell ref="G126:H126"/>
    <mergeCell ref="I126:J126"/>
    <mergeCell ref="B123:F123"/>
    <mergeCell ref="G123:H123"/>
    <mergeCell ref="I123:J123"/>
    <mergeCell ref="B124:F124"/>
    <mergeCell ref="G124:H124"/>
    <mergeCell ref="I124:J124"/>
    <mergeCell ref="B129:F129"/>
    <mergeCell ref="G129:H129"/>
    <mergeCell ref="I129:J129"/>
    <mergeCell ref="B130:F130"/>
    <mergeCell ref="G130:H130"/>
    <mergeCell ref="I130:J130"/>
    <mergeCell ref="B127:F127"/>
    <mergeCell ref="G127:H127"/>
    <mergeCell ref="I127:J127"/>
    <mergeCell ref="B128:F128"/>
    <mergeCell ref="G128:H128"/>
    <mergeCell ref="I128:J128"/>
    <mergeCell ref="B133:F133"/>
    <mergeCell ref="G133:H133"/>
    <mergeCell ref="I133:J133"/>
    <mergeCell ref="B134:F134"/>
    <mergeCell ref="G134:H134"/>
    <mergeCell ref="I134:J134"/>
    <mergeCell ref="B131:F131"/>
    <mergeCell ref="G131:H131"/>
    <mergeCell ref="I131:J131"/>
    <mergeCell ref="B132:F132"/>
    <mergeCell ref="G132:H132"/>
    <mergeCell ref="I132:J132"/>
    <mergeCell ref="B137:F137"/>
    <mergeCell ref="G137:H137"/>
    <mergeCell ref="I137:J137"/>
    <mergeCell ref="B138:F138"/>
    <mergeCell ref="G138:H138"/>
    <mergeCell ref="I138:J138"/>
    <mergeCell ref="B135:F135"/>
    <mergeCell ref="G135:H135"/>
    <mergeCell ref="I135:J135"/>
    <mergeCell ref="B136:F136"/>
    <mergeCell ref="G136:H136"/>
    <mergeCell ref="I136:J136"/>
    <mergeCell ref="B141:F141"/>
    <mergeCell ref="G141:H141"/>
    <mergeCell ref="I141:J141"/>
    <mergeCell ref="B142:F142"/>
    <mergeCell ref="G142:H142"/>
    <mergeCell ref="I142:J142"/>
    <mergeCell ref="B139:F139"/>
    <mergeCell ref="G139:H139"/>
    <mergeCell ref="I139:J139"/>
    <mergeCell ref="B140:F140"/>
    <mergeCell ref="G140:H140"/>
    <mergeCell ref="I140:J140"/>
    <mergeCell ref="K145:L145"/>
    <mergeCell ref="A146:J146"/>
    <mergeCell ref="A147:J147"/>
    <mergeCell ref="B150:D150"/>
    <mergeCell ref="E150:F150"/>
    <mergeCell ref="G150:H150"/>
    <mergeCell ref="I150:J150"/>
    <mergeCell ref="B143:F143"/>
    <mergeCell ref="G143:H143"/>
    <mergeCell ref="I143:J143"/>
    <mergeCell ref="B144:F144"/>
    <mergeCell ref="I144:J144"/>
    <mergeCell ref="B145:F145"/>
    <mergeCell ref="G145:H145"/>
    <mergeCell ref="I145:J145"/>
    <mergeCell ref="B153:D153"/>
    <mergeCell ref="E153:F153"/>
    <mergeCell ref="G153:H153"/>
    <mergeCell ref="I153:J153"/>
    <mergeCell ref="B154:D154"/>
    <mergeCell ref="E154:F154"/>
    <mergeCell ref="G154:H154"/>
    <mergeCell ref="I154:J154"/>
    <mergeCell ref="B151:D151"/>
    <mergeCell ref="E151:F151"/>
    <mergeCell ref="G151:H151"/>
    <mergeCell ref="I151:J151"/>
    <mergeCell ref="B152:D152"/>
    <mergeCell ref="E152:F152"/>
    <mergeCell ref="G152:H152"/>
    <mergeCell ref="I152:J152"/>
    <mergeCell ref="A161:A162"/>
    <mergeCell ref="B161:C162"/>
    <mergeCell ref="E161:F161"/>
    <mergeCell ref="G161:H161"/>
    <mergeCell ref="I161:J161"/>
    <mergeCell ref="E162:F162"/>
    <mergeCell ref="B155:D155"/>
    <mergeCell ref="E155:F155"/>
    <mergeCell ref="G155:H155"/>
    <mergeCell ref="I155:J155"/>
    <mergeCell ref="A156:J156"/>
    <mergeCell ref="B159:D159"/>
    <mergeCell ref="E159:F159"/>
    <mergeCell ref="G159:H159"/>
    <mergeCell ref="I159:J159"/>
    <mergeCell ref="G162:H162"/>
    <mergeCell ref="I162:J162"/>
    <mergeCell ref="B163:D163"/>
    <mergeCell ref="E163:F163"/>
    <mergeCell ref="G163:H163"/>
    <mergeCell ref="I163:J163"/>
    <mergeCell ref="B160:D160"/>
    <mergeCell ref="E160:F160"/>
    <mergeCell ref="G160:H160"/>
    <mergeCell ref="I160:J160"/>
    <mergeCell ref="B166:D166"/>
    <mergeCell ref="E166:F166"/>
    <mergeCell ref="G166:H166"/>
    <mergeCell ref="I166:J166"/>
    <mergeCell ref="A167:J167"/>
    <mergeCell ref="K167:L167"/>
    <mergeCell ref="B164:D164"/>
    <mergeCell ref="E164:F164"/>
    <mergeCell ref="G164:H164"/>
    <mergeCell ref="I164:J164"/>
    <mergeCell ref="B165:D165"/>
    <mergeCell ref="E165:F165"/>
    <mergeCell ref="G165:H165"/>
    <mergeCell ref="I165:J165"/>
    <mergeCell ref="B172:D172"/>
    <mergeCell ref="E172:F172"/>
    <mergeCell ref="G172:H172"/>
    <mergeCell ref="I172:J172"/>
    <mergeCell ref="B173:D173"/>
    <mergeCell ref="E173:F173"/>
    <mergeCell ref="G173:H173"/>
    <mergeCell ref="I173:J173"/>
    <mergeCell ref="B170:D170"/>
    <mergeCell ref="E170:F170"/>
    <mergeCell ref="G170:H170"/>
    <mergeCell ref="I170:J170"/>
    <mergeCell ref="B171:D171"/>
    <mergeCell ref="E171:F171"/>
    <mergeCell ref="G171:H171"/>
    <mergeCell ref="I171:J171"/>
    <mergeCell ref="B179:D179"/>
    <mergeCell ref="E179:F179"/>
    <mergeCell ref="G179:H179"/>
    <mergeCell ref="I179:J179"/>
    <mergeCell ref="B180:D180"/>
    <mergeCell ref="E180:F180"/>
    <mergeCell ref="G180:H180"/>
    <mergeCell ref="I180:J180"/>
    <mergeCell ref="A174:J174"/>
    <mergeCell ref="A177:J177"/>
    <mergeCell ref="B178:D178"/>
    <mergeCell ref="E178:F178"/>
    <mergeCell ref="G178:H178"/>
    <mergeCell ref="I178:J178"/>
    <mergeCell ref="A183:J183"/>
    <mergeCell ref="A186:J186"/>
    <mergeCell ref="B187:D187"/>
    <mergeCell ref="G187:H187"/>
    <mergeCell ref="I187:J187"/>
    <mergeCell ref="B188:D188"/>
    <mergeCell ref="G188:H188"/>
    <mergeCell ref="I188:J188"/>
    <mergeCell ref="B181:D181"/>
    <mergeCell ref="E181:F181"/>
    <mergeCell ref="G181:H181"/>
    <mergeCell ref="I181:J181"/>
    <mergeCell ref="B182:D182"/>
    <mergeCell ref="E182:F182"/>
    <mergeCell ref="G182:H182"/>
    <mergeCell ref="I182:J182"/>
    <mergeCell ref="B191:D191"/>
    <mergeCell ref="G191:H191"/>
    <mergeCell ref="I191:J191"/>
    <mergeCell ref="B192:D192"/>
    <mergeCell ref="G192:H192"/>
    <mergeCell ref="I192:J192"/>
    <mergeCell ref="B189:D189"/>
    <mergeCell ref="G189:H189"/>
    <mergeCell ref="I189:J189"/>
    <mergeCell ref="B190:D190"/>
    <mergeCell ref="G190:H190"/>
    <mergeCell ref="I190:J190"/>
    <mergeCell ref="B195:D195"/>
    <mergeCell ref="G195:H195"/>
    <mergeCell ref="I195:J195"/>
    <mergeCell ref="B196:D196"/>
    <mergeCell ref="G196:H196"/>
    <mergeCell ref="I196:J196"/>
    <mergeCell ref="B193:D193"/>
    <mergeCell ref="G193:H193"/>
    <mergeCell ref="I193:J193"/>
    <mergeCell ref="B194:D194"/>
    <mergeCell ref="G194:H194"/>
    <mergeCell ref="I194:J194"/>
    <mergeCell ref="B201:D201"/>
    <mergeCell ref="E201:F201"/>
    <mergeCell ref="G201:H201"/>
    <mergeCell ref="I201:J201"/>
    <mergeCell ref="B202:D202"/>
    <mergeCell ref="E202:F202"/>
    <mergeCell ref="G202:H202"/>
    <mergeCell ref="I202:J202"/>
    <mergeCell ref="A198:J198"/>
    <mergeCell ref="B199:D199"/>
    <mergeCell ref="E199:F199"/>
    <mergeCell ref="G199:H199"/>
    <mergeCell ref="I199:J199"/>
    <mergeCell ref="B200:D200"/>
    <mergeCell ref="E200:F200"/>
    <mergeCell ref="G200:H200"/>
    <mergeCell ref="I200:J200"/>
    <mergeCell ref="B206:D206"/>
    <mergeCell ref="F206:G206"/>
    <mergeCell ref="I206:J206"/>
    <mergeCell ref="B207:D207"/>
    <mergeCell ref="F207:G207"/>
    <mergeCell ref="I207:J207"/>
    <mergeCell ref="A203:J203"/>
    <mergeCell ref="B204:D204"/>
    <mergeCell ref="F204:G204"/>
    <mergeCell ref="I204:J204"/>
    <mergeCell ref="B205:D205"/>
    <mergeCell ref="F205:G205"/>
    <mergeCell ref="I205:J205"/>
    <mergeCell ref="B210:D210"/>
    <mergeCell ref="F210:G210"/>
    <mergeCell ref="I210:J210"/>
    <mergeCell ref="B211:D211"/>
    <mergeCell ref="F211:G211"/>
    <mergeCell ref="I211:J211"/>
    <mergeCell ref="B208:D208"/>
    <mergeCell ref="F208:G208"/>
    <mergeCell ref="I208:J208"/>
    <mergeCell ref="B209:D209"/>
    <mergeCell ref="F209:G209"/>
    <mergeCell ref="I209:J209"/>
    <mergeCell ref="B214:D214"/>
    <mergeCell ref="F214:G214"/>
    <mergeCell ref="I214:J214"/>
    <mergeCell ref="B215:D215"/>
    <mergeCell ref="F215:G215"/>
    <mergeCell ref="I215:J215"/>
    <mergeCell ref="B212:D212"/>
    <mergeCell ref="F212:G212"/>
    <mergeCell ref="I212:J212"/>
    <mergeCell ref="B213:D213"/>
    <mergeCell ref="F213:G213"/>
    <mergeCell ref="I213:J213"/>
    <mergeCell ref="B218:D218"/>
    <mergeCell ref="F218:G218"/>
    <mergeCell ref="I218:J218"/>
    <mergeCell ref="B219:D219"/>
    <mergeCell ref="F219:G219"/>
    <mergeCell ref="I219:J219"/>
    <mergeCell ref="B216:D216"/>
    <mergeCell ref="F216:G216"/>
    <mergeCell ref="I216:J216"/>
    <mergeCell ref="B217:D217"/>
    <mergeCell ref="F217:G217"/>
    <mergeCell ref="I217:J217"/>
    <mergeCell ref="B222:D222"/>
    <mergeCell ref="F222:G222"/>
    <mergeCell ref="I222:J222"/>
    <mergeCell ref="B223:D223"/>
    <mergeCell ref="F223:G223"/>
    <mergeCell ref="I223:J223"/>
    <mergeCell ref="B220:D220"/>
    <mergeCell ref="F220:G220"/>
    <mergeCell ref="I220:J220"/>
    <mergeCell ref="B221:D221"/>
    <mergeCell ref="F221:G221"/>
    <mergeCell ref="I221:J221"/>
    <mergeCell ref="B226:D226"/>
    <mergeCell ref="F226:G226"/>
    <mergeCell ref="I226:J226"/>
    <mergeCell ref="B227:D227"/>
    <mergeCell ref="F227:G227"/>
    <mergeCell ref="I227:J227"/>
    <mergeCell ref="B224:D224"/>
    <mergeCell ref="F224:G224"/>
    <mergeCell ref="I224:J224"/>
    <mergeCell ref="B225:D225"/>
    <mergeCell ref="F225:G225"/>
    <mergeCell ref="I225:J225"/>
    <mergeCell ref="A228:J228"/>
    <mergeCell ref="B229:D229"/>
    <mergeCell ref="E229:F229"/>
    <mergeCell ref="G229:H229"/>
    <mergeCell ref="I229:J229"/>
    <mergeCell ref="B230:D230"/>
    <mergeCell ref="E230:F230"/>
    <mergeCell ref="G230:H230"/>
    <mergeCell ref="I230:J230"/>
    <mergeCell ref="A233:J233"/>
    <mergeCell ref="A234:A235"/>
    <mergeCell ref="B234:D235"/>
    <mergeCell ref="E234:E235"/>
    <mergeCell ref="F234:F235"/>
    <mergeCell ref="G234:J234"/>
    <mergeCell ref="B231:D231"/>
    <mergeCell ref="E231:F231"/>
    <mergeCell ref="G231:H231"/>
    <mergeCell ref="I231:J231"/>
    <mergeCell ref="B232:D232"/>
    <mergeCell ref="E232:F232"/>
    <mergeCell ref="G232:H232"/>
    <mergeCell ref="I232:J232"/>
    <mergeCell ref="A241:A242"/>
    <mergeCell ref="B241:D242"/>
    <mergeCell ref="B243:D243"/>
    <mergeCell ref="B244:D244"/>
    <mergeCell ref="B245:D245"/>
    <mergeCell ref="B246:D246"/>
    <mergeCell ref="B236:D236"/>
    <mergeCell ref="G236:J236"/>
    <mergeCell ref="B237:D237"/>
    <mergeCell ref="B238:D238"/>
    <mergeCell ref="B239:D239"/>
    <mergeCell ref="B240:D240"/>
    <mergeCell ref="B253:D253"/>
    <mergeCell ref="B254:D254"/>
    <mergeCell ref="G254:J254"/>
    <mergeCell ref="A255:J255"/>
    <mergeCell ref="A256:A257"/>
    <mergeCell ref="B256:D257"/>
    <mergeCell ref="E256:F257"/>
    <mergeCell ref="G256:J256"/>
    <mergeCell ref="B247:D247"/>
    <mergeCell ref="B248:D248"/>
    <mergeCell ref="B249:D249"/>
    <mergeCell ref="B250:D250"/>
    <mergeCell ref="B251:D251"/>
    <mergeCell ref="B252:D252"/>
    <mergeCell ref="B261:D261"/>
    <mergeCell ref="E261:F261"/>
    <mergeCell ref="B262:D262"/>
    <mergeCell ref="E262:F262"/>
    <mergeCell ref="B263:D263"/>
    <mergeCell ref="E263:F263"/>
    <mergeCell ref="B258:D258"/>
    <mergeCell ref="E258:F258"/>
    <mergeCell ref="G258:J258"/>
    <mergeCell ref="B259:D259"/>
    <mergeCell ref="E259:F259"/>
    <mergeCell ref="B260:D260"/>
    <mergeCell ref="B267:D267"/>
    <mergeCell ref="E267:F267"/>
    <mergeCell ref="B268:D268"/>
    <mergeCell ref="E268:F268"/>
    <mergeCell ref="B269:D269"/>
    <mergeCell ref="E269:F269"/>
    <mergeCell ref="B264:D264"/>
    <mergeCell ref="E264:F264"/>
    <mergeCell ref="B265:D265"/>
    <mergeCell ref="E265:F265"/>
    <mergeCell ref="B266:D266"/>
    <mergeCell ref="E266:F266"/>
    <mergeCell ref="B275:D275"/>
    <mergeCell ref="E275:F275"/>
    <mergeCell ref="B276:D276"/>
    <mergeCell ref="E276:F276"/>
    <mergeCell ref="B270:D270"/>
    <mergeCell ref="E270:F270"/>
    <mergeCell ref="B271:D271"/>
    <mergeCell ref="E271:F271"/>
    <mergeCell ref="B272:D272"/>
    <mergeCell ref="E272:F272"/>
    <mergeCell ref="B273:D273"/>
    <mergeCell ref="E273:F273"/>
    <mergeCell ref="B280:D280"/>
    <mergeCell ref="B281:D281"/>
    <mergeCell ref="B282:D282"/>
    <mergeCell ref="E282:F282"/>
    <mergeCell ref="B283:D283"/>
    <mergeCell ref="E283:F283"/>
    <mergeCell ref="B277:D277"/>
    <mergeCell ref="E277:F277"/>
    <mergeCell ref="B278:D278"/>
    <mergeCell ref="E278:F278"/>
    <mergeCell ref="B279:D279"/>
    <mergeCell ref="E279:F279"/>
    <mergeCell ref="E280:F280"/>
    <mergeCell ref="B287:D287"/>
    <mergeCell ref="E287:F287"/>
    <mergeCell ref="B288:D288"/>
    <mergeCell ref="E288:F288"/>
    <mergeCell ref="B284:D284"/>
    <mergeCell ref="E284:F284"/>
    <mergeCell ref="B285:D285"/>
    <mergeCell ref="E285:F285"/>
    <mergeCell ref="B286:D286"/>
    <mergeCell ref="E286:F286"/>
    <mergeCell ref="B289:D289"/>
    <mergeCell ref="E289:F289"/>
    <mergeCell ref="G289:J289"/>
    <mergeCell ref="B292:D292"/>
    <mergeCell ref="E292:F292"/>
    <mergeCell ref="G292:H292"/>
    <mergeCell ref="I292:J292"/>
    <mergeCell ref="B293:D293"/>
    <mergeCell ref="E293:F293"/>
    <mergeCell ref="G293:H293"/>
    <mergeCell ref="I293:J293"/>
    <mergeCell ref="B291:D291"/>
    <mergeCell ref="E291:F291"/>
    <mergeCell ref="G291:H291"/>
    <mergeCell ref="I291:J291"/>
    <mergeCell ref="A290:J290"/>
    <mergeCell ref="B296:D296"/>
    <mergeCell ref="E296:F296"/>
    <mergeCell ref="G296:H296"/>
    <mergeCell ref="I296:J296"/>
    <mergeCell ref="B294:D294"/>
    <mergeCell ref="E294:F294"/>
    <mergeCell ref="G294:H294"/>
    <mergeCell ref="I294:J294"/>
    <mergeCell ref="A295:J295"/>
    <mergeCell ref="B299:D299"/>
    <mergeCell ref="G299:H299"/>
    <mergeCell ref="I299:J299"/>
    <mergeCell ref="B300:D300"/>
    <mergeCell ref="G300:H300"/>
    <mergeCell ref="I300:J300"/>
    <mergeCell ref="B297:D297"/>
    <mergeCell ref="G297:H297"/>
    <mergeCell ref="I297:J297"/>
    <mergeCell ref="B298:D298"/>
    <mergeCell ref="G298:H298"/>
    <mergeCell ref="I298:J298"/>
    <mergeCell ref="E297:F297"/>
    <mergeCell ref="B303:D303"/>
    <mergeCell ref="G303:H303"/>
    <mergeCell ref="I303:J303"/>
    <mergeCell ref="B304:D304"/>
    <mergeCell ref="G304:H304"/>
    <mergeCell ref="I304:J304"/>
    <mergeCell ref="B301:D301"/>
    <mergeCell ref="G301:H301"/>
    <mergeCell ref="I301:J301"/>
    <mergeCell ref="B302:D302"/>
    <mergeCell ref="G302:H302"/>
    <mergeCell ref="I302:J302"/>
    <mergeCell ref="B307:D307"/>
    <mergeCell ref="G307:H307"/>
    <mergeCell ref="I307:J307"/>
    <mergeCell ref="B308:D308"/>
    <mergeCell ref="G308:H308"/>
    <mergeCell ref="I308:J308"/>
    <mergeCell ref="B305:D305"/>
    <mergeCell ref="G305:H305"/>
    <mergeCell ref="I305:J305"/>
    <mergeCell ref="B306:D306"/>
    <mergeCell ref="G306:H306"/>
    <mergeCell ref="I306:J306"/>
    <mergeCell ref="E305:F305"/>
    <mergeCell ref="B313:D313"/>
    <mergeCell ref="E313:F313"/>
    <mergeCell ref="G313:H313"/>
    <mergeCell ref="I313:J313"/>
    <mergeCell ref="B309:D309"/>
    <mergeCell ref="G309:H309"/>
    <mergeCell ref="I309:J309"/>
    <mergeCell ref="A311:J311"/>
    <mergeCell ref="B310:D310"/>
    <mergeCell ref="E310:F310"/>
    <mergeCell ref="G310:H310"/>
    <mergeCell ref="I310:J310"/>
    <mergeCell ref="A312:J312"/>
    <mergeCell ref="B316:D316"/>
    <mergeCell ref="G316:H316"/>
    <mergeCell ref="I316:J316"/>
    <mergeCell ref="B317:D317"/>
    <mergeCell ref="G317:H317"/>
    <mergeCell ref="I317:J317"/>
    <mergeCell ref="B314:D314"/>
    <mergeCell ref="G314:H314"/>
    <mergeCell ref="I314:J314"/>
    <mergeCell ref="B315:D315"/>
    <mergeCell ref="G315:H315"/>
    <mergeCell ref="I315:J315"/>
    <mergeCell ref="E314:F314"/>
    <mergeCell ref="B320:D320"/>
    <mergeCell ref="E320:F320"/>
    <mergeCell ref="G320:H320"/>
    <mergeCell ref="I320:J320"/>
    <mergeCell ref="B318:D318"/>
    <mergeCell ref="E318:F318"/>
    <mergeCell ref="G318:H318"/>
    <mergeCell ref="I318:J318"/>
    <mergeCell ref="A319:J319"/>
    <mergeCell ref="B323:D323"/>
    <mergeCell ref="G323:H323"/>
    <mergeCell ref="I323:J323"/>
    <mergeCell ref="B324:D324"/>
    <mergeCell ref="G324:H324"/>
    <mergeCell ref="I324:J324"/>
    <mergeCell ref="B321:D321"/>
    <mergeCell ref="G321:H321"/>
    <mergeCell ref="I321:J321"/>
    <mergeCell ref="B322:D322"/>
    <mergeCell ref="G322:H322"/>
    <mergeCell ref="I322:J322"/>
    <mergeCell ref="E321:F321"/>
    <mergeCell ref="B327:D327"/>
    <mergeCell ref="E327:F327"/>
    <mergeCell ref="G327:H327"/>
    <mergeCell ref="I327:J327"/>
    <mergeCell ref="B325:D325"/>
    <mergeCell ref="E325:F325"/>
    <mergeCell ref="G325:H325"/>
    <mergeCell ref="I325:J325"/>
    <mergeCell ref="A326:J326"/>
    <mergeCell ref="B330:D330"/>
    <mergeCell ref="G330:H330"/>
    <mergeCell ref="I330:J330"/>
    <mergeCell ref="B331:D331"/>
    <mergeCell ref="G331:H331"/>
    <mergeCell ref="I331:J331"/>
    <mergeCell ref="B328:D328"/>
    <mergeCell ref="G328:H328"/>
    <mergeCell ref="I328:J328"/>
    <mergeCell ref="B329:D329"/>
    <mergeCell ref="G329:H329"/>
    <mergeCell ref="I329:J329"/>
    <mergeCell ref="E328:F328"/>
    <mergeCell ref="B334:D334"/>
    <mergeCell ref="E334:F334"/>
    <mergeCell ref="G334:H334"/>
    <mergeCell ref="I334:J334"/>
    <mergeCell ref="B332:D332"/>
    <mergeCell ref="E332:F332"/>
    <mergeCell ref="G332:H332"/>
    <mergeCell ref="I332:J332"/>
    <mergeCell ref="A333:J333"/>
    <mergeCell ref="B337:D337"/>
    <mergeCell ref="G337:H337"/>
    <mergeCell ref="I337:J337"/>
    <mergeCell ref="B338:D338"/>
    <mergeCell ref="G338:H338"/>
    <mergeCell ref="I338:J338"/>
    <mergeCell ref="B335:D335"/>
    <mergeCell ref="G335:H335"/>
    <mergeCell ref="I335:J335"/>
    <mergeCell ref="B336:D336"/>
    <mergeCell ref="G336:H336"/>
    <mergeCell ref="I336:J336"/>
    <mergeCell ref="E335:F335"/>
    <mergeCell ref="B339:D339"/>
    <mergeCell ref="E339:F339"/>
    <mergeCell ref="G339:H339"/>
    <mergeCell ref="I339:J339"/>
    <mergeCell ref="A340:J340"/>
    <mergeCell ref="E342:F342"/>
    <mergeCell ref="B347:D347"/>
    <mergeCell ref="E347:F347"/>
    <mergeCell ref="G347:H347"/>
    <mergeCell ref="I347:J347"/>
    <mergeCell ref="B342:D342"/>
    <mergeCell ref="G342:H342"/>
    <mergeCell ref="I342:J342"/>
    <mergeCell ref="B343:D343"/>
    <mergeCell ref="G343:H343"/>
    <mergeCell ref="I343:J343"/>
    <mergeCell ref="B341:D341"/>
    <mergeCell ref="E341:F341"/>
    <mergeCell ref="G341:H341"/>
    <mergeCell ref="I341:J341"/>
    <mergeCell ref="B348:D348"/>
    <mergeCell ref="G348:H348"/>
    <mergeCell ref="I348:J348"/>
    <mergeCell ref="B344:D344"/>
    <mergeCell ref="G344:H344"/>
    <mergeCell ref="I344:J344"/>
    <mergeCell ref="B345:D345"/>
    <mergeCell ref="G345:H345"/>
    <mergeCell ref="I345:J345"/>
    <mergeCell ref="A346:J346"/>
    <mergeCell ref="E348:F348"/>
    <mergeCell ref="B351:D351"/>
    <mergeCell ref="G351:H351"/>
    <mergeCell ref="I351:J351"/>
    <mergeCell ref="B349:D349"/>
    <mergeCell ref="G349:H349"/>
    <mergeCell ref="I349:J349"/>
    <mergeCell ref="B350:D350"/>
    <mergeCell ref="G350:H350"/>
    <mergeCell ref="I350:J350"/>
    <mergeCell ref="B359:D359"/>
    <mergeCell ref="E359:F359"/>
    <mergeCell ref="G359:H359"/>
    <mergeCell ref="I359:J359"/>
    <mergeCell ref="A352:J352"/>
    <mergeCell ref="B355:D355"/>
    <mergeCell ref="G355:H355"/>
    <mergeCell ref="I355:J355"/>
    <mergeCell ref="B356:D356"/>
    <mergeCell ref="G356:H356"/>
    <mergeCell ref="I356:J356"/>
    <mergeCell ref="B353:D353"/>
    <mergeCell ref="G353:H353"/>
    <mergeCell ref="I353:J353"/>
    <mergeCell ref="B354:D354"/>
    <mergeCell ref="E354:F354"/>
    <mergeCell ref="G354:H354"/>
    <mergeCell ref="I354:J354"/>
    <mergeCell ref="E353:F353"/>
    <mergeCell ref="B357:D357"/>
    <mergeCell ref="G357:H357"/>
    <mergeCell ref="I357:J357"/>
    <mergeCell ref="A358:J358"/>
    <mergeCell ref="E360:F360"/>
    <mergeCell ref="B367:D367"/>
    <mergeCell ref="E367:F367"/>
    <mergeCell ref="B362:D362"/>
    <mergeCell ref="G362:H362"/>
    <mergeCell ref="B363:D363"/>
    <mergeCell ref="G363:H363"/>
    <mergeCell ref="I363:J363"/>
    <mergeCell ref="I362:J362"/>
    <mergeCell ref="B364:D364"/>
    <mergeCell ref="G364:H364"/>
    <mergeCell ref="I364:J364"/>
    <mergeCell ref="A366:J366"/>
    <mergeCell ref="G367:H367"/>
    <mergeCell ref="I367:J367"/>
    <mergeCell ref="B360:D360"/>
    <mergeCell ref="G360:H360"/>
    <mergeCell ref="I360:J360"/>
    <mergeCell ref="B361:D361"/>
    <mergeCell ref="G361:H361"/>
    <mergeCell ref="I361:J361"/>
    <mergeCell ref="B378:D378"/>
    <mergeCell ref="E378:F378"/>
    <mergeCell ref="I388:J388"/>
    <mergeCell ref="I389:J389"/>
    <mergeCell ref="I390:J390"/>
    <mergeCell ref="I391:J391"/>
    <mergeCell ref="A394:C394"/>
    <mergeCell ref="A373:J373"/>
    <mergeCell ref="A374:A375"/>
    <mergeCell ref="B374:D375"/>
    <mergeCell ref="E374:F375"/>
    <mergeCell ref="G374:J374"/>
    <mergeCell ref="B376:D376"/>
    <mergeCell ref="E376:F376"/>
    <mergeCell ref="G376:J376"/>
    <mergeCell ref="B377:D377"/>
    <mergeCell ref="E377:F377"/>
    <mergeCell ref="B379:D379"/>
    <mergeCell ref="E379:F379"/>
    <mergeCell ref="B380:D380"/>
    <mergeCell ref="E380:F380"/>
    <mergeCell ref="G380:J380"/>
    <mergeCell ref="I384:J384"/>
    <mergeCell ref="I385:J385"/>
  </mergeCells>
  <pageMargins left="0.70866141732283472" right="0.70866141732283472" top="0.74803149606299213" bottom="0.74803149606299213" header="0.31496062992125984" footer="0.31496062992125984"/>
  <pageSetup paperSize="9" scale="49" fitToHeight="2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26"/>
  <sheetViews>
    <sheetView zoomScaleSheetLayoutView="100" workbookViewId="0">
      <selection activeCell="M26" sqref="M26"/>
    </sheetView>
  </sheetViews>
  <sheetFormatPr defaultColWidth="9.109375" defaultRowHeight="14.4" x14ac:dyDescent="0.3"/>
  <cols>
    <col min="1" max="1" width="5.109375" style="1" customWidth="1"/>
    <col min="2" max="2" width="25" style="1" customWidth="1"/>
    <col min="3" max="4" width="9.109375" style="1"/>
    <col min="5" max="5" width="11.33203125" style="1" customWidth="1"/>
    <col min="6" max="6" width="10.6640625" style="1" customWidth="1"/>
    <col min="7" max="7" width="9.44140625" style="1" bestFit="1" customWidth="1"/>
    <col min="8" max="8" width="9.6640625" style="1" customWidth="1"/>
    <col min="9" max="9" width="10.109375" style="1" customWidth="1"/>
    <col min="10" max="10" width="14.5546875" style="1" customWidth="1"/>
    <col min="11" max="11" width="13.5546875" style="1" customWidth="1"/>
    <col min="12" max="12" width="23.44140625" style="1" customWidth="1"/>
    <col min="13" max="13" width="11.6640625" style="1" bestFit="1" customWidth="1"/>
    <col min="14" max="16384" width="9.109375" style="1"/>
  </cols>
  <sheetData>
    <row r="1" spans="1:10" ht="36.75" customHeight="1" x14ac:dyDescent="0.3">
      <c r="A1" s="1521" t="s">
        <v>68</v>
      </c>
      <c r="B1" s="1521"/>
      <c r="C1" s="1521"/>
      <c r="D1" s="1521"/>
      <c r="E1" s="1521"/>
      <c r="F1" s="1521"/>
      <c r="G1" s="1521"/>
      <c r="H1" s="1521"/>
      <c r="I1" s="1521"/>
      <c r="J1" s="1521"/>
    </row>
    <row r="2" spans="1:10" ht="15.6" x14ac:dyDescent="0.3">
      <c r="A2" s="69"/>
      <c r="B2" s="69"/>
      <c r="C2" s="69"/>
      <c r="D2" s="69"/>
      <c r="E2" s="69"/>
      <c r="F2" s="69"/>
      <c r="G2" s="69"/>
      <c r="H2" s="69"/>
      <c r="I2" s="69"/>
      <c r="J2" s="69"/>
    </row>
    <row r="3" spans="1:10" ht="34.5" customHeight="1" x14ac:dyDescent="0.3">
      <c r="A3" s="1522" t="s">
        <v>67</v>
      </c>
      <c r="B3" s="1522"/>
      <c r="C3" s="1522"/>
      <c r="D3" s="1522"/>
      <c r="E3" s="1522"/>
      <c r="F3" s="1522"/>
      <c r="G3" s="1522"/>
      <c r="H3" s="1522"/>
      <c r="I3" s="1522"/>
      <c r="J3" s="1522"/>
    </row>
    <row r="4" spans="1:10" ht="15.6" x14ac:dyDescent="0.3">
      <c r="A4" s="18"/>
    </row>
    <row r="5" spans="1:10" ht="39" customHeight="1" x14ac:dyDescent="0.3">
      <c r="A5" s="1523" t="s">
        <v>83</v>
      </c>
      <c r="B5" s="1523"/>
      <c r="C5" s="1523"/>
      <c r="D5" s="1523"/>
      <c r="E5" s="1523"/>
      <c r="F5" s="1523"/>
      <c r="G5" s="1523"/>
      <c r="H5" s="1523"/>
      <c r="I5" s="1523"/>
      <c r="J5" s="1523"/>
    </row>
    <row r="6" spans="1:10" ht="15.6" x14ac:dyDescent="0.3">
      <c r="A6" s="2"/>
      <c r="D6" s="59" t="s">
        <v>267</v>
      </c>
      <c r="E6" s="61" t="s">
        <v>271</v>
      </c>
      <c r="F6" s="60" t="s">
        <v>277</v>
      </c>
    </row>
    <row r="7" spans="1:10" ht="15.6" x14ac:dyDescent="0.3">
      <c r="A7" s="2"/>
    </row>
    <row r="8" spans="1:10" ht="15.6" x14ac:dyDescent="0.3">
      <c r="A8" s="2"/>
    </row>
    <row r="9" spans="1:10" ht="15.6" x14ac:dyDescent="0.3">
      <c r="A9" s="1450" t="s">
        <v>0</v>
      </c>
      <c r="B9" s="1450"/>
      <c r="C9" s="1450"/>
      <c r="D9" s="1450"/>
      <c r="E9" s="1450"/>
      <c r="F9" s="1450"/>
      <c r="G9" s="1450"/>
      <c r="H9" s="1450"/>
      <c r="I9" s="1450"/>
      <c r="J9" s="1450"/>
    </row>
    <row r="10" spans="1:10" ht="15.6" x14ac:dyDescent="0.3">
      <c r="A10" s="2"/>
    </row>
    <row r="11" spans="1:10" ht="15.6" x14ac:dyDescent="0.3">
      <c r="A11" s="2" t="s">
        <v>80</v>
      </c>
      <c r="C11" s="3">
        <v>111</v>
      </c>
      <c r="D11" s="3">
        <v>112</v>
      </c>
      <c r="E11" s="3">
        <v>119</v>
      </c>
      <c r="F11" s="4"/>
      <c r="G11" s="4"/>
      <c r="H11" s="4"/>
      <c r="I11" s="4"/>
      <c r="J11" s="4"/>
    </row>
    <row r="12" spans="1:10" ht="15.6" x14ac:dyDescent="0.3">
      <c r="A12" s="2" t="s">
        <v>81</v>
      </c>
      <c r="E12" s="5" t="s">
        <v>82</v>
      </c>
      <c r="F12" s="6"/>
      <c r="G12" s="5" t="s">
        <v>195</v>
      </c>
      <c r="H12" s="6"/>
      <c r="I12" s="6"/>
      <c r="J12" s="6"/>
    </row>
    <row r="13" spans="1:10" ht="15.6" x14ac:dyDescent="0.3">
      <c r="A13" s="2"/>
    </row>
    <row r="14" spans="1:10" ht="15.6" x14ac:dyDescent="0.3">
      <c r="A14" s="1450" t="s">
        <v>292</v>
      </c>
      <c r="B14" s="1450"/>
      <c r="C14" s="1450"/>
      <c r="D14" s="1450"/>
      <c r="E14" s="1450"/>
      <c r="F14" s="1450"/>
      <c r="G14" s="1450"/>
      <c r="H14" s="1450"/>
      <c r="I14" s="1450"/>
      <c r="J14" s="1450"/>
    </row>
    <row r="15" spans="1:10" ht="15.6" x14ac:dyDescent="0.3">
      <c r="A15" s="18"/>
    </row>
    <row r="16" spans="1:10" ht="33" customHeight="1" x14ac:dyDescent="0.3">
      <c r="A16" s="1441" t="s">
        <v>1</v>
      </c>
      <c r="B16" s="1441" t="s">
        <v>2</v>
      </c>
      <c r="C16" s="1441" t="s">
        <v>3</v>
      </c>
      <c r="D16" s="1441" t="s">
        <v>4</v>
      </c>
      <c r="E16" s="1441"/>
      <c r="F16" s="1441"/>
      <c r="G16" s="1441"/>
      <c r="H16" s="1441" t="s">
        <v>5</v>
      </c>
      <c r="I16" s="1441" t="s">
        <v>6</v>
      </c>
      <c r="J16" s="1441" t="s">
        <v>7</v>
      </c>
    </row>
    <row r="17" spans="1:10" x14ac:dyDescent="0.3">
      <c r="A17" s="1441"/>
      <c r="B17" s="1441"/>
      <c r="C17" s="1441"/>
      <c r="D17" s="1441" t="s">
        <v>8</v>
      </c>
      <c r="E17" s="1441" t="s">
        <v>9</v>
      </c>
      <c r="F17" s="1441"/>
      <c r="G17" s="1441"/>
      <c r="H17" s="1441"/>
      <c r="I17" s="1441"/>
      <c r="J17" s="1441"/>
    </row>
    <row r="18" spans="1:10" ht="69" customHeight="1" x14ac:dyDescent="0.3">
      <c r="A18" s="1441"/>
      <c r="B18" s="1441"/>
      <c r="C18" s="1441"/>
      <c r="D18" s="1441"/>
      <c r="E18" s="66" t="s">
        <v>10</v>
      </c>
      <c r="F18" s="66" t="s">
        <v>11</v>
      </c>
      <c r="G18" s="66" t="s">
        <v>12</v>
      </c>
      <c r="H18" s="1441"/>
      <c r="I18" s="1441"/>
      <c r="J18" s="1441"/>
    </row>
    <row r="19" spans="1:10" s="41" customFormat="1" ht="13.8" x14ac:dyDescent="0.3">
      <c r="A19" s="66">
        <v>1</v>
      </c>
      <c r="B19" s="66">
        <v>2</v>
      </c>
      <c r="C19" s="66">
        <v>3</v>
      </c>
      <c r="D19" s="66">
        <v>4</v>
      </c>
      <c r="E19" s="66">
        <v>5</v>
      </c>
      <c r="F19" s="66">
        <v>6</v>
      </c>
      <c r="G19" s="66">
        <v>7</v>
      </c>
      <c r="H19" s="66">
        <v>8</v>
      </c>
      <c r="I19" s="66">
        <v>9</v>
      </c>
      <c r="J19" s="66">
        <v>10</v>
      </c>
    </row>
    <row r="20" spans="1:10" x14ac:dyDescent="0.3">
      <c r="A20" s="64"/>
      <c r="B20" s="23" t="s">
        <v>206</v>
      </c>
      <c r="C20" s="24"/>
      <c r="D20" s="64"/>
      <c r="E20" s="64"/>
      <c r="F20" s="64"/>
      <c r="G20" s="64"/>
      <c r="H20" s="64"/>
      <c r="I20" s="64"/>
      <c r="J20" s="64"/>
    </row>
    <row r="21" spans="1:10" x14ac:dyDescent="0.3">
      <c r="A21" s="64" t="s">
        <v>70</v>
      </c>
      <c r="B21" s="25" t="s">
        <v>207</v>
      </c>
      <c r="C21" s="28"/>
      <c r="D21" s="20">
        <f>E21+F21+G21</f>
        <v>0</v>
      </c>
      <c r="E21" s="20"/>
      <c r="F21" s="20">
        <f>E21*9%</f>
        <v>0</v>
      </c>
      <c r="G21" s="20">
        <f>E21*21%</f>
        <v>0</v>
      </c>
      <c r="H21" s="21">
        <v>0.5</v>
      </c>
      <c r="I21" s="22">
        <v>1.7</v>
      </c>
      <c r="J21" s="37">
        <f>(C21*D21*(H21/100%+I21)*12)</f>
        <v>0</v>
      </c>
    </row>
    <row r="22" spans="1:10" ht="24.75" customHeight="1" x14ac:dyDescent="0.3">
      <c r="A22" s="64" t="s">
        <v>75</v>
      </c>
      <c r="B22" s="26" t="s">
        <v>208</v>
      </c>
      <c r="C22" s="28"/>
      <c r="D22" s="20">
        <f t="shared" ref="D22:D25" si="0">E22+F22+G22</f>
        <v>0</v>
      </c>
      <c r="E22" s="20"/>
      <c r="F22" s="20">
        <f t="shared" ref="F22:F25" si="1">E22*9%</f>
        <v>0</v>
      </c>
      <c r="G22" s="20">
        <f t="shared" ref="G22:G25" si="2">E22*21%</f>
        <v>0</v>
      </c>
      <c r="H22" s="21">
        <v>0.5</v>
      </c>
      <c r="I22" s="22">
        <v>1.7</v>
      </c>
      <c r="J22" s="37">
        <f t="shared" ref="J22:J25" si="3">(C22*D22*(H22/100%+I22)*12)</f>
        <v>0</v>
      </c>
    </row>
    <row r="23" spans="1:10" ht="27.6" x14ac:dyDescent="0.3">
      <c r="A23" s="64" t="s">
        <v>77</v>
      </c>
      <c r="B23" s="26" t="s">
        <v>209</v>
      </c>
      <c r="C23" s="28"/>
      <c r="D23" s="20">
        <f t="shared" si="0"/>
        <v>0</v>
      </c>
      <c r="E23" s="20"/>
      <c r="F23" s="20">
        <f t="shared" si="1"/>
        <v>0</v>
      </c>
      <c r="G23" s="20">
        <f t="shared" si="2"/>
        <v>0</v>
      </c>
      <c r="H23" s="21">
        <v>0.5</v>
      </c>
      <c r="I23" s="22">
        <v>1.7</v>
      </c>
      <c r="J23" s="37">
        <f t="shared" si="3"/>
        <v>0</v>
      </c>
    </row>
    <row r="24" spans="1:10" ht="41.4" x14ac:dyDescent="0.3">
      <c r="A24" s="64" t="s">
        <v>86</v>
      </c>
      <c r="B24" s="26" t="s">
        <v>210</v>
      </c>
      <c r="C24" s="28"/>
      <c r="D24" s="20">
        <f t="shared" si="0"/>
        <v>0</v>
      </c>
      <c r="E24" s="20"/>
      <c r="F24" s="20">
        <f t="shared" si="1"/>
        <v>0</v>
      </c>
      <c r="G24" s="20">
        <f t="shared" si="2"/>
        <v>0</v>
      </c>
      <c r="H24" s="21">
        <v>0.5</v>
      </c>
      <c r="I24" s="22">
        <v>1.7</v>
      </c>
      <c r="J24" s="37">
        <f t="shared" si="3"/>
        <v>0</v>
      </c>
    </row>
    <row r="25" spans="1:10" x14ac:dyDescent="0.3">
      <c r="A25" s="64" t="s">
        <v>87</v>
      </c>
      <c r="B25" s="26" t="s">
        <v>211</v>
      </c>
      <c r="C25" s="28"/>
      <c r="D25" s="20">
        <f t="shared" si="0"/>
        <v>0</v>
      </c>
      <c r="E25" s="20"/>
      <c r="F25" s="20">
        <f t="shared" si="1"/>
        <v>0</v>
      </c>
      <c r="G25" s="20">
        <f t="shared" si="2"/>
        <v>0</v>
      </c>
      <c r="H25" s="21">
        <v>0.5</v>
      </c>
      <c r="I25" s="22">
        <v>1.7</v>
      </c>
      <c r="J25" s="37">
        <f t="shared" si="3"/>
        <v>0</v>
      </c>
    </row>
    <row r="26" spans="1:10" x14ac:dyDescent="0.3">
      <c r="A26" s="72"/>
      <c r="B26" s="30" t="s">
        <v>212</v>
      </c>
      <c r="C26" s="31">
        <f>SUM(C21:C25)</f>
        <v>0</v>
      </c>
      <c r="D26" s="32"/>
      <c r="E26" s="32"/>
      <c r="F26" s="32"/>
      <c r="G26" s="32"/>
      <c r="H26" s="33"/>
      <c r="I26" s="34"/>
      <c r="J26" s="38">
        <f>SUM(J21:J25)</f>
        <v>0</v>
      </c>
    </row>
    <row r="27" spans="1:10" x14ac:dyDescent="0.3">
      <c r="A27" s="64"/>
      <c r="B27" s="23" t="s">
        <v>219</v>
      </c>
      <c r="C27" s="64"/>
      <c r="D27" s="64"/>
      <c r="E27" s="64"/>
      <c r="F27" s="64"/>
      <c r="G27" s="64"/>
      <c r="H27" s="64"/>
      <c r="I27" s="64"/>
      <c r="J27" s="70"/>
    </row>
    <row r="28" spans="1:10" x14ac:dyDescent="0.3">
      <c r="A28" s="27" t="s">
        <v>97</v>
      </c>
      <c r="B28" s="27" t="s">
        <v>220</v>
      </c>
      <c r="C28" s="27"/>
      <c r="D28" s="20">
        <f>E28+F28+G28</f>
        <v>0</v>
      </c>
      <c r="E28" s="20"/>
      <c r="F28" s="20">
        <f>E28*9%</f>
        <v>0</v>
      </c>
      <c r="G28" s="20">
        <f>E28*21%</f>
        <v>0</v>
      </c>
      <c r="H28" s="21">
        <v>0.5</v>
      </c>
      <c r="I28" s="22">
        <v>1.7</v>
      </c>
      <c r="J28" s="37">
        <f>(C28*D28*(H28/100%+I28)*12)</f>
        <v>0</v>
      </c>
    </row>
    <row r="29" spans="1:10" x14ac:dyDescent="0.3">
      <c r="A29" s="27" t="s">
        <v>116</v>
      </c>
      <c r="B29" s="26" t="s">
        <v>213</v>
      </c>
      <c r="C29" s="28"/>
      <c r="D29" s="20">
        <f>E29+F29+G29</f>
        <v>0</v>
      </c>
      <c r="E29" s="20"/>
      <c r="F29" s="20">
        <f>E29*9%</f>
        <v>0</v>
      </c>
      <c r="G29" s="20">
        <f>E29*21%</f>
        <v>0</v>
      </c>
      <c r="H29" s="21">
        <v>0.5</v>
      </c>
      <c r="I29" s="22">
        <v>1.7</v>
      </c>
      <c r="J29" s="37">
        <f>(C29*D29*(H29/100%+I29)*12)</f>
        <v>0</v>
      </c>
    </row>
    <row r="30" spans="1:10" x14ac:dyDescent="0.3">
      <c r="A30" s="27" t="s">
        <v>117</v>
      </c>
      <c r="B30" s="26" t="s">
        <v>214</v>
      </c>
      <c r="C30" s="28"/>
      <c r="D30" s="20">
        <f t="shared" ref="D30:D56" si="4">E30+F30+G30</f>
        <v>0</v>
      </c>
      <c r="E30" s="20"/>
      <c r="F30" s="20">
        <f t="shared" ref="F30:F56" si="5">E30*9%</f>
        <v>0</v>
      </c>
      <c r="G30" s="20">
        <f t="shared" ref="G30:G56" si="6">E30*21%</f>
        <v>0</v>
      </c>
      <c r="H30" s="21">
        <v>0.5</v>
      </c>
      <c r="I30" s="22">
        <v>1.7</v>
      </c>
      <c r="J30" s="37">
        <f t="shared" ref="J30:J56" si="7">(C30*D30*(H30/100%+I30)*12)</f>
        <v>0</v>
      </c>
    </row>
    <row r="31" spans="1:10" x14ac:dyDescent="0.3">
      <c r="A31" s="27" t="s">
        <v>118</v>
      </c>
      <c r="B31" s="26" t="s">
        <v>215</v>
      </c>
      <c r="C31" s="28"/>
      <c r="D31" s="20">
        <f t="shared" si="4"/>
        <v>0</v>
      </c>
      <c r="E31" s="20"/>
      <c r="F31" s="20">
        <f t="shared" si="5"/>
        <v>0</v>
      </c>
      <c r="G31" s="20">
        <f t="shared" si="6"/>
        <v>0</v>
      </c>
      <c r="H31" s="21">
        <v>0.5</v>
      </c>
      <c r="I31" s="22">
        <v>1.7</v>
      </c>
      <c r="J31" s="37">
        <f t="shared" si="7"/>
        <v>0</v>
      </c>
    </row>
    <row r="32" spans="1:10" ht="41.4" x14ac:dyDescent="0.3">
      <c r="A32" s="27" t="s">
        <v>119</v>
      </c>
      <c r="B32" s="26" t="s">
        <v>216</v>
      </c>
      <c r="C32" s="28"/>
      <c r="D32" s="20">
        <f t="shared" si="4"/>
        <v>0</v>
      </c>
      <c r="E32" s="20"/>
      <c r="F32" s="20">
        <f t="shared" si="5"/>
        <v>0</v>
      </c>
      <c r="G32" s="20">
        <f t="shared" si="6"/>
        <v>0</v>
      </c>
      <c r="H32" s="21">
        <v>0.5</v>
      </c>
      <c r="I32" s="22">
        <v>1.7</v>
      </c>
      <c r="J32" s="37">
        <f t="shared" si="7"/>
        <v>0</v>
      </c>
    </row>
    <row r="33" spans="1:10" x14ac:dyDescent="0.3">
      <c r="A33" s="27" t="s">
        <v>120</v>
      </c>
      <c r="B33" s="26" t="s">
        <v>217</v>
      </c>
      <c r="C33" s="28"/>
      <c r="D33" s="20">
        <f t="shared" si="4"/>
        <v>0</v>
      </c>
      <c r="E33" s="20"/>
      <c r="F33" s="20">
        <f t="shared" si="5"/>
        <v>0</v>
      </c>
      <c r="G33" s="20">
        <f t="shared" si="6"/>
        <v>0</v>
      </c>
      <c r="H33" s="21">
        <v>0.5</v>
      </c>
      <c r="I33" s="22">
        <v>1.7</v>
      </c>
      <c r="J33" s="37">
        <f t="shared" si="7"/>
        <v>0</v>
      </c>
    </row>
    <row r="34" spans="1:10" ht="27.6" x14ac:dyDescent="0.3">
      <c r="A34" s="27" t="s">
        <v>121</v>
      </c>
      <c r="B34" s="26" t="s">
        <v>218</v>
      </c>
      <c r="C34" s="29"/>
      <c r="D34" s="20">
        <f t="shared" si="4"/>
        <v>0</v>
      </c>
      <c r="E34" s="20"/>
      <c r="F34" s="20">
        <f t="shared" si="5"/>
        <v>0</v>
      </c>
      <c r="G34" s="20">
        <f t="shared" si="6"/>
        <v>0</v>
      </c>
      <c r="H34" s="21">
        <v>0.5</v>
      </c>
      <c r="I34" s="22">
        <v>1.7</v>
      </c>
      <c r="J34" s="37">
        <f t="shared" si="7"/>
        <v>0</v>
      </c>
    </row>
    <row r="35" spans="1:10" x14ac:dyDescent="0.3">
      <c r="A35" s="72"/>
      <c r="B35" s="30" t="s">
        <v>212</v>
      </c>
      <c r="C35" s="36">
        <f>SUM(C28:C34)</f>
        <v>0</v>
      </c>
      <c r="D35" s="32"/>
      <c r="E35" s="32"/>
      <c r="F35" s="32"/>
      <c r="G35" s="32"/>
      <c r="H35" s="33"/>
      <c r="I35" s="34"/>
      <c r="J35" s="38">
        <f>SUM(J28:J34)</f>
        <v>0</v>
      </c>
    </row>
    <row r="36" spans="1:10" x14ac:dyDescent="0.3">
      <c r="A36" s="64"/>
      <c r="B36" s="23" t="s">
        <v>221</v>
      </c>
      <c r="C36" s="64"/>
      <c r="D36" s="20"/>
      <c r="E36" s="64"/>
      <c r="F36" s="20"/>
      <c r="G36" s="20"/>
      <c r="H36" s="21"/>
      <c r="I36" s="22"/>
      <c r="J36" s="37"/>
    </row>
    <row r="37" spans="1:10" x14ac:dyDescent="0.3">
      <c r="A37" s="64" t="s">
        <v>122</v>
      </c>
      <c r="B37" s="27" t="s">
        <v>222</v>
      </c>
      <c r="C37" s="27"/>
      <c r="D37" s="20">
        <f t="shared" si="4"/>
        <v>0</v>
      </c>
      <c r="E37" s="20"/>
      <c r="F37" s="20">
        <f t="shared" si="5"/>
        <v>0</v>
      </c>
      <c r="G37" s="20">
        <f t="shared" si="6"/>
        <v>0</v>
      </c>
      <c r="H37" s="21">
        <v>0.5</v>
      </c>
      <c r="I37" s="22">
        <v>1.7</v>
      </c>
      <c r="J37" s="37">
        <f t="shared" si="7"/>
        <v>0</v>
      </c>
    </row>
    <row r="38" spans="1:10" x14ac:dyDescent="0.3">
      <c r="A38" s="64" t="s">
        <v>131</v>
      </c>
      <c r="B38" s="27" t="s">
        <v>223</v>
      </c>
      <c r="C38" s="27"/>
      <c r="D38" s="20">
        <f t="shared" si="4"/>
        <v>0</v>
      </c>
      <c r="E38" s="20"/>
      <c r="F38" s="20">
        <f t="shared" si="5"/>
        <v>0</v>
      </c>
      <c r="G38" s="20">
        <f t="shared" si="6"/>
        <v>0</v>
      </c>
      <c r="H38" s="21">
        <v>0.5</v>
      </c>
      <c r="I38" s="22">
        <v>1.7</v>
      </c>
      <c r="J38" s="37">
        <f t="shared" si="7"/>
        <v>0</v>
      </c>
    </row>
    <row r="39" spans="1:10" ht="27.6" x14ac:dyDescent="0.3">
      <c r="A39" s="64" t="s">
        <v>132</v>
      </c>
      <c r="B39" s="27" t="s">
        <v>224</v>
      </c>
      <c r="C39" s="27"/>
      <c r="D39" s="20">
        <f t="shared" si="4"/>
        <v>0</v>
      </c>
      <c r="E39" s="20"/>
      <c r="F39" s="20">
        <f t="shared" si="5"/>
        <v>0</v>
      </c>
      <c r="G39" s="20">
        <f t="shared" si="6"/>
        <v>0</v>
      </c>
      <c r="H39" s="21">
        <v>0.5</v>
      </c>
      <c r="I39" s="22">
        <v>1.7</v>
      </c>
      <c r="J39" s="37">
        <f t="shared" si="7"/>
        <v>0</v>
      </c>
    </row>
    <row r="40" spans="1:10" x14ac:dyDescent="0.3">
      <c r="A40" s="64" t="s">
        <v>133</v>
      </c>
      <c r="B40" s="27" t="s">
        <v>225</v>
      </c>
      <c r="C40" s="27"/>
      <c r="D40" s="20">
        <f t="shared" si="4"/>
        <v>0</v>
      </c>
      <c r="E40" s="20"/>
      <c r="F40" s="20">
        <f t="shared" si="5"/>
        <v>0</v>
      </c>
      <c r="G40" s="20">
        <f t="shared" si="6"/>
        <v>0</v>
      </c>
      <c r="H40" s="21">
        <v>0.5</v>
      </c>
      <c r="I40" s="22">
        <v>1.7</v>
      </c>
      <c r="J40" s="37">
        <f t="shared" si="7"/>
        <v>0</v>
      </c>
    </row>
    <row r="41" spans="1:10" x14ac:dyDescent="0.3">
      <c r="A41" s="64" t="s">
        <v>134</v>
      </c>
      <c r="B41" s="27" t="s">
        <v>226</v>
      </c>
      <c r="C41" s="27"/>
      <c r="D41" s="20">
        <f t="shared" si="4"/>
        <v>0</v>
      </c>
      <c r="E41" s="20"/>
      <c r="F41" s="20">
        <f t="shared" si="5"/>
        <v>0</v>
      </c>
      <c r="G41" s="20">
        <f t="shared" si="6"/>
        <v>0</v>
      </c>
      <c r="H41" s="21">
        <v>0.5</v>
      </c>
      <c r="I41" s="22">
        <v>1.7</v>
      </c>
      <c r="J41" s="37">
        <f t="shared" si="7"/>
        <v>0</v>
      </c>
    </row>
    <row r="42" spans="1:10" x14ac:dyDescent="0.3">
      <c r="A42" s="64" t="s">
        <v>200</v>
      </c>
      <c r="B42" s="27" t="s">
        <v>227</v>
      </c>
      <c r="C42" s="27"/>
      <c r="D42" s="20">
        <f t="shared" si="4"/>
        <v>0</v>
      </c>
      <c r="E42" s="20"/>
      <c r="F42" s="20">
        <f t="shared" si="5"/>
        <v>0</v>
      </c>
      <c r="G42" s="20">
        <f t="shared" si="6"/>
        <v>0</v>
      </c>
      <c r="H42" s="21">
        <v>0.5</v>
      </c>
      <c r="I42" s="22">
        <v>1.7</v>
      </c>
      <c r="J42" s="37">
        <f t="shared" si="7"/>
        <v>0</v>
      </c>
    </row>
    <row r="43" spans="1:10" x14ac:dyDescent="0.3">
      <c r="A43" s="64" t="s">
        <v>201</v>
      </c>
      <c r="B43" s="27" t="s">
        <v>228</v>
      </c>
      <c r="C43" s="27"/>
      <c r="D43" s="20">
        <f t="shared" si="4"/>
        <v>0</v>
      </c>
      <c r="E43" s="20"/>
      <c r="F43" s="20">
        <f t="shared" si="5"/>
        <v>0</v>
      </c>
      <c r="G43" s="20">
        <f t="shared" si="6"/>
        <v>0</v>
      </c>
      <c r="H43" s="21">
        <v>0.5</v>
      </c>
      <c r="I43" s="22">
        <v>1.7</v>
      </c>
      <c r="J43" s="37">
        <f t="shared" si="7"/>
        <v>0</v>
      </c>
    </row>
    <row r="44" spans="1:10" x14ac:dyDescent="0.3">
      <c r="A44" s="64" t="s">
        <v>237</v>
      </c>
      <c r="B44" s="27"/>
      <c r="C44" s="27"/>
      <c r="D44" s="20">
        <f t="shared" si="4"/>
        <v>0</v>
      </c>
      <c r="E44" s="20"/>
      <c r="F44" s="20">
        <f t="shared" si="5"/>
        <v>0</v>
      </c>
      <c r="G44" s="20">
        <f t="shared" si="6"/>
        <v>0</v>
      </c>
      <c r="H44" s="21">
        <v>0.5</v>
      </c>
      <c r="I44" s="22">
        <v>1.7</v>
      </c>
      <c r="J44" s="37">
        <f t="shared" si="7"/>
        <v>0</v>
      </c>
    </row>
    <row r="45" spans="1:10" x14ac:dyDescent="0.3">
      <c r="A45" s="64" t="s">
        <v>238</v>
      </c>
      <c r="B45" s="27"/>
      <c r="C45" s="27"/>
      <c r="D45" s="20">
        <f t="shared" si="4"/>
        <v>0</v>
      </c>
      <c r="E45" s="20"/>
      <c r="F45" s="20">
        <f t="shared" si="5"/>
        <v>0</v>
      </c>
      <c r="G45" s="20">
        <f t="shared" si="6"/>
        <v>0</v>
      </c>
      <c r="H45" s="21">
        <v>0.5</v>
      </c>
      <c r="I45" s="22">
        <v>1.7</v>
      </c>
      <c r="J45" s="37">
        <f t="shared" si="7"/>
        <v>0</v>
      </c>
    </row>
    <row r="46" spans="1:10" x14ac:dyDescent="0.3">
      <c r="A46" s="64" t="s">
        <v>239</v>
      </c>
      <c r="B46" s="27"/>
      <c r="C46" s="27"/>
      <c r="D46" s="20">
        <f t="shared" si="4"/>
        <v>0</v>
      </c>
      <c r="E46" s="20"/>
      <c r="F46" s="20">
        <f t="shared" si="5"/>
        <v>0</v>
      </c>
      <c r="G46" s="20">
        <f t="shared" si="6"/>
        <v>0</v>
      </c>
      <c r="H46" s="21">
        <v>0.5</v>
      </c>
      <c r="I46" s="22">
        <v>1.7</v>
      </c>
      <c r="J46" s="37">
        <f t="shared" si="7"/>
        <v>0</v>
      </c>
    </row>
    <row r="47" spans="1:10" x14ac:dyDescent="0.3">
      <c r="A47" s="64" t="s">
        <v>240</v>
      </c>
      <c r="B47" s="27"/>
      <c r="C47" s="27"/>
      <c r="D47" s="20">
        <f t="shared" si="4"/>
        <v>0</v>
      </c>
      <c r="E47" s="20"/>
      <c r="F47" s="20">
        <f t="shared" si="5"/>
        <v>0</v>
      </c>
      <c r="G47" s="20">
        <f t="shared" si="6"/>
        <v>0</v>
      </c>
      <c r="H47" s="21">
        <v>0.5</v>
      </c>
      <c r="I47" s="22">
        <v>1.7</v>
      </c>
      <c r="J47" s="37">
        <f t="shared" si="7"/>
        <v>0</v>
      </c>
    </row>
    <row r="48" spans="1:10" x14ac:dyDescent="0.3">
      <c r="A48" s="72"/>
      <c r="B48" s="30" t="s">
        <v>212</v>
      </c>
      <c r="C48" s="35">
        <f>SUM(C37:C47)</f>
        <v>0</v>
      </c>
      <c r="D48" s="32"/>
      <c r="E48" s="32"/>
      <c r="F48" s="32"/>
      <c r="G48" s="32"/>
      <c r="H48" s="33"/>
      <c r="I48" s="34"/>
      <c r="J48" s="38">
        <f>SUM(J37:J47)</f>
        <v>0</v>
      </c>
    </row>
    <row r="49" spans="1:10" x14ac:dyDescent="0.3">
      <c r="A49" s="64"/>
      <c r="B49" s="23" t="s">
        <v>229</v>
      </c>
      <c r="C49" s="64"/>
      <c r="D49" s="20"/>
      <c r="E49" s="64"/>
      <c r="F49" s="20"/>
      <c r="G49" s="20"/>
      <c r="H49" s="21"/>
      <c r="I49" s="22"/>
      <c r="J49" s="37"/>
    </row>
    <row r="50" spans="1:10" ht="27.6" x14ac:dyDescent="0.3">
      <c r="A50" s="64" t="s">
        <v>241</v>
      </c>
      <c r="B50" s="19" t="s">
        <v>230</v>
      </c>
      <c r="C50" s="27"/>
      <c r="D50" s="20">
        <f t="shared" si="4"/>
        <v>0</v>
      </c>
      <c r="E50" s="20"/>
      <c r="F50" s="20">
        <f t="shared" si="5"/>
        <v>0</v>
      </c>
      <c r="G50" s="20">
        <f t="shared" si="6"/>
        <v>0</v>
      </c>
      <c r="H50" s="21">
        <v>0.5</v>
      </c>
      <c r="I50" s="22">
        <v>1.7</v>
      </c>
      <c r="J50" s="37">
        <f t="shared" si="7"/>
        <v>0</v>
      </c>
    </row>
    <row r="51" spans="1:10" ht="41.4" x14ac:dyDescent="0.3">
      <c r="A51" s="64" t="s">
        <v>242</v>
      </c>
      <c r="B51" s="19" t="s">
        <v>231</v>
      </c>
      <c r="C51" s="27"/>
      <c r="D51" s="20">
        <f t="shared" si="4"/>
        <v>0</v>
      </c>
      <c r="E51" s="20"/>
      <c r="F51" s="20">
        <f t="shared" si="5"/>
        <v>0</v>
      </c>
      <c r="G51" s="20">
        <f t="shared" si="6"/>
        <v>0</v>
      </c>
      <c r="H51" s="21">
        <v>0.5</v>
      </c>
      <c r="I51" s="22">
        <v>1.7</v>
      </c>
      <c r="J51" s="37">
        <f t="shared" si="7"/>
        <v>0</v>
      </c>
    </row>
    <row r="52" spans="1:10" x14ac:dyDescent="0.3">
      <c r="A52" s="64" t="s">
        <v>243</v>
      </c>
      <c r="B52" s="19" t="s">
        <v>232</v>
      </c>
      <c r="C52" s="27"/>
      <c r="D52" s="20">
        <f t="shared" si="4"/>
        <v>0</v>
      </c>
      <c r="E52" s="20"/>
      <c r="F52" s="20">
        <f t="shared" si="5"/>
        <v>0</v>
      </c>
      <c r="G52" s="20">
        <f t="shared" si="6"/>
        <v>0</v>
      </c>
      <c r="H52" s="21">
        <v>0.5</v>
      </c>
      <c r="I52" s="22">
        <v>1.7</v>
      </c>
      <c r="J52" s="37">
        <f t="shared" si="7"/>
        <v>0</v>
      </c>
    </row>
    <row r="53" spans="1:10" x14ac:dyDescent="0.3">
      <c r="A53" s="64" t="s">
        <v>244</v>
      </c>
      <c r="B53" s="19" t="s">
        <v>233</v>
      </c>
      <c r="C53" s="27"/>
      <c r="D53" s="20">
        <f t="shared" si="4"/>
        <v>0</v>
      </c>
      <c r="E53" s="20"/>
      <c r="F53" s="20">
        <f t="shared" si="5"/>
        <v>0</v>
      </c>
      <c r="G53" s="20">
        <f t="shared" si="6"/>
        <v>0</v>
      </c>
      <c r="H53" s="21">
        <v>0.5</v>
      </c>
      <c r="I53" s="22">
        <v>1.7</v>
      </c>
      <c r="J53" s="37">
        <f t="shared" si="7"/>
        <v>0</v>
      </c>
    </row>
    <row r="54" spans="1:10" x14ac:dyDescent="0.3">
      <c r="A54" s="64" t="s">
        <v>245</v>
      </c>
      <c r="B54" s="19" t="s">
        <v>234</v>
      </c>
      <c r="C54" s="27"/>
      <c r="D54" s="20">
        <f t="shared" si="4"/>
        <v>0</v>
      </c>
      <c r="E54" s="20"/>
      <c r="F54" s="20">
        <f t="shared" si="5"/>
        <v>0</v>
      </c>
      <c r="G54" s="20">
        <f t="shared" si="6"/>
        <v>0</v>
      </c>
      <c r="H54" s="21">
        <v>0.5</v>
      </c>
      <c r="I54" s="22">
        <v>1.7</v>
      </c>
      <c r="J54" s="37">
        <f t="shared" si="7"/>
        <v>0</v>
      </c>
    </row>
    <row r="55" spans="1:10" x14ac:dyDescent="0.3">
      <c r="A55" s="64" t="s">
        <v>246</v>
      </c>
      <c r="B55" s="19" t="s">
        <v>235</v>
      </c>
      <c r="C55" s="27"/>
      <c r="D55" s="20">
        <f t="shared" si="4"/>
        <v>0</v>
      </c>
      <c r="E55" s="20"/>
      <c r="F55" s="20">
        <f t="shared" si="5"/>
        <v>0</v>
      </c>
      <c r="G55" s="20">
        <f t="shared" si="6"/>
        <v>0</v>
      </c>
      <c r="H55" s="21">
        <v>0.5</v>
      </c>
      <c r="I55" s="22">
        <v>1.7</v>
      </c>
      <c r="J55" s="37">
        <f t="shared" si="7"/>
        <v>0</v>
      </c>
    </row>
    <row r="56" spans="1:10" x14ac:dyDescent="0.3">
      <c r="A56" s="64" t="s">
        <v>247</v>
      </c>
      <c r="B56" s="19" t="s">
        <v>236</v>
      </c>
      <c r="C56" s="27"/>
      <c r="D56" s="20">
        <f t="shared" si="4"/>
        <v>0</v>
      </c>
      <c r="E56" s="20"/>
      <c r="F56" s="20">
        <f t="shared" si="5"/>
        <v>0</v>
      </c>
      <c r="G56" s="20">
        <f t="shared" si="6"/>
        <v>0</v>
      </c>
      <c r="H56" s="21">
        <v>0.5</v>
      </c>
      <c r="I56" s="22">
        <v>1.7</v>
      </c>
      <c r="J56" s="37">
        <f t="shared" si="7"/>
        <v>0</v>
      </c>
    </row>
    <row r="57" spans="1:10" x14ac:dyDescent="0.3">
      <c r="A57" s="72"/>
      <c r="B57" s="30" t="s">
        <v>212</v>
      </c>
      <c r="C57" s="35">
        <f>SUM(C50:C56)</f>
        <v>0</v>
      </c>
      <c r="D57" s="32"/>
      <c r="E57" s="32"/>
      <c r="F57" s="32"/>
      <c r="G57" s="32"/>
      <c r="H57" s="33"/>
      <c r="I57" s="34"/>
      <c r="J57" s="38">
        <f>SUM(J50:J56)</f>
        <v>0</v>
      </c>
    </row>
    <row r="58" spans="1:10" x14ac:dyDescent="0.3">
      <c r="A58" s="1470" t="s">
        <v>13</v>
      </c>
      <c r="B58" s="1471"/>
      <c r="C58" s="71">
        <f>C26+C35+C48+C57</f>
        <v>0</v>
      </c>
      <c r="D58" s="76"/>
      <c r="E58" s="64" t="s">
        <v>14</v>
      </c>
      <c r="F58" s="64" t="s">
        <v>14</v>
      </c>
      <c r="G58" s="64" t="s">
        <v>14</v>
      </c>
      <c r="H58" s="64" t="s">
        <v>14</v>
      </c>
      <c r="I58" s="64" t="s">
        <v>14</v>
      </c>
      <c r="J58" s="67">
        <f>ROUND(J26+J35+J48+J57,0)</f>
        <v>0</v>
      </c>
    </row>
    <row r="59" spans="1:10" ht="15.75" customHeight="1" x14ac:dyDescent="0.3">
      <c r="A59" s="1459" t="s">
        <v>291</v>
      </c>
      <c r="B59" s="1460"/>
      <c r="C59" s="1460"/>
      <c r="D59" s="1460"/>
      <c r="E59" s="1460"/>
      <c r="F59" s="1460"/>
      <c r="G59" s="1460"/>
      <c r="H59" s="1460"/>
      <c r="I59" s="1461"/>
      <c r="J59" s="67"/>
    </row>
    <row r="60" spans="1:10" x14ac:dyDescent="0.3">
      <c r="A60" s="1435" t="s">
        <v>13</v>
      </c>
      <c r="B60" s="1435"/>
      <c r="C60" s="71"/>
      <c r="D60" s="76"/>
      <c r="E60" s="64" t="s">
        <v>14</v>
      </c>
      <c r="F60" s="64" t="s">
        <v>14</v>
      </c>
      <c r="G60" s="64" t="s">
        <v>14</v>
      </c>
      <c r="H60" s="64" t="s">
        <v>14</v>
      </c>
      <c r="I60" s="64" t="s">
        <v>14</v>
      </c>
      <c r="J60" s="65">
        <f>J58+J59</f>
        <v>0</v>
      </c>
    </row>
    <row r="61" spans="1:10" ht="15.6" x14ac:dyDescent="0.3">
      <c r="A61" s="7"/>
    </row>
    <row r="62" spans="1:10" ht="33.75" customHeight="1" x14ac:dyDescent="0.3">
      <c r="A62" s="1500" t="s">
        <v>293</v>
      </c>
      <c r="B62" s="1500"/>
      <c r="C62" s="1500"/>
      <c r="D62" s="1500"/>
      <c r="E62" s="1500"/>
      <c r="F62" s="1500"/>
      <c r="G62" s="1500"/>
      <c r="H62" s="1500"/>
      <c r="I62" s="1500"/>
      <c r="J62" s="1500"/>
    </row>
    <row r="63" spans="1:10" ht="16.5" customHeight="1" x14ac:dyDescent="0.3">
      <c r="A63" s="2"/>
    </row>
    <row r="64" spans="1:10" ht="44.25" customHeight="1" x14ac:dyDescent="0.3">
      <c r="A64" s="66" t="s">
        <v>1</v>
      </c>
      <c r="B64" s="1441" t="s">
        <v>15</v>
      </c>
      <c r="C64" s="1441"/>
      <c r="D64" s="1441"/>
      <c r="E64" s="1441" t="s">
        <v>16</v>
      </c>
      <c r="F64" s="1441"/>
      <c r="G64" s="66" t="s">
        <v>17</v>
      </c>
      <c r="H64" s="66" t="s">
        <v>18</v>
      </c>
      <c r="I64" s="1441" t="s">
        <v>104</v>
      </c>
      <c r="J64" s="1441"/>
    </row>
    <row r="65" spans="1:10" s="41" customFormat="1" ht="13.8" x14ac:dyDescent="0.3">
      <c r="A65" s="66">
        <v>1</v>
      </c>
      <c r="B65" s="1441">
        <v>2</v>
      </c>
      <c r="C65" s="1441"/>
      <c r="D65" s="1441"/>
      <c r="E65" s="1441">
        <v>3</v>
      </c>
      <c r="F65" s="1441"/>
      <c r="G65" s="66">
        <v>4</v>
      </c>
      <c r="H65" s="66">
        <v>5</v>
      </c>
      <c r="I65" s="1441">
        <v>6</v>
      </c>
      <c r="J65" s="1441"/>
    </row>
    <row r="66" spans="1:10" ht="45" customHeight="1" x14ac:dyDescent="0.3">
      <c r="A66" s="72" t="s">
        <v>70</v>
      </c>
      <c r="B66" s="1452" t="s">
        <v>78</v>
      </c>
      <c r="C66" s="1453"/>
      <c r="D66" s="1454"/>
      <c r="E66" s="1497" t="s">
        <v>74</v>
      </c>
      <c r="F66" s="1497"/>
      <c r="G66" s="72" t="s">
        <v>74</v>
      </c>
      <c r="H66" s="72" t="s">
        <v>74</v>
      </c>
      <c r="I66" s="1496">
        <f>I67+I68+I69</f>
        <v>0</v>
      </c>
      <c r="J66" s="1497"/>
    </row>
    <row r="67" spans="1:10" ht="30" customHeight="1" x14ac:dyDescent="0.3">
      <c r="A67" s="64" t="s">
        <v>27</v>
      </c>
      <c r="B67" s="1459" t="s">
        <v>71</v>
      </c>
      <c r="C67" s="1460"/>
      <c r="D67" s="1461"/>
      <c r="E67" s="1498"/>
      <c r="F67" s="1498"/>
      <c r="G67" s="64"/>
      <c r="H67" s="64"/>
      <c r="I67" s="1447">
        <f>E67*G67*H67</f>
        <v>0</v>
      </c>
      <c r="J67" s="1447"/>
    </row>
    <row r="68" spans="1:10" ht="30" customHeight="1" x14ac:dyDescent="0.3">
      <c r="A68" s="64" t="s">
        <v>29</v>
      </c>
      <c r="B68" s="1435" t="s">
        <v>72</v>
      </c>
      <c r="C68" s="1435"/>
      <c r="D68" s="1435"/>
      <c r="E68" s="1498"/>
      <c r="F68" s="1498"/>
      <c r="G68" s="64"/>
      <c r="H68" s="64"/>
      <c r="I68" s="1447">
        <f>E68*G68*H68</f>
        <v>0</v>
      </c>
      <c r="J68" s="1447"/>
    </row>
    <row r="69" spans="1:10" ht="30" customHeight="1" x14ac:dyDescent="0.3">
      <c r="A69" s="64" t="s">
        <v>31</v>
      </c>
      <c r="B69" s="1435" t="s">
        <v>73</v>
      </c>
      <c r="C69" s="1435"/>
      <c r="D69" s="1435"/>
      <c r="E69" s="1498"/>
      <c r="F69" s="1498"/>
      <c r="G69" s="64"/>
      <c r="H69" s="64"/>
      <c r="I69" s="1447">
        <f>E69*G69*H69</f>
        <v>0</v>
      </c>
      <c r="J69" s="1447"/>
    </row>
    <row r="70" spans="1:10" ht="30" customHeight="1" x14ac:dyDescent="0.3">
      <c r="A70" s="72" t="s">
        <v>75</v>
      </c>
      <c r="B70" s="1452" t="s">
        <v>76</v>
      </c>
      <c r="C70" s="1453"/>
      <c r="D70" s="1454"/>
      <c r="E70" s="1519"/>
      <c r="F70" s="1519"/>
      <c r="G70" s="72"/>
      <c r="H70" s="72"/>
      <c r="I70" s="1520">
        <f>E70*G70*H70</f>
        <v>0</v>
      </c>
      <c r="J70" s="1520"/>
    </row>
    <row r="71" spans="1:10" ht="45" customHeight="1" x14ac:dyDescent="0.3">
      <c r="A71" s="72" t="s">
        <v>77</v>
      </c>
      <c r="B71" s="1452" t="s">
        <v>69</v>
      </c>
      <c r="C71" s="1453"/>
      <c r="D71" s="1454"/>
      <c r="E71" s="1519"/>
      <c r="F71" s="1519"/>
      <c r="G71" s="72"/>
      <c r="H71" s="72"/>
      <c r="I71" s="1520">
        <f>E71*G71*H71</f>
        <v>0</v>
      </c>
      <c r="J71" s="1520"/>
    </row>
    <row r="72" spans="1:10" ht="15" customHeight="1" x14ac:dyDescent="0.3">
      <c r="A72" s="64"/>
      <c r="B72" s="1501"/>
      <c r="C72" s="1502"/>
      <c r="D72" s="1503"/>
      <c r="E72" s="1498"/>
      <c r="F72" s="1498"/>
      <c r="G72" s="64"/>
      <c r="H72" s="64"/>
      <c r="I72" s="1447"/>
      <c r="J72" s="1447"/>
    </row>
    <row r="73" spans="1:10" ht="15" customHeight="1" x14ac:dyDescent="0.3">
      <c r="A73" s="64"/>
      <c r="B73" s="1435" t="s">
        <v>13</v>
      </c>
      <c r="C73" s="1435"/>
      <c r="D73" s="1435"/>
      <c r="E73" s="1436" t="s">
        <v>14</v>
      </c>
      <c r="F73" s="1436"/>
      <c r="G73" s="64" t="s">
        <v>14</v>
      </c>
      <c r="H73" s="64" t="s">
        <v>14</v>
      </c>
      <c r="I73" s="1448">
        <f>I66+I70+I71</f>
        <v>0</v>
      </c>
      <c r="J73" s="1449"/>
    </row>
    <row r="75" spans="1:10" ht="15.75" customHeight="1" x14ac:dyDescent="0.3">
      <c r="A75" s="1500" t="s">
        <v>294</v>
      </c>
      <c r="B75" s="1500"/>
      <c r="C75" s="1500"/>
      <c r="D75" s="1500"/>
      <c r="E75" s="1500"/>
      <c r="F75" s="1500"/>
      <c r="G75" s="1500"/>
      <c r="H75" s="1500"/>
      <c r="I75" s="1500"/>
      <c r="J75" s="1500"/>
    </row>
    <row r="76" spans="1:10" ht="15.6" x14ac:dyDescent="0.3">
      <c r="A76" s="2"/>
    </row>
    <row r="77" spans="1:10" s="41" customFormat="1" ht="69" customHeight="1" x14ac:dyDescent="0.3">
      <c r="A77" s="66" t="s">
        <v>1</v>
      </c>
      <c r="B77" s="1441" t="s">
        <v>15</v>
      </c>
      <c r="C77" s="1441"/>
      <c r="D77" s="1441"/>
      <c r="E77" s="1467" t="s">
        <v>20</v>
      </c>
      <c r="F77" s="1469"/>
      <c r="G77" s="66" t="s">
        <v>21</v>
      </c>
      <c r="H77" s="66" t="s">
        <v>22</v>
      </c>
      <c r="I77" s="1441" t="s">
        <v>19</v>
      </c>
      <c r="J77" s="1441"/>
    </row>
    <row r="78" spans="1:10" s="41" customFormat="1" ht="13.8" x14ac:dyDescent="0.3">
      <c r="A78" s="66">
        <v>1</v>
      </c>
      <c r="B78" s="1441">
        <v>2</v>
      </c>
      <c r="C78" s="1441"/>
      <c r="D78" s="1441"/>
      <c r="E78" s="1467">
        <v>3</v>
      </c>
      <c r="F78" s="1469"/>
      <c r="G78" s="66">
        <v>4</v>
      </c>
      <c r="H78" s="66">
        <v>5</v>
      </c>
      <c r="I78" s="1441">
        <v>6</v>
      </c>
      <c r="J78" s="1441"/>
    </row>
    <row r="79" spans="1:10" ht="45" customHeight="1" x14ac:dyDescent="0.3">
      <c r="A79" s="78" t="s">
        <v>70</v>
      </c>
      <c r="B79" s="1515" t="s">
        <v>79</v>
      </c>
      <c r="C79" s="1516"/>
      <c r="D79" s="1517"/>
      <c r="E79" s="1470"/>
      <c r="F79" s="1471"/>
      <c r="G79" s="64"/>
      <c r="H79" s="64">
        <v>85</v>
      </c>
      <c r="I79" s="1447">
        <f>E79*G79*H79</f>
        <v>0</v>
      </c>
      <c r="J79" s="1447"/>
    </row>
    <row r="80" spans="1:10" x14ac:dyDescent="0.3">
      <c r="A80" s="78"/>
      <c r="B80" s="1518"/>
      <c r="C80" s="1518"/>
      <c r="D80" s="1518"/>
      <c r="E80" s="1470"/>
      <c r="F80" s="1471"/>
      <c r="G80" s="64"/>
      <c r="H80" s="64"/>
      <c r="I80" s="1439"/>
      <c r="J80" s="1439"/>
    </row>
    <row r="81" spans="1:10" x14ac:dyDescent="0.3">
      <c r="A81" s="78"/>
      <c r="B81" s="1514" t="s">
        <v>13</v>
      </c>
      <c r="C81" s="1514"/>
      <c r="D81" s="1514"/>
      <c r="E81" s="1470" t="s">
        <v>14</v>
      </c>
      <c r="F81" s="1471"/>
      <c r="G81" s="64" t="s">
        <v>14</v>
      </c>
      <c r="H81" s="64" t="s">
        <v>14</v>
      </c>
      <c r="I81" s="1448">
        <f>SUM(I79:J80)</f>
        <v>0</v>
      </c>
      <c r="J81" s="1449"/>
    </row>
    <row r="83" spans="1:10" ht="51.75" customHeight="1" x14ac:dyDescent="0.3">
      <c r="A83" s="1500" t="s">
        <v>295</v>
      </c>
      <c r="B83" s="1500"/>
      <c r="C83" s="1500"/>
      <c r="D83" s="1500"/>
      <c r="E83" s="1500"/>
      <c r="F83" s="1500"/>
      <c r="G83" s="1500"/>
      <c r="H83" s="1500"/>
      <c r="I83" s="1500"/>
      <c r="J83" s="1500"/>
    </row>
    <row r="84" spans="1:10" ht="15.6" x14ac:dyDescent="0.3">
      <c r="A84" s="2"/>
    </row>
    <row r="85" spans="1:10" s="41" customFormat="1" ht="43.5" customHeight="1" x14ac:dyDescent="0.3">
      <c r="A85" s="66" t="s">
        <v>1</v>
      </c>
      <c r="B85" s="1441" t="s">
        <v>23</v>
      </c>
      <c r="C85" s="1441"/>
      <c r="D85" s="1441"/>
      <c r="E85" s="1441"/>
      <c r="F85" s="1441"/>
      <c r="G85" s="1441" t="s">
        <v>24</v>
      </c>
      <c r="H85" s="1441"/>
      <c r="I85" s="1441" t="s">
        <v>25</v>
      </c>
      <c r="J85" s="1441"/>
    </row>
    <row r="86" spans="1:10" s="41" customFormat="1" ht="13.8" x14ac:dyDescent="0.3">
      <c r="A86" s="66">
        <v>1</v>
      </c>
      <c r="B86" s="1441">
        <v>2</v>
      </c>
      <c r="C86" s="1441"/>
      <c r="D86" s="1441"/>
      <c r="E86" s="1441"/>
      <c r="F86" s="1441"/>
      <c r="G86" s="1441">
        <v>3</v>
      </c>
      <c r="H86" s="1441"/>
      <c r="I86" s="1441">
        <v>4</v>
      </c>
      <c r="J86" s="1441"/>
    </row>
    <row r="87" spans="1:10" ht="16.5" customHeight="1" x14ac:dyDescent="0.3">
      <c r="A87" s="72" t="s">
        <v>70</v>
      </c>
      <c r="B87" s="1509" t="s">
        <v>26</v>
      </c>
      <c r="C87" s="1509"/>
      <c r="D87" s="1509"/>
      <c r="E87" s="1509"/>
      <c r="F87" s="1509"/>
      <c r="G87" s="1497" t="s">
        <v>14</v>
      </c>
      <c r="H87" s="1497"/>
      <c r="I87" s="1511">
        <f>SUM(I89:J91)</f>
        <v>0</v>
      </c>
      <c r="J87" s="1511"/>
    </row>
    <row r="88" spans="1:10" ht="15.75" customHeight="1" x14ac:dyDescent="0.3">
      <c r="A88" s="17"/>
      <c r="B88" s="1470" t="s">
        <v>9</v>
      </c>
      <c r="C88" s="1495"/>
      <c r="D88" s="1495"/>
      <c r="E88" s="1495"/>
      <c r="F88" s="1471"/>
      <c r="G88" s="1439"/>
      <c r="H88" s="1439"/>
      <c r="I88" s="1508"/>
      <c r="J88" s="1508"/>
    </row>
    <row r="89" spans="1:10" ht="15.75" customHeight="1" x14ac:dyDescent="0.3">
      <c r="A89" s="64" t="s">
        <v>27</v>
      </c>
      <c r="B89" s="1513" t="s">
        <v>28</v>
      </c>
      <c r="C89" s="1513"/>
      <c r="D89" s="1513"/>
      <c r="E89" s="1513"/>
      <c r="F89" s="1513"/>
      <c r="G89" s="1512"/>
      <c r="H89" s="1512"/>
      <c r="I89" s="1508">
        <f>G89*22%</f>
        <v>0</v>
      </c>
      <c r="J89" s="1508"/>
    </row>
    <row r="90" spans="1:10" ht="15.75" customHeight="1" x14ac:dyDescent="0.3">
      <c r="A90" s="64" t="s">
        <v>29</v>
      </c>
      <c r="B90" s="1451" t="s">
        <v>30</v>
      </c>
      <c r="C90" s="1451"/>
      <c r="D90" s="1451"/>
      <c r="E90" s="1451"/>
      <c r="F90" s="1451"/>
      <c r="G90" s="1439"/>
      <c r="H90" s="1439"/>
      <c r="I90" s="1508"/>
      <c r="J90" s="1508"/>
    </row>
    <row r="91" spans="1:10" ht="31.5" customHeight="1" x14ac:dyDescent="0.3">
      <c r="A91" s="64" t="s">
        <v>31</v>
      </c>
      <c r="B91" s="1507" t="s">
        <v>32</v>
      </c>
      <c r="C91" s="1507"/>
      <c r="D91" s="1507"/>
      <c r="E91" s="1507"/>
      <c r="F91" s="1507"/>
      <c r="G91" s="1439"/>
      <c r="H91" s="1439"/>
      <c r="I91" s="1508"/>
      <c r="J91" s="1508"/>
    </row>
    <row r="92" spans="1:10" ht="32.25" customHeight="1" x14ac:dyDescent="0.3">
      <c r="A92" s="72" t="s">
        <v>75</v>
      </c>
      <c r="B92" s="1509" t="s">
        <v>33</v>
      </c>
      <c r="C92" s="1509"/>
      <c r="D92" s="1509"/>
      <c r="E92" s="1509"/>
      <c r="F92" s="1509"/>
      <c r="G92" s="1497" t="s">
        <v>14</v>
      </c>
      <c r="H92" s="1497"/>
      <c r="I92" s="1511">
        <f>SUM(I94:J98)</f>
        <v>0</v>
      </c>
      <c r="J92" s="1511"/>
    </row>
    <row r="93" spans="1:10" ht="15.75" customHeight="1" x14ac:dyDescent="0.3">
      <c r="A93" s="17"/>
      <c r="B93" s="1470" t="s">
        <v>9</v>
      </c>
      <c r="C93" s="1495"/>
      <c r="D93" s="1495"/>
      <c r="E93" s="1495"/>
      <c r="F93" s="1471"/>
      <c r="G93" s="1439"/>
      <c r="H93" s="1439"/>
      <c r="I93" s="1508"/>
      <c r="J93" s="1508"/>
    </row>
    <row r="94" spans="1:10" ht="32.25" customHeight="1" x14ac:dyDescent="0.3">
      <c r="A94" s="64" t="s">
        <v>34</v>
      </c>
      <c r="B94" s="1507" t="s">
        <v>35</v>
      </c>
      <c r="C94" s="1507"/>
      <c r="D94" s="1507"/>
      <c r="E94" s="1507"/>
      <c r="F94" s="1507"/>
      <c r="G94" s="1512"/>
      <c r="H94" s="1512"/>
      <c r="I94" s="1508">
        <f>G94*2.9%</f>
        <v>0</v>
      </c>
      <c r="J94" s="1508"/>
    </row>
    <row r="95" spans="1:10" ht="31.5" customHeight="1" x14ac:dyDescent="0.3">
      <c r="A95" s="64" t="s">
        <v>36</v>
      </c>
      <c r="B95" s="1507" t="s">
        <v>37</v>
      </c>
      <c r="C95" s="1507"/>
      <c r="D95" s="1507"/>
      <c r="E95" s="1507"/>
      <c r="F95" s="1507"/>
      <c r="G95" s="1439"/>
      <c r="H95" s="1439"/>
      <c r="I95" s="1508"/>
      <c r="J95" s="1508"/>
    </row>
    <row r="96" spans="1:10" ht="31.5" customHeight="1" x14ac:dyDescent="0.3">
      <c r="A96" s="64" t="s">
        <v>38</v>
      </c>
      <c r="B96" s="1507" t="s">
        <v>39</v>
      </c>
      <c r="C96" s="1507"/>
      <c r="D96" s="1507"/>
      <c r="E96" s="1507"/>
      <c r="F96" s="1507"/>
      <c r="G96" s="1512"/>
      <c r="H96" s="1512"/>
      <c r="I96" s="1508">
        <f>G96*0.2%</f>
        <v>0</v>
      </c>
      <c r="J96" s="1508"/>
    </row>
    <row r="97" spans="1:10" ht="31.5" customHeight="1" x14ac:dyDescent="0.3">
      <c r="A97" s="64" t="s">
        <v>40</v>
      </c>
      <c r="B97" s="1507" t="s">
        <v>41</v>
      </c>
      <c r="C97" s="1507"/>
      <c r="D97" s="1507"/>
      <c r="E97" s="1507"/>
      <c r="F97" s="1507"/>
      <c r="G97" s="1439"/>
      <c r="H97" s="1439"/>
      <c r="I97" s="1508"/>
      <c r="J97" s="1508"/>
    </row>
    <row r="98" spans="1:10" ht="31.5" customHeight="1" x14ac:dyDescent="0.3">
      <c r="A98" s="64" t="s">
        <v>42</v>
      </c>
      <c r="B98" s="1507" t="s">
        <v>41</v>
      </c>
      <c r="C98" s="1507"/>
      <c r="D98" s="1507"/>
      <c r="E98" s="1507"/>
      <c r="F98" s="1507"/>
      <c r="G98" s="1439"/>
      <c r="H98" s="1439"/>
      <c r="I98" s="1508"/>
      <c r="J98" s="1508"/>
    </row>
    <row r="99" spans="1:10" ht="31.5" customHeight="1" x14ac:dyDescent="0.3">
      <c r="A99" s="72" t="s">
        <v>77</v>
      </c>
      <c r="B99" s="1509" t="s">
        <v>43</v>
      </c>
      <c r="C99" s="1509"/>
      <c r="D99" s="1509"/>
      <c r="E99" s="1509"/>
      <c r="F99" s="1509"/>
      <c r="G99" s="1510"/>
      <c r="H99" s="1510"/>
      <c r="I99" s="1511">
        <f>G99*5.1%</f>
        <v>0</v>
      </c>
      <c r="J99" s="1511"/>
    </row>
    <row r="100" spans="1:10" x14ac:dyDescent="0.3">
      <c r="A100" s="64"/>
      <c r="B100" s="1435" t="s">
        <v>13</v>
      </c>
      <c r="C100" s="1435"/>
      <c r="D100" s="1435"/>
      <c r="E100" s="1435"/>
      <c r="F100" s="1435"/>
      <c r="G100" s="1436" t="s">
        <v>14</v>
      </c>
      <c r="H100" s="1436"/>
      <c r="I100" s="1505">
        <f>I87+I92+I99</f>
        <v>0</v>
      </c>
      <c r="J100" s="1505"/>
    </row>
    <row r="101" spans="1:10" ht="15.6" x14ac:dyDescent="0.3">
      <c r="A101" s="7"/>
    </row>
    <row r="102" spans="1:10" ht="42" customHeight="1" x14ac:dyDescent="0.3">
      <c r="A102" s="1506" t="s">
        <v>205</v>
      </c>
      <c r="B102" s="1506"/>
      <c r="C102" s="1506"/>
      <c r="D102" s="1506"/>
      <c r="E102" s="1506"/>
      <c r="F102" s="1506"/>
      <c r="G102" s="1506"/>
      <c r="H102" s="1506"/>
      <c r="I102" s="1506"/>
      <c r="J102" s="1506"/>
    </row>
    <row r="105" spans="1:10" ht="15.75" customHeight="1" x14ac:dyDescent="0.3">
      <c r="A105" s="1500" t="s">
        <v>84</v>
      </c>
      <c r="B105" s="1500"/>
      <c r="C105" s="1500"/>
      <c r="D105" s="1500"/>
      <c r="E105" s="1500"/>
      <c r="F105" s="1500"/>
      <c r="G105" s="1500"/>
      <c r="H105" s="1500"/>
      <c r="I105" s="1500"/>
      <c r="J105" s="1500"/>
    </row>
    <row r="106" spans="1:10" ht="15.6" x14ac:dyDescent="0.3">
      <c r="A106" s="2"/>
    </row>
    <row r="107" spans="1:10" ht="15.6" x14ac:dyDescent="0.3">
      <c r="A107" s="2" t="s">
        <v>80</v>
      </c>
      <c r="C107" s="3"/>
      <c r="D107" s="3"/>
      <c r="E107" s="3"/>
      <c r="F107" s="4"/>
      <c r="G107" s="4"/>
      <c r="H107" s="4"/>
      <c r="I107" s="4"/>
      <c r="J107" s="4"/>
    </row>
    <row r="108" spans="1:10" ht="15.6" x14ac:dyDescent="0.3">
      <c r="A108" s="2" t="s">
        <v>81</v>
      </c>
      <c r="E108" s="5"/>
      <c r="F108" s="6"/>
      <c r="G108" s="6"/>
      <c r="H108" s="6"/>
      <c r="I108" s="6"/>
      <c r="J108" s="6"/>
    </row>
    <row r="109" spans="1:10" ht="15.6" x14ac:dyDescent="0.3">
      <c r="A109" s="7"/>
    </row>
    <row r="110" spans="1:10" s="41" customFormat="1" ht="31.5" customHeight="1" x14ac:dyDescent="0.3">
      <c r="A110" s="66" t="s">
        <v>1</v>
      </c>
      <c r="B110" s="1441" t="s">
        <v>44</v>
      </c>
      <c r="C110" s="1441"/>
      <c r="D110" s="1441"/>
      <c r="E110" s="1441" t="s">
        <v>45</v>
      </c>
      <c r="F110" s="1441"/>
      <c r="G110" s="1441" t="s">
        <v>46</v>
      </c>
      <c r="H110" s="1441"/>
      <c r="I110" s="1441" t="s">
        <v>102</v>
      </c>
      <c r="J110" s="1441"/>
    </row>
    <row r="111" spans="1:10" s="41" customFormat="1" ht="13.8" x14ac:dyDescent="0.3">
      <c r="A111" s="66">
        <v>1</v>
      </c>
      <c r="B111" s="1441">
        <v>2</v>
      </c>
      <c r="C111" s="1441"/>
      <c r="D111" s="1441"/>
      <c r="E111" s="1441">
        <v>3</v>
      </c>
      <c r="F111" s="1441"/>
      <c r="G111" s="1441">
        <v>4</v>
      </c>
      <c r="H111" s="1441"/>
      <c r="I111" s="1441">
        <v>5</v>
      </c>
      <c r="J111" s="1441"/>
    </row>
    <row r="112" spans="1:10" x14ac:dyDescent="0.3">
      <c r="A112" s="64"/>
      <c r="B112" s="1436"/>
      <c r="C112" s="1436"/>
      <c r="D112" s="1436"/>
      <c r="E112" s="1436"/>
      <c r="F112" s="1436"/>
      <c r="G112" s="1436"/>
      <c r="H112" s="1436"/>
      <c r="I112" s="1436"/>
      <c r="J112" s="1436"/>
    </row>
    <row r="113" spans="1:11" x14ac:dyDescent="0.3">
      <c r="A113" s="64"/>
      <c r="B113" s="1436"/>
      <c r="C113" s="1436"/>
      <c r="D113" s="1436"/>
      <c r="E113" s="1436"/>
      <c r="F113" s="1436"/>
      <c r="G113" s="1436"/>
      <c r="H113" s="1436"/>
      <c r="I113" s="1436"/>
      <c r="J113" s="1436"/>
    </row>
    <row r="114" spans="1:11" x14ac:dyDescent="0.3">
      <c r="A114" s="64"/>
      <c r="B114" s="1435" t="s">
        <v>13</v>
      </c>
      <c r="C114" s="1435"/>
      <c r="D114" s="1435"/>
      <c r="E114" s="1436" t="s">
        <v>14</v>
      </c>
      <c r="F114" s="1436"/>
      <c r="G114" s="1436" t="s">
        <v>14</v>
      </c>
      <c r="H114" s="1436"/>
      <c r="I114" s="1436"/>
      <c r="J114" s="1436"/>
    </row>
    <row r="115" spans="1:11" ht="15.6" x14ac:dyDescent="0.3">
      <c r="A115" s="7"/>
    </row>
    <row r="116" spans="1:11" ht="15.6" x14ac:dyDescent="0.3">
      <c r="A116" s="7"/>
    </row>
    <row r="117" spans="1:11" ht="18" customHeight="1" x14ac:dyDescent="0.3">
      <c r="A117" s="1500" t="s">
        <v>300</v>
      </c>
      <c r="B117" s="1500"/>
      <c r="C117" s="1500"/>
      <c r="D117" s="1500"/>
      <c r="E117" s="1500"/>
      <c r="F117" s="1500"/>
      <c r="G117" s="1500"/>
      <c r="H117" s="1500"/>
      <c r="I117" s="1500"/>
      <c r="J117" s="1500"/>
    </row>
    <row r="118" spans="1:11" ht="15.6" x14ac:dyDescent="0.3">
      <c r="A118" s="2"/>
    </row>
    <row r="119" spans="1:11" ht="15.6" x14ac:dyDescent="0.3">
      <c r="A119" s="2" t="s">
        <v>80</v>
      </c>
      <c r="C119" s="3">
        <v>851</v>
      </c>
      <c r="D119" s="3">
        <v>852</v>
      </c>
      <c r="E119" s="3">
        <v>853</v>
      </c>
      <c r="F119" s="3"/>
      <c r="G119" s="4"/>
      <c r="H119" s="4"/>
      <c r="I119" s="4"/>
      <c r="J119" s="4"/>
    </row>
    <row r="120" spans="1:11" ht="15.6" x14ac:dyDescent="0.3">
      <c r="A120" s="2" t="s">
        <v>81</v>
      </c>
      <c r="E120" s="5" t="s">
        <v>82</v>
      </c>
      <c r="F120" s="6"/>
      <c r="G120" s="5"/>
      <c r="H120" s="6"/>
      <c r="I120" s="6"/>
      <c r="J120" s="6"/>
    </row>
    <row r="121" spans="1:11" ht="15.6" x14ac:dyDescent="0.3">
      <c r="A121" s="2"/>
    </row>
    <row r="122" spans="1:11" s="41" customFormat="1" ht="54" customHeight="1" x14ac:dyDescent="0.3">
      <c r="A122" s="66" t="s">
        <v>1</v>
      </c>
      <c r="B122" s="1441" t="s">
        <v>15</v>
      </c>
      <c r="C122" s="1441"/>
      <c r="D122" s="1441"/>
      <c r="E122" s="1441" t="s">
        <v>47</v>
      </c>
      <c r="F122" s="1441"/>
      <c r="G122" s="1441" t="s">
        <v>48</v>
      </c>
      <c r="H122" s="1441"/>
      <c r="I122" s="1441" t="s">
        <v>103</v>
      </c>
      <c r="J122" s="1441"/>
    </row>
    <row r="123" spans="1:11" s="41" customFormat="1" ht="13.8" x14ac:dyDescent="0.3">
      <c r="A123" s="66">
        <v>1</v>
      </c>
      <c r="B123" s="1441">
        <v>2</v>
      </c>
      <c r="C123" s="1441"/>
      <c r="D123" s="1441"/>
      <c r="E123" s="1441">
        <v>3</v>
      </c>
      <c r="F123" s="1441"/>
      <c r="G123" s="1441">
        <v>4</v>
      </c>
      <c r="H123" s="1441"/>
      <c r="I123" s="1441">
        <v>5</v>
      </c>
      <c r="J123" s="1441"/>
    </row>
    <row r="124" spans="1:11" x14ac:dyDescent="0.3">
      <c r="A124" s="64" t="s">
        <v>70</v>
      </c>
      <c r="B124" s="1501" t="s">
        <v>296</v>
      </c>
      <c r="C124" s="1502"/>
      <c r="D124" s="1503"/>
      <c r="E124" s="1498"/>
      <c r="F124" s="1436"/>
      <c r="G124" s="1504">
        <v>2.2000000000000002</v>
      </c>
      <c r="H124" s="1504"/>
      <c r="I124" s="1447">
        <f>ROUND((E124*G124)/100,2)</f>
        <v>0</v>
      </c>
      <c r="J124" s="1447"/>
      <c r="K124" s="1" t="s">
        <v>88</v>
      </c>
    </row>
    <row r="125" spans="1:11" x14ac:dyDescent="0.3">
      <c r="A125" s="64" t="s">
        <v>75</v>
      </c>
      <c r="B125" s="1501" t="s">
        <v>297</v>
      </c>
      <c r="C125" s="1502"/>
      <c r="D125" s="1503"/>
      <c r="E125" s="1436"/>
      <c r="F125" s="1436"/>
      <c r="G125" s="1436"/>
      <c r="H125" s="1436"/>
      <c r="I125" s="1447"/>
      <c r="J125" s="1447"/>
      <c r="K125" s="1" t="s">
        <v>89</v>
      </c>
    </row>
    <row r="126" spans="1:11" ht="30" customHeight="1" x14ac:dyDescent="0.3">
      <c r="A126" s="64" t="s">
        <v>77</v>
      </c>
      <c r="B126" s="1501" t="s">
        <v>298</v>
      </c>
      <c r="C126" s="1502"/>
      <c r="D126" s="1503"/>
      <c r="E126" s="1436"/>
      <c r="F126" s="1436"/>
      <c r="G126" s="1436"/>
      <c r="H126" s="1436"/>
      <c r="I126" s="1447"/>
      <c r="J126" s="1447"/>
      <c r="K126" s="1" t="s">
        <v>90</v>
      </c>
    </row>
    <row r="127" spans="1:11" ht="44.25" customHeight="1" x14ac:dyDescent="0.3">
      <c r="A127" s="64" t="s">
        <v>86</v>
      </c>
      <c r="B127" s="1501" t="s">
        <v>299</v>
      </c>
      <c r="C127" s="1502"/>
      <c r="D127" s="1503"/>
      <c r="E127" s="1436"/>
      <c r="F127" s="1436"/>
      <c r="G127" s="1436"/>
      <c r="H127" s="1436"/>
      <c r="I127" s="1447"/>
      <c r="J127" s="1447"/>
      <c r="K127" s="1" t="s">
        <v>89</v>
      </c>
    </row>
    <row r="128" spans="1:11" x14ac:dyDescent="0.3">
      <c r="A128" s="64"/>
      <c r="B128" s="1435" t="s">
        <v>13</v>
      </c>
      <c r="C128" s="1435"/>
      <c r="D128" s="1435"/>
      <c r="E128" s="1436"/>
      <c r="F128" s="1436"/>
      <c r="G128" s="1436" t="s">
        <v>14</v>
      </c>
      <c r="H128" s="1436"/>
      <c r="I128" s="1448">
        <f>I124+I125+I126+I127</f>
        <v>0</v>
      </c>
      <c r="J128" s="1449"/>
    </row>
    <row r="129" spans="1:10" ht="15.6" x14ac:dyDescent="0.3">
      <c r="A129" s="7"/>
    </row>
    <row r="130" spans="1:10" ht="15.6" x14ac:dyDescent="0.3">
      <c r="A130" s="7"/>
    </row>
    <row r="131" spans="1:10" ht="15.75" customHeight="1" x14ac:dyDescent="0.3">
      <c r="A131" s="1500" t="s">
        <v>85</v>
      </c>
      <c r="B131" s="1500"/>
      <c r="C131" s="1500"/>
      <c r="D131" s="1500"/>
      <c r="E131" s="1500"/>
      <c r="F131" s="1500"/>
      <c r="G131" s="1500"/>
      <c r="H131" s="1500"/>
      <c r="I131" s="1500"/>
      <c r="J131" s="1500"/>
    </row>
    <row r="132" spans="1:10" ht="15.6" x14ac:dyDescent="0.3">
      <c r="A132" s="2"/>
    </row>
    <row r="133" spans="1:10" ht="15.6" x14ac:dyDescent="0.3">
      <c r="A133" s="2" t="s">
        <v>80</v>
      </c>
      <c r="C133" s="3"/>
      <c r="D133" s="3"/>
      <c r="E133" s="3"/>
      <c r="F133" s="4"/>
      <c r="G133" s="4"/>
      <c r="H133" s="4"/>
      <c r="I133" s="4"/>
      <c r="J133" s="4"/>
    </row>
    <row r="134" spans="1:10" ht="15.6" x14ac:dyDescent="0.3">
      <c r="A134" s="2" t="s">
        <v>81</v>
      </c>
      <c r="E134" s="5"/>
      <c r="F134" s="6"/>
      <c r="G134" s="6"/>
      <c r="H134" s="6"/>
      <c r="I134" s="6"/>
      <c r="J134" s="6"/>
    </row>
    <row r="135" spans="1:10" ht="15.6" x14ac:dyDescent="0.3">
      <c r="A135" s="2"/>
    </row>
    <row r="136" spans="1:10" s="41" customFormat="1" ht="30" customHeight="1" x14ac:dyDescent="0.3">
      <c r="A136" s="66" t="s">
        <v>1</v>
      </c>
      <c r="B136" s="1441" t="s">
        <v>44</v>
      </c>
      <c r="C136" s="1441"/>
      <c r="D136" s="1441"/>
      <c r="E136" s="1441" t="s">
        <v>45</v>
      </c>
      <c r="F136" s="1441"/>
      <c r="G136" s="1441" t="s">
        <v>46</v>
      </c>
      <c r="H136" s="1441"/>
      <c r="I136" s="1441" t="s">
        <v>102</v>
      </c>
      <c r="J136" s="1441"/>
    </row>
    <row r="137" spans="1:10" s="41" customFormat="1" ht="13.8" x14ac:dyDescent="0.3">
      <c r="A137" s="66">
        <v>1</v>
      </c>
      <c r="B137" s="1441">
        <v>2</v>
      </c>
      <c r="C137" s="1441"/>
      <c r="D137" s="1441"/>
      <c r="E137" s="1441">
        <v>3</v>
      </c>
      <c r="F137" s="1441"/>
      <c r="G137" s="1441">
        <v>4</v>
      </c>
      <c r="H137" s="1441"/>
      <c r="I137" s="1441">
        <v>5</v>
      </c>
      <c r="J137" s="1441"/>
    </row>
    <row r="138" spans="1:10" x14ac:dyDescent="0.3">
      <c r="A138" s="64"/>
      <c r="B138" s="1436"/>
      <c r="C138" s="1436"/>
      <c r="D138" s="1436"/>
      <c r="E138" s="1436"/>
      <c r="F138" s="1436"/>
      <c r="G138" s="1436"/>
      <c r="H138" s="1436"/>
      <c r="I138" s="1436"/>
      <c r="J138" s="1436"/>
    </row>
    <row r="139" spans="1:10" x14ac:dyDescent="0.3">
      <c r="A139" s="64"/>
      <c r="B139" s="1436"/>
      <c r="C139" s="1436"/>
      <c r="D139" s="1436"/>
      <c r="E139" s="1436"/>
      <c r="F139" s="1436"/>
      <c r="G139" s="1436"/>
      <c r="H139" s="1436"/>
      <c r="I139" s="1436"/>
      <c r="J139" s="1436"/>
    </row>
    <row r="140" spans="1:10" x14ac:dyDescent="0.3">
      <c r="A140" s="64"/>
      <c r="B140" s="1435" t="s">
        <v>13</v>
      </c>
      <c r="C140" s="1435"/>
      <c r="D140" s="1435"/>
      <c r="E140" s="1436" t="s">
        <v>14</v>
      </c>
      <c r="F140" s="1436"/>
      <c r="G140" s="1436" t="s">
        <v>14</v>
      </c>
      <c r="H140" s="1436"/>
      <c r="I140" s="1436"/>
      <c r="J140" s="1436"/>
    </row>
    <row r="141" spans="1:10" ht="15.6" x14ac:dyDescent="0.3">
      <c r="A141" s="7"/>
    </row>
    <row r="142" spans="1:10" ht="15.6" x14ac:dyDescent="0.3">
      <c r="A142" s="7"/>
    </row>
    <row r="143" spans="1:10" ht="15.6" x14ac:dyDescent="0.3">
      <c r="A143" s="1450" t="s">
        <v>91</v>
      </c>
      <c r="B143" s="1450"/>
      <c r="C143" s="1450"/>
      <c r="D143" s="1450"/>
      <c r="E143" s="1450"/>
      <c r="F143" s="1450"/>
      <c r="G143" s="1450"/>
      <c r="H143" s="1450"/>
      <c r="I143" s="1450"/>
      <c r="J143" s="1450"/>
    </row>
    <row r="144" spans="1:10" ht="15.6" x14ac:dyDescent="0.3">
      <c r="A144" s="2"/>
    </row>
    <row r="145" spans="1:10" ht="15.6" x14ac:dyDescent="0.3">
      <c r="A145" s="2" t="s">
        <v>80</v>
      </c>
      <c r="C145" s="3"/>
      <c r="D145" s="3"/>
      <c r="E145" s="3"/>
      <c r="F145" s="4"/>
      <c r="G145" s="4"/>
      <c r="H145" s="4"/>
      <c r="I145" s="4"/>
      <c r="J145" s="4"/>
    </row>
    <row r="146" spans="1:10" ht="15.6" x14ac:dyDescent="0.3">
      <c r="A146" s="2" t="s">
        <v>81</v>
      </c>
      <c r="E146" s="5"/>
      <c r="F146" s="6"/>
      <c r="G146" s="5"/>
      <c r="H146" s="6"/>
      <c r="I146" s="6"/>
      <c r="J146" s="6"/>
    </row>
    <row r="147" spans="1:10" ht="15.6" x14ac:dyDescent="0.3">
      <c r="A147" s="2"/>
    </row>
    <row r="148" spans="1:10" s="41" customFormat="1" ht="30" customHeight="1" x14ac:dyDescent="0.3">
      <c r="A148" s="66" t="s">
        <v>1</v>
      </c>
      <c r="B148" s="1441" t="s">
        <v>44</v>
      </c>
      <c r="C148" s="1441"/>
      <c r="D148" s="1441"/>
      <c r="E148" s="1441" t="s">
        <v>45</v>
      </c>
      <c r="F148" s="1441"/>
      <c r="G148" s="1441" t="s">
        <v>46</v>
      </c>
      <c r="H148" s="1441"/>
      <c r="I148" s="1441" t="s">
        <v>102</v>
      </c>
      <c r="J148" s="1441"/>
    </row>
    <row r="149" spans="1:10" s="41" customFormat="1" ht="13.8" x14ac:dyDescent="0.3">
      <c r="A149" s="66">
        <v>1</v>
      </c>
      <c r="B149" s="1441">
        <v>2</v>
      </c>
      <c r="C149" s="1441"/>
      <c r="D149" s="1441"/>
      <c r="E149" s="1441">
        <v>3</v>
      </c>
      <c r="F149" s="1441"/>
      <c r="G149" s="1441">
        <v>4</v>
      </c>
      <c r="H149" s="1441"/>
      <c r="I149" s="1441">
        <v>5</v>
      </c>
      <c r="J149" s="1441"/>
    </row>
    <row r="150" spans="1:10" x14ac:dyDescent="0.3">
      <c r="A150" s="64"/>
      <c r="B150" s="1436"/>
      <c r="C150" s="1436"/>
      <c r="D150" s="1436"/>
      <c r="E150" s="1436"/>
      <c r="F150" s="1436"/>
      <c r="G150" s="1436"/>
      <c r="H150" s="1436"/>
      <c r="I150" s="1436"/>
      <c r="J150" s="1436"/>
    </row>
    <row r="151" spans="1:10" x14ac:dyDescent="0.3">
      <c r="A151" s="64"/>
      <c r="B151" s="1436"/>
      <c r="C151" s="1436"/>
      <c r="D151" s="1436"/>
      <c r="E151" s="1436"/>
      <c r="F151" s="1436"/>
      <c r="G151" s="1436"/>
      <c r="H151" s="1436"/>
      <c r="I151" s="1436"/>
      <c r="J151" s="1436"/>
    </row>
    <row r="152" spans="1:10" x14ac:dyDescent="0.3">
      <c r="A152" s="64"/>
      <c r="B152" s="1435" t="s">
        <v>13</v>
      </c>
      <c r="C152" s="1435"/>
      <c r="D152" s="1435"/>
      <c r="E152" s="1436" t="s">
        <v>14</v>
      </c>
      <c r="F152" s="1436"/>
      <c r="G152" s="1436" t="s">
        <v>14</v>
      </c>
      <c r="H152" s="1436"/>
      <c r="I152" s="1436"/>
      <c r="J152" s="1436"/>
    </row>
    <row r="153" spans="1:10" ht="15.6" x14ac:dyDescent="0.3">
      <c r="A153" s="7"/>
    </row>
    <row r="154" spans="1:10" ht="15.6" x14ac:dyDescent="0.3">
      <c r="A154" s="7"/>
    </row>
    <row r="155" spans="1:10" ht="15.6" x14ac:dyDescent="0.3">
      <c r="A155" s="1450" t="s">
        <v>49</v>
      </c>
      <c r="B155" s="1450"/>
      <c r="C155" s="1450"/>
      <c r="D155" s="1450"/>
      <c r="E155" s="1450"/>
      <c r="F155" s="1450"/>
      <c r="G155" s="1450"/>
      <c r="H155" s="1450"/>
      <c r="I155" s="1450"/>
      <c r="J155" s="1450"/>
    </row>
    <row r="156" spans="1:10" ht="15.6" x14ac:dyDescent="0.3">
      <c r="A156" s="69"/>
      <c r="B156" s="69"/>
      <c r="C156" s="69"/>
      <c r="D156" s="69"/>
      <c r="E156" s="69"/>
      <c r="F156" s="69"/>
      <c r="G156" s="69"/>
      <c r="H156" s="69"/>
      <c r="I156" s="69"/>
      <c r="J156" s="69"/>
    </row>
    <row r="157" spans="1:10" ht="15.6" x14ac:dyDescent="0.3">
      <c r="A157" s="2" t="s">
        <v>80</v>
      </c>
      <c r="C157" s="3">
        <v>244</v>
      </c>
      <c r="D157" s="3"/>
      <c r="E157" s="3"/>
      <c r="F157" s="4"/>
      <c r="G157" s="4"/>
      <c r="H157" s="4"/>
      <c r="I157" s="4"/>
      <c r="J157" s="4"/>
    </row>
    <row r="158" spans="1:10" ht="15.6" x14ac:dyDescent="0.3">
      <c r="A158" s="2" t="s">
        <v>81</v>
      </c>
      <c r="E158" s="5" t="s">
        <v>82</v>
      </c>
      <c r="F158" s="6"/>
      <c r="G158" s="5" t="s">
        <v>195</v>
      </c>
      <c r="H158" s="6"/>
      <c r="I158" s="6"/>
      <c r="J158" s="6"/>
    </row>
    <row r="159" spans="1:10" ht="15.75" customHeight="1" x14ac:dyDescent="0.3">
      <c r="A159" s="7"/>
    </row>
    <row r="160" spans="1:10" ht="15.6" x14ac:dyDescent="0.3">
      <c r="A160" s="1450" t="s">
        <v>301</v>
      </c>
      <c r="B160" s="1450"/>
      <c r="C160" s="1450"/>
      <c r="D160" s="1450"/>
      <c r="E160" s="1450"/>
      <c r="F160" s="1450"/>
      <c r="G160" s="1450"/>
      <c r="H160" s="1450"/>
      <c r="I160" s="1450"/>
      <c r="J160" s="1450"/>
    </row>
    <row r="161" spans="1:10" ht="15.6" x14ac:dyDescent="0.3">
      <c r="A161" s="8"/>
    </row>
    <row r="162" spans="1:10" s="41" customFormat="1" ht="45" customHeight="1" x14ac:dyDescent="0.3">
      <c r="A162" s="66" t="s">
        <v>1</v>
      </c>
      <c r="B162" s="1441" t="s">
        <v>15</v>
      </c>
      <c r="C162" s="1441"/>
      <c r="D162" s="1441"/>
      <c r="E162" s="66" t="s">
        <v>50</v>
      </c>
      <c r="F162" s="66" t="s">
        <v>51</v>
      </c>
      <c r="G162" s="1441" t="s">
        <v>52</v>
      </c>
      <c r="H162" s="1441"/>
      <c r="I162" s="1441" t="s">
        <v>104</v>
      </c>
      <c r="J162" s="1441"/>
    </row>
    <row r="163" spans="1:10" s="41" customFormat="1" ht="13.8" x14ac:dyDescent="0.3">
      <c r="A163" s="66">
        <v>1</v>
      </c>
      <c r="B163" s="1441">
        <v>2</v>
      </c>
      <c r="C163" s="1441"/>
      <c r="D163" s="1441"/>
      <c r="E163" s="66">
        <v>3</v>
      </c>
      <c r="F163" s="66">
        <v>4</v>
      </c>
      <c r="G163" s="1441">
        <v>5</v>
      </c>
      <c r="H163" s="1441"/>
      <c r="I163" s="1441">
        <v>6</v>
      </c>
      <c r="J163" s="1441"/>
    </row>
    <row r="164" spans="1:10" x14ac:dyDescent="0.3">
      <c r="A164" s="64" t="s">
        <v>70</v>
      </c>
      <c r="B164" s="1451" t="s">
        <v>92</v>
      </c>
      <c r="C164" s="1451"/>
      <c r="D164" s="1451"/>
      <c r="E164" s="64"/>
      <c r="F164" s="64">
        <v>12</v>
      </c>
      <c r="G164" s="1499"/>
      <c r="H164" s="1499"/>
      <c r="I164" s="1447">
        <f>E164*F164*G164</f>
        <v>0</v>
      </c>
      <c r="J164" s="1447"/>
    </row>
    <row r="165" spans="1:10" ht="30" customHeight="1" x14ac:dyDescent="0.3">
      <c r="A165" s="64" t="s">
        <v>75</v>
      </c>
      <c r="B165" s="1451" t="s">
        <v>93</v>
      </c>
      <c r="C165" s="1451"/>
      <c r="D165" s="1451"/>
      <c r="E165" s="64"/>
      <c r="F165" s="64">
        <v>12</v>
      </c>
      <c r="G165" s="1499"/>
      <c r="H165" s="1499"/>
      <c r="I165" s="1447">
        <f>E165*F165*G165</f>
        <v>0</v>
      </c>
      <c r="J165" s="1447"/>
    </row>
    <row r="166" spans="1:10" ht="30" customHeight="1" x14ac:dyDescent="0.3">
      <c r="A166" s="64" t="s">
        <v>94</v>
      </c>
      <c r="B166" s="1451" t="s">
        <v>95</v>
      </c>
      <c r="C166" s="1451"/>
      <c r="D166" s="1451"/>
      <c r="E166" s="64">
        <v>1</v>
      </c>
      <c r="F166" s="64">
        <v>12</v>
      </c>
      <c r="G166" s="1498"/>
      <c r="H166" s="1498"/>
      <c r="I166" s="1447">
        <f>E166*F166*G166</f>
        <v>0</v>
      </c>
      <c r="J166" s="1447"/>
    </row>
    <row r="167" spans="1:10" ht="45.75" customHeight="1" x14ac:dyDescent="0.3">
      <c r="A167" s="64" t="s">
        <v>86</v>
      </c>
      <c r="B167" s="1451" t="s">
        <v>96</v>
      </c>
      <c r="C167" s="1451"/>
      <c r="D167" s="1451"/>
      <c r="E167" s="64">
        <v>1</v>
      </c>
      <c r="F167" s="64">
        <v>1</v>
      </c>
      <c r="G167" s="1498"/>
      <c r="H167" s="1498"/>
      <c r="I167" s="1447">
        <f t="shared" ref="I167:I169" si="8">E167*F167*G167</f>
        <v>0</v>
      </c>
      <c r="J167" s="1447"/>
    </row>
    <row r="168" spans="1:10" ht="60" customHeight="1" x14ac:dyDescent="0.3">
      <c r="A168" s="64" t="s">
        <v>87</v>
      </c>
      <c r="B168" s="1451" t="s">
        <v>98</v>
      </c>
      <c r="C168" s="1451"/>
      <c r="D168" s="1451"/>
      <c r="E168" s="64">
        <v>1</v>
      </c>
      <c r="F168" s="64">
        <v>1</v>
      </c>
      <c r="G168" s="1498"/>
      <c r="H168" s="1498"/>
      <c r="I168" s="1447">
        <f t="shared" si="8"/>
        <v>0</v>
      </c>
      <c r="J168" s="1447"/>
    </row>
    <row r="169" spans="1:10" ht="60" customHeight="1" x14ac:dyDescent="0.3">
      <c r="A169" s="64" t="s">
        <v>97</v>
      </c>
      <c r="B169" s="1451" t="s">
        <v>99</v>
      </c>
      <c r="C169" s="1451"/>
      <c r="D169" s="1451"/>
      <c r="E169" s="64">
        <v>1</v>
      </c>
      <c r="F169" s="64">
        <v>1</v>
      </c>
      <c r="G169" s="1498"/>
      <c r="H169" s="1498"/>
      <c r="I169" s="1447">
        <f t="shared" si="8"/>
        <v>0</v>
      </c>
      <c r="J169" s="1447"/>
    </row>
    <row r="170" spans="1:10" ht="30" customHeight="1" x14ac:dyDescent="0.3">
      <c r="A170" s="64" t="s">
        <v>116</v>
      </c>
      <c r="B170" s="1451" t="s">
        <v>199</v>
      </c>
      <c r="C170" s="1451"/>
      <c r="D170" s="1451"/>
      <c r="E170" s="64">
        <v>1</v>
      </c>
      <c r="F170" s="64">
        <v>10</v>
      </c>
      <c r="G170" s="1235"/>
      <c r="H170" s="1235"/>
      <c r="I170" s="1447">
        <f>E170*F170*G170</f>
        <v>0</v>
      </c>
      <c r="J170" s="1447"/>
    </row>
    <row r="171" spans="1:10" x14ac:dyDescent="0.3">
      <c r="A171" s="64"/>
      <c r="B171" s="1451"/>
      <c r="C171" s="1451"/>
      <c r="D171" s="1451"/>
      <c r="E171" s="64"/>
      <c r="F171" s="64"/>
      <c r="G171" s="1436"/>
      <c r="H171" s="1436"/>
      <c r="I171" s="1436"/>
      <c r="J171" s="1436"/>
    </row>
    <row r="172" spans="1:10" x14ac:dyDescent="0.3">
      <c r="A172" s="64"/>
      <c r="B172" s="1435" t="s">
        <v>13</v>
      </c>
      <c r="C172" s="1435"/>
      <c r="D172" s="1435"/>
      <c r="E172" s="64" t="s">
        <v>14</v>
      </c>
      <c r="F172" s="64" t="s">
        <v>14</v>
      </c>
      <c r="G172" s="1436" t="s">
        <v>14</v>
      </c>
      <c r="H172" s="1436"/>
      <c r="I172" s="1448">
        <f>SUM(I164:J171)</f>
        <v>0</v>
      </c>
      <c r="J172" s="1449"/>
    </row>
    <row r="173" spans="1:10" ht="15.6" x14ac:dyDescent="0.3">
      <c r="A173" s="7"/>
    </row>
    <row r="174" spans="1:10" ht="15.6" x14ac:dyDescent="0.3">
      <c r="A174" s="1450" t="s">
        <v>285</v>
      </c>
      <c r="B174" s="1450"/>
      <c r="C174" s="1450"/>
      <c r="D174" s="1450"/>
      <c r="E174" s="1450"/>
      <c r="F174" s="1450"/>
      <c r="G174" s="1450"/>
      <c r="H174" s="1450"/>
      <c r="I174" s="1450"/>
      <c r="J174" s="1450"/>
    </row>
    <row r="175" spans="1:10" ht="15.6" x14ac:dyDescent="0.3">
      <c r="A175" s="8"/>
    </row>
    <row r="176" spans="1:10" s="41" customFormat="1" ht="30" customHeight="1" x14ac:dyDescent="0.3">
      <c r="A176" s="66" t="s">
        <v>1</v>
      </c>
      <c r="B176" s="1441" t="s">
        <v>15</v>
      </c>
      <c r="C176" s="1441"/>
      <c r="D176" s="1441"/>
      <c r="E176" s="1441" t="s">
        <v>53</v>
      </c>
      <c r="F176" s="1441"/>
      <c r="G176" s="1441" t="s">
        <v>54</v>
      </c>
      <c r="H176" s="1441"/>
      <c r="I176" s="1441" t="s">
        <v>264</v>
      </c>
      <c r="J176" s="1441"/>
    </row>
    <row r="177" spans="1:10" s="41" customFormat="1" ht="13.8" x14ac:dyDescent="0.3">
      <c r="A177" s="66">
        <v>1</v>
      </c>
      <c r="B177" s="1441">
        <v>2</v>
      </c>
      <c r="C177" s="1441"/>
      <c r="D177" s="1441"/>
      <c r="E177" s="1441">
        <v>3</v>
      </c>
      <c r="F177" s="1441"/>
      <c r="G177" s="1441">
        <v>4</v>
      </c>
      <c r="H177" s="1441"/>
      <c r="I177" s="1441">
        <v>5</v>
      </c>
      <c r="J177" s="1441"/>
    </row>
    <row r="178" spans="1:10" x14ac:dyDescent="0.3">
      <c r="A178" s="64"/>
      <c r="B178" s="1436"/>
      <c r="C178" s="1436"/>
      <c r="D178" s="1436"/>
      <c r="E178" s="1436"/>
      <c r="F178" s="1436"/>
      <c r="G178" s="1436"/>
      <c r="H178" s="1436"/>
      <c r="I178" s="1436"/>
      <c r="J178" s="1436"/>
    </row>
    <row r="179" spans="1:10" x14ac:dyDescent="0.3">
      <c r="A179" s="64"/>
      <c r="B179" s="1436"/>
      <c r="C179" s="1436"/>
      <c r="D179" s="1436"/>
      <c r="E179" s="1436"/>
      <c r="F179" s="1436"/>
      <c r="G179" s="1436"/>
      <c r="H179" s="1436"/>
      <c r="I179" s="1436"/>
      <c r="J179" s="1436"/>
    </row>
    <row r="180" spans="1:10" x14ac:dyDescent="0.3">
      <c r="A180" s="64"/>
      <c r="B180" s="1435" t="s">
        <v>13</v>
      </c>
      <c r="C180" s="1435"/>
      <c r="D180" s="1435"/>
      <c r="E180" s="1436"/>
      <c r="F180" s="1436"/>
      <c r="G180" s="1436"/>
      <c r="H180" s="1436"/>
      <c r="I180" s="1436"/>
      <c r="J180" s="1436"/>
    </row>
    <row r="181" spans="1:10" ht="15.6" x14ac:dyDescent="0.3">
      <c r="A181" s="7"/>
    </row>
    <row r="182" spans="1:10" ht="15.6" x14ac:dyDescent="0.3">
      <c r="A182" s="1450" t="s">
        <v>281</v>
      </c>
      <c r="B182" s="1450"/>
      <c r="C182" s="1450"/>
      <c r="D182" s="1450"/>
      <c r="E182" s="1450"/>
      <c r="F182" s="1450"/>
      <c r="G182" s="1450"/>
      <c r="H182" s="1450"/>
      <c r="I182" s="1450"/>
      <c r="J182" s="1450"/>
    </row>
    <row r="183" spans="1:10" ht="15.6" x14ac:dyDescent="0.3">
      <c r="A183" s="8"/>
    </row>
    <row r="184" spans="1:10" s="41" customFormat="1" ht="45" customHeight="1" x14ac:dyDescent="0.3">
      <c r="A184" s="66" t="s">
        <v>1</v>
      </c>
      <c r="B184" s="1441" t="s">
        <v>44</v>
      </c>
      <c r="C184" s="1441"/>
      <c r="D184" s="1441"/>
      <c r="E184" s="66" t="s">
        <v>55</v>
      </c>
      <c r="F184" s="1441" t="s">
        <v>56</v>
      </c>
      <c r="G184" s="1441"/>
      <c r="H184" s="66" t="s">
        <v>57</v>
      </c>
      <c r="I184" s="1441" t="s">
        <v>104</v>
      </c>
      <c r="J184" s="1441"/>
    </row>
    <row r="185" spans="1:10" s="41" customFormat="1" ht="13.8" x14ac:dyDescent="0.3">
      <c r="A185" s="66">
        <v>1</v>
      </c>
      <c r="B185" s="1441">
        <v>2</v>
      </c>
      <c r="C185" s="1441"/>
      <c r="D185" s="1441"/>
      <c r="E185" s="66">
        <v>3</v>
      </c>
      <c r="F185" s="1441">
        <v>4</v>
      </c>
      <c r="G185" s="1441"/>
      <c r="H185" s="66">
        <v>5</v>
      </c>
      <c r="I185" s="1441">
        <v>6</v>
      </c>
      <c r="J185" s="1441"/>
    </row>
    <row r="186" spans="1:10" ht="30" customHeight="1" x14ac:dyDescent="0.3">
      <c r="A186" s="72" t="s">
        <v>70</v>
      </c>
      <c r="B186" s="1452" t="s">
        <v>151</v>
      </c>
      <c r="C186" s="1453"/>
      <c r="D186" s="1454"/>
      <c r="E186" s="77">
        <f>E187+E188</f>
        <v>0</v>
      </c>
      <c r="F186" s="9"/>
      <c r="G186" s="9"/>
      <c r="H186" s="10">
        <f>F188/F187-100%</f>
        <v>5.4001501904199944E-2</v>
      </c>
      <c r="I186" s="1496">
        <f>I187+I188</f>
        <v>0</v>
      </c>
      <c r="J186" s="1497"/>
    </row>
    <row r="187" spans="1:10" ht="15" customHeight="1" x14ac:dyDescent="0.3">
      <c r="A187" s="64"/>
      <c r="B187" s="1436" t="s">
        <v>100</v>
      </c>
      <c r="C187" s="1436"/>
      <c r="D187" s="1436"/>
      <c r="E187" s="70"/>
      <c r="F187" s="75">
        <v>1491.44</v>
      </c>
      <c r="G187" s="75">
        <f>F187*1.18</f>
        <v>1759.8992000000001</v>
      </c>
      <c r="H187" s="64"/>
      <c r="I187" s="1447">
        <f>ROUND(E187*G187,2)</f>
        <v>0</v>
      </c>
      <c r="J187" s="1447"/>
    </row>
    <row r="188" spans="1:10" ht="15" customHeight="1" x14ac:dyDescent="0.3">
      <c r="A188" s="64"/>
      <c r="B188" s="1436" t="s">
        <v>101</v>
      </c>
      <c r="C188" s="1436"/>
      <c r="D188" s="1436"/>
      <c r="E188" s="70"/>
      <c r="F188" s="75">
        <v>1571.98</v>
      </c>
      <c r="G188" s="75">
        <f>F188*1.18</f>
        <v>1854.9363999999998</v>
      </c>
      <c r="H188" s="64"/>
      <c r="I188" s="1447">
        <f>ROUND(E188*G188,2)</f>
        <v>0</v>
      </c>
      <c r="J188" s="1447"/>
    </row>
    <row r="189" spans="1:10" ht="29.25" customHeight="1" x14ac:dyDescent="0.3">
      <c r="A189" s="72" t="s">
        <v>75</v>
      </c>
      <c r="B189" s="1452" t="s">
        <v>152</v>
      </c>
      <c r="C189" s="1453"/>
      <c r="D189" s="1454"/>
      <c r="E189" s="77">
        <f>E190+E191</f>
        <v>0</v>
      </c>
      <c r="F189" s="9"/>
      <c r="G189" s="9"/>
      <c r="H189" s="10">
        <f>F191/F190-100%</f>
        <v>5.0501367365542338E-2</v>
      </c>
      <c r="I189" s="1496">
        <f>I190+I191</f>
        <v>0</v>
      </c>
      <c r="J189" s="1497"/>
    </row>
    <row r="190" spans="1:10" ht="15" customHeight="1" x14ac:dyDescent="0.3">
      <c r="A190" s="64"/>
      <c r="B190" s="1436" t="s">
        <v>100</v>
      </c>
      <c r="C190" s="1436"/>
      <c r="D190" s="1436"/>
      <c r="E190" s="70"/>
      <c r="F190" s="75">
        <v>109.7</v>
      </c>
      <c r="G190" s="75">
        <f>F190*1.18</f>
        <v>129.446</v>
      </c>
      <c r="H190" s="64"/>
      <c r="I190" s="1447">
        <f>ROUND(E190*G190,2)</f>
        <v>0</v>
      </c>
      <c r="J190" s="1447"/>
    </row>
    <row r="191" spans="1:10" ht="15" customHeight="1" x14ac:dyDescent="0.3">
      <c r="A191" s="64"/>
      <c r="B191" s="1436" t="s">
        <v>101</v>
      </c>
      <c r="C191" s="1436"/>
      <c r="D191" s="1436"/>
      <c r="E191" s="70"/>
      <c r="F191" s="75">
        <v>115.24</v>
      </c>
      <c r="G191" s="75">
        <f>F191*1.18</f>
        <v>135.98319999999998</v>
      </c>
      <c r="H191" s="64"/>
      <c r="I191" s="1447">
        <f>ROUND(E191*G191,2)</f>
        <v>0</v>
      </c>
      <c r="J191" s="1447"/>
    </row>
    <row r="192" spans="1:10" ht="30" customHeight="1" x14ac:dyDescent="0.3">
      <c r="A192" s="72" t="s">
        <v>77</v>
      </c>
      <c r="B192" s="1452" t="s">
        <v>153</v>
      </c>
      <c r="C192" s="1453"/>
      <c r="D192" s="1454"/>
      <c r="E192" s="77">
        <f>E193+E194</f>
        <v>0</v>
      </c>
      <c r="F192" s="9"/>
      <c r="G192" s="9"/>
      <c r="H192" s="10">
        <f>F194/F193-100%</f>
        <v>4.430538172715881E-2</v>
      </c>
      <c r="I192" s="1496">
        <f>I193+I194</f>
        <v>0</v>
      </c>
      <c r="J192" s="1497"/>
    </row>
    <row r="193" spans="1:10" ht="15" customHeight="1" x14ac:dyDescent="0.3">
      <c r="A193" s="64"/>
      <c r="B193" s="1436" t="s">
        <v>100</v>
      </c>
      <c r="C193" s="1436"/>
      <c r="D193" s="1436"/>
      <c r="E193" s="70"/>
      <c r="F193" s="75">
        <v>39.950000000000003</v>
      </c>
      <c r="G193" s="75">
        <f>F193*1.18</f>
        <v>47.140999999999998</v>
      </c>
      <c r="H193" s="64"/>
      <c r="I193" s="1447">
        <f>ROUND(E193*G193,2)</f>
        <v>0</v>
      </c>
      <c r="J193" s="1447"/>
    </row>
    <row r="194" spans="1:10" ht="15" customHeight="1" x14ac:dyDescent="0.3">
      <c r="A194" s="64"/>
      <c r="B194" s="1436" t="s">
        <v>101</v>
      </c>
      <c r="C194" s="1436"/>
      <c r="D194" s="1436"/>
      <c r="E194" s="70"/>
      <c r="F194" s="75">
        <v>41.72</v>
      </c>
      <c r="G194" s="75">
        <f>F194*1.18</f>
        <v>49.229599999999998</v>
      </c>
      <c r="H194" s="64"/>
      <c r="I194" s="1447">
        <f>ROUND(E194*G194,2)</f>
        <v>0</v>
      </c>
      <c r="J194" s="1447"/>
    </row>
    <row r="195" spans="1:10" ht="29.25" customHeight="1" x14ac:dyDescent="0.3">
      <c r="A195" s="72" t="s">
        <v>86</v>
      </c>
      <c r="B195" s="1452" t="s">
        <v>154</v>
      </c>
      <c r="C195" s="1453"/>
      <c r="D195" s="1454"/>
      <c r="E195" s="77">
        <f>E196+E197</f>
        <v>0</v>
      </c>
      <c r="F195" s="9"/>
      <c r="G195" s="9"/>
      <c r="H195" s="10">
        <f>F197/F196-100%</f>
        <v>5.1196670135275735E-2</v>
      </c>
      <c r="I195" s="1496">
        <f>I196+I197</f>
        <v>0</v>
      </c>
      <c r="J195" s="1497"/>
    </row>
    <row r="196" spans="1:10" ht="15" customHeight="1" x14ac:dyDescent="0.3">
      <c r="A196" s="64"/>
      <c r="B196" s="1436" t="s">
        <v>100</v>
      </c>
      <c r="C196" s="1436"/>
      <c r="D196" s="1436"/>
      <c r="E196" s="70">
        <f>E190+E193</f>
        <v>0</v>
      </c>
      <c r="F196" s="75">
        <v>48.05</v>
      </c>
      <c r="G196" s="75">
        <f>F196*1.18</f>
        <v>56.698999999999991</v>
      </c>
      <c r="H196" s="64"/>
      <c r="I196" s="1447">
        <f>ROUND(E196*G196,2)</f>
        <v>0</v>
      </c>
      <c r="J196" s="1447"/>
    </row>
    <row r="197" spans="1:10" ht="15" customHeight="1" x14ac:dyDescent="0.3">
      <c r="A197" s="64"/>
      <c r="B197" s="1436" t="s">
        <v>101</v>
      </c>
      <c r="C197" s="1436"/>
      <c r="D197" s="1436"/>
      <c r="E197" s="70">
        <f>E191+E194</f>
        <v>0</v>
      </c>
      <c r="F197" s="75">
        <v>50.51</v>
      </c>
      <c r="G197" s="75">
        <f>F197*1.18</f>
        <v>59.601799999999997</v>
      </c>
      <c r="H197" s="64"/>
      <c r="I197" s="1447">
        <f>ROUND(E197*G197,2)</f>
        <v>0</v>
      </c>
      <c r="J197" s="1447"/>
    </row>
    <row r="198" spans="1:10" ht="30" customHeight="1" x14ac:dyDescent="0.3">
      <c r="A198" s="72" t="s">
        <v>87</v>
      </c>
      <c r="B198" s="1452" t="s">
        <v>155</v>
      </c>
      <c r="C198" s="1453"/>
      <c r="D198" s="1454"/>
      <c r="E198" s="77">
        <f>E199+E200</f>
        <v>0</v>
      </c>
      <c r="F198" s="9"/>
      <c r="G198" s="9"/>
      <c r="H198" s="10">
        <f>F200/F199-100%</f>
        <v>-0.10130467674525312</v>
      </c>
      <c r="I198" s="1496">
        <f>I199+I200</f>
        <v>0</v>
      </c>
      <c r="J198" s="1497"/>
    </row>
    <row r="199" spans="1:10" ht="15" customHeight="1" x14ac:dyDescent="0.3">
      <c r="A199" s="64"/>
      <c r="B199" s="1436" t="s">
        <v>100</v>
      </c>
      <c r="C199" s="1436"/>
      <c r="D199" s="1436"/>
      <c r="E199" s="70"/>
      <c r="F199" s="75">
        <v>4837.9799999999996</v>
      </c>
      <c r="G199" s="75">
        <f>F199*1.18</f>
        <v>5708.8163999999988</v>
      </c>
      <c r="H199" s="64"/>
      <c r="I199" s="1447">
        <f>ROUND(E199*G199,2)</f>
        <v>0</v>
      </c>
      <c r="J199" s="1447"/>
    </row>
    <row r="200" spans="1:10" ht="15" customHeight="1" x14ac:dyDescent="0.3">
      <c r="A200" s="64"/>
      <c r="B200" s="1436" t="s">
        <v>101</v>
      </c>
      <c r="C200" s="1436"/>
      <c r="D200" s="1436"/>
      <c r="E200" s="70"/>
      <c r="F200" s="75">
        <v>4347.87</v>
      </c>
      <c r="G200" s="75">
        <f>F200*1.18</f>
        <v>5130.4865999999993</v>
      </c>
      <c r="H200" s="64"/>
      <c r="I200" s="1447">
        <f>ROUND(E200*G200,2)</f>
        <v>0</v>
      </c>
      <c r="J200" s="1447"/>
    </row>
    <row r="201" spans="1:10" ht="15" customHeight="1" x14ac:dyDescent="0.3">
      <c r="A201" s="64"/>
      <c r="B201" s="1436"/>
      <c r="C201" s="1436"/>
      <c r="D201" s="1436"/>
      <c r="E201" s="70"/>
      <c r="F201" s="75"/>
      <c r="G201" s="75"/>
      <c r="H201" s="64"/>
      <c r="I201" s="1436"/>
      <c r="J201" s="1436"/>
    </row>
    <row r="202" spans="1:10" ht="15" customHeight="1" x14ac:dyDescent="0.3">
      <c r="A202" s="64"/>
      <c r="B202" s="1435" t="s">
        <v>13</v>
      </c>
      <c r="C202" s="1435"/>
      <c r="D202" s="1435"/>
      <c r="E202" s="64" t="s">
        <v>14</v>
      </c>
      <c r="F202" s="1436" t="s">
        <v>14</v>
      </c>
      <c r="G202" s="1436"/>
      <c r="H202" s="64" t="s">
        <v>14</v>
      </c>
      <c r="I202" s="1448">
        <f>I186+I189+I192+I195+I198+I201</f>
        <v>0</v>
      </c>
      <c r="J202" s="1449"/>
    </row>
    <row r="203" spans="1:10" ht="15.6" x14ac:dyDescent="0.3">
      <c r="A203" s="7"/>
    </row>
    <row r="204" spans="1:10" ht="15.6" x14ac:dyDescent="0.3">
      <c r="A204" s="1450" t="s">
        <v>286</v>
      </c>
      <c r="B204" s="1450"/>
      <c r="C204" s="1450"/>
      <c r="D204" s="1450"/>
      <c r="E204" s="1450"/>
      <c r="F204" s="1450"/>
      <c r="G204" s="1450"/>
      <c r="H204" s="1450"/>
      <c r="I204" s="1450"/>
      <c r="J204" s="1450"/>
    </row>
    <row r="205" spans="1:10" ht="15.6" x14ac:dyDescent="0.3">
      <c r="A205" s="2"/>
    </row>
    <row r="206" spans="1:10" s="41" customFormat="1" ht="31.5" customHeight="1" x14ac:dyDescent="0.3">
      <c r="A206" s="66" t="s">
        <v>1</v>
      </c>
      <c r="B206" s="1441" t="s">
        <v>44</v>
      </c>
      <c r="C206" s="1441"/>
      <c r="D206" s="1441"/>
      <c r="E206" s="1441" t="s">
        <v>58</v>
      </c>
      <c r="F206" s="1441"/>
      <c r="G206" s="1441" t="s">
        <v>59</v>
      </c>
      <c r="H206" s="1441"/>
      <c r="I206" s="1441" t="s">
        <v>60</v>
      </c>
      <c r="J206" s="1441"/>
    </row>
    <row r="207" spans="1:10" s="41" customFormat="1" ht="13.8" x14ac:dyDescent="0.3">
      <c r="A207" s="66">
        <v>1</v>
      </c>
      <c r="B207" s="1441">
        <v>2</v>
      </c>
      <c r="C207" s="1441"/>
      <c r="D207" s="1441"/>
      <c r="E207" s="1441">
        <v>3</v>
      </c>
      <c r="F207" s="1441"/>
      <c r="G207" s="1441">
        <v>4</v>
      </c>
      <c r="H207" s="1441"/>
      <c r="I207" s="1441">
        <v>5</v>
      </c>
      <c r="J207" s="1441"/>
    </row>
    <row r="208" spans="1:10" ht="15" customHeight="1" x14ac:dyDescent="0.3">
      <c r="A208" s="64"/>
      <c r="B208" s="1470"/>
      <c r="C208" s="1495"/>
      <c r="D208" s="1471"/>
      <c r="E208" s="1436"/>
      <c r="F208" s="1436"/>
      <c r="G208" s="1436"/>
      <c r="H208" s="1436"/>
      <c r="I208" s="1436"/>
      <c r="J208" s="1436"/>
    </row>
    <row r="209" spans="1:12" x14ac:dyDescent="0.3">
      <c r="A209" s="64"/>
      <c r="B209" s="1436"/>
      <c r="C209" s="1436"/>
      <c r="D209" s="1436"/>
      <c r="E209" s="1436"/>
      <c r="F209" s="1436"/>
      <c r="G209" s="1436"/>
      <c r="H209" s="1436"/>
      <c r="I209" s="1436"/>
      <c r="J209" s="1436"/>
    </row>
    <row r="210" spans="1:12" x14ac:dyDescent="0.3">
      <c r="A210" s="64"/>
      <c r="B210" s="1435" t="s">
        <v>13</v>
      </c>
      <c r="C210" s="1435"/>
      <c r="D210" s="1435"/>
      <c r="E210" s="1436" t="s">
        <v>14</v>
      </c>
      <c r="F210" s="1436"/>
      <c r="G210" s="1436" t="s">
        <v>14</v>
      </c>
      <c r="H210" s="1436"/>
      <c r="I210" s="1436"/>
      <c r="J210" s="1436"/>
    </row>
    <row r="211" spans="1:12" ht="15.6" x14ac:dyDescent="0.3">
      <c r="A211" s="7"/>
    </row>
    <row r="212" spans="1:12" ht="15.6" x14ac:dyDescent="0.3">
      <c r="A212" s="1450" t="s">
        <v>282</v>
      </c>
      <c r="B212" s="1450"/>
      <c r="C212" s="1450"/>
      <c r="D212" s="1450"/>
      <c r="E212" s="1450"/>
      <c r="F212" s="1450"/>
      <c r="G212" s="1450"/>
      <c r="H212" s="1450"/>
      <c r="I212" s="1450"/>
      <c r="J212" s="1450"/>
    </row>
    <row r="213" spans="1:12" ht="15.6" x14ac:dyDescent="0.3">
      <c r="A213" s="2"/>
    </row>
    <row r="214" spans="1:12" s="41" customFormat="1" ht="19.5" customHeight="1" x14ac:dyDescent="0.3">
      <c r="A214" s="1485" t="s">
        <v>1</v>
      </c>
      <c r="B214" s="1487" t="s">
        <v>15</v>
      </c>
      <c r="C214" s="1488"/>
      <c r="D214" s="1489"/>
      <c r="E214" s="1485" t="s">
        <v>61</v>
      </c>
      <c r="F214" s="1485" t="s">
        <v>62</v>
      </c>
      <c r="G214" s="1441" t="s">
        <v>63</v>
      </c>
      <c r="H214" s="1441"/>
      <c r="I214" s="1441"/>
      <c r="J214" s="1441"/>
      <c r="K214" s="1237"/>
      <c r="L214" s="1237"/>
    </row>
    <row r="215" spans="1:12" s="41" customFormat="1" ht="30" customHeight="1" x14ac:dyDescent="0.3">
      <c r="A215" s="1486"/>
      <c r="B215" s="1490"/>
      <c r="C215" s="1491"/>
      <c r="D215" s="1492"/>
      <c r="E215" s="1486"/>
      <c r="F215" s="1486"/>
      <c r="G215" s="66" t="s">
        <v>305</v>
      </c>
      <c r="H215" s="66" t="s">
        <v>302</v>
      </c>
      <c r="I215" s="73" t="s">
        <v>303</v>
      </c>
      <c r="J215" s="66" t="s">
        <v>304</v>
      </c>
      <c r="K215" s="42"/>
      <c r="L215" s="43"/>
    </row>
    <row r="216" spans="1:12" s="41" customFormat="1" ht="13.8" x14ac:dyDescent="0.3">
      <c r="A216" s="66">
        <v>1</v>
      </c>
      <c r="B216" s="1441">
        <v>2</v>
      </c>
      <c r="C216" s="1441"/>
      <c r="D216" s="1441"/>
      <c r="E216" s="66">
        <v>3</v>
      </c>
      <c r="F216" s="66">
        <v>4</v>
      </c>
      <c r="G216" s="1467">
        <v>5</v>
      </c>
      <c r="H216" s="1468"/>
      <c r="I216" s="1468"/>
      <c r="J216" s="1469"/>
    </row>
    <row r="217" spans="1:12" ht="44.25" customHeight="1" x14ac:dyDescent="0.3">
      <c r="A217" s="64" t="s">
        <v>70</v>
      </c>
      <c r="B217" s="1451" t="s">
        <v>105</v>
      </c>
      <c r="C217" s="1451"/>
      <c r="D217" s="1451"/>
      <c r="E217" s="64">
        <v>1</v>
      </c>
      <c r="F217" s="64">
        <v>1</v>
      </c>
      <c r="G217" s="64" t="s">
        <v>124</v>
      </c>
      <c r="H217" s="64"/>
      <c r="I217" s="80"/>
      <c r="J217" s="74">
        <f>ROUND(H217*I217,0)</f>
        <v>0</v>
      </c>
      <c r="K217" s="11"/>
      <c r="L217" s="11"/>
    </row>
    <row r="218" spans="1:12" ht="30" customHeight="1" x14ac:dyDescent="0.3">
      <c r="A218" s="64" t="s">
        <v>75</v>
      </c>
      <c r="B218" s="1494" t="s">
        <v>106</v>
      </c>
      <c r="C218" s="1494"/>
      <c r="D218" s="1494"/>
      <c r="E218" s="64">
        <v>1</v>
      </c>
      <c r="F218" s="64">
        <v>1</v>
      </c>
      <c r="G218" s="64" t="s">
        <v>124</v>
      </c>
      <c r="H218" s="64"/>
      <c r="I218" s="80"/>
      <c r="J218" s="74">
        <f t="shared" ref="J218:J234" si="9">ROUND(H218*I218,0)</f>
        <v>0</v>
      </c>
      <c r="K218" s="11"/>
      <c r="L218" s="11"/>
    </row>
    <row r="219" spans="1:12" ht="60" customHeight="1" x14ac:dyDescent="0.3">
      <c r="A219" s="64" t="s">
        <v>77</v>
      </c>
      <c r="B219" s="1494" t="s">
        <v>252</v>
      </c>
      <c r="C219" s="1494"/>
      <c r="D219" s="1494"/>
      <c r="E219" s="64">
        <v>1</v>
      </c>
      <c r="F219" s="64">
        <v>1</v>
      </c>
      <c r="G219" s="64" t="s">
        <v>124</v>
      </c>
      <c r="H219" s="64"/>
      <c r="I219" s="80"/>
      <c r="J219" s="74">
        <f t="shared" si="9"/>
        <v>0</v>
      </c>
      <c r="K219" s="11"/>
      <c r="L219" s="11"/>
    </row>
    <row r="220" spans="1:12" ht="30" customHeight="1" x14ac:dyDescent="0.3">
      <c r="A220" s="64" t="s">
        <v>86</v>
      </c>
      <c r="B220" s="1494" t="s">
        <v>107</v>
      </c>
      <c r="C220" s="1494"/>
      <c r="D220" s="1494"/>
      <c r="E220" s="64">
        <v>1</v>
      </c>
      <c r="F220" s="64">
        <v>1</v>
      </c>
      <c r="G220" s="64" t="s">
        <v>124</v>
      </c>
      <c r="H220" s="64"/>
      <c r="I220" s="80"/>
      <c r="J220" s="74">
        <f t="shared" si="9"/>
        <v>0</v>
      </c>
      <c r="K220" s="11"/>
      <c r="L220" s="11"/>
    </row>
    <row r="221" spans="1:12" ht="45" customHeight="1" x14ac:dyDescent="0.3">
      <c r="A221" s="64" t="s">
        <v>87</v>
      </c>
      <c r="B221" s="1494" t="s">
        <v>108</v>
      </c>
      <c r="C221" s="1494"/>
      <c r="D221" s="1494"/>
      <c r="E221" s="64">
        <v>1</v>
      </c>
      <c r="F221" s="64">
        <v>1</v>
      </c>
      <c r="G221" s="64" t="s">
        <v>124</v>
      </c>
      <c r="H221" s="64"/>
      <c r="I221" s="80"/>
      <c r="J221" s="74">
        <f t="shared" si="9"/>
        <v>0</v>
      </c>
      <c r="K221" s="11"/>
      <c r="L221" s="11"/>
    </row>
    <row r="222" spans="1:12" ht="30" customHeight="1" x14ac:dyDescent="0.3">
      <c r="A222" s="64" t="s">
        <v>97</v>
      </c>
      <c r="B222" s="1494" t="s">
        <v>115</v>
      </c>
      <c r="C222" s="1494"/>
      <c r="D222" s="1494"/>
      <c r="E222" s="64">
        <v>1</v>
      </c>
      <c r="F222" s="64">
        <v>1</v>
      </c>
      <c r="G222" s="64" t="s">
        <v>124</v>
      </c>
      <c r="H222" s="64"/>
      <c r="I222" s="80"/>
      <c r="J222" s="74">
        <f t="shared" si="9"/>
        <v>0</v>
      </c>
      <c r="K222" s="11"/>
      <c r="L222" s="11"/>
    </row>
    <row r="223" spans="1:12" ht="30" customHeight="1" x14ac:dyDescent="0.3">
      <c r="A223" s="64" t="s">
        <v>116</v>
      </c>
      <c r="B223" s="1494" t="s">
        <v>114</v>
      </c>
      <c r="C223" s="1494"/>
      <c r="D223" s="1494"/>
      <c r="E223" s="64">
        <v>1</v>
      </c>
      <c r="F223" s="64">
        <v>1</v>
      </c>
      <c r="G223" s="64" t="s">
        <v>124</v>
      </c>
      <c r="H223" s="64"/>
      <c r="I223" s="80"/>
      <c r="J223" s="74">
        <f t="shared" si="9"/>
        <v>0</v>
      </c>
      <c r="K223" s="11"/>
      <c r="L223" s="11"/>
    </row>
    <row r="224" spans="1:12" ht="30" customHeight="1" x14ac:dyDescent="0.3">
      <c r="A224" s="64" t="s">
        <v>117</v>
      </c>
      <c r="B224" s="1494" t="s">
        <v>109</v>
      </c>
      <c r="C224" s="1494"/>
      <c r="D224" s="1494"/>
      <c r="E224" s="64">
        <v>1</v>
      </c>
      <c r="F224" s="64">
        <v>1</v>
      </c>
      <c r="G224" s="64" t="s">
        <v>124</v>
      </c>
      <c r="H224" s="64"/>
      <c r="I224" s="80"/>
      <c r="J224" s="74">
        <f t="shared" si="9"/>
        <v>0</v>
      </c>
      <c r="K224" s="11"/>
      <c r="L224" s="11"/>
    </row>
    <row r="225" spans="1:12" ht="30" customHeight="1" x14ac:dyDescent="0.3">
      <c r="A225" s="64" t="s">
        <v>118</v>
      </c>
      <c r="B225" s="1494" t="s">
        <v>110</v>
      </c>
      <c r="C225" s="1494"/>
      <c r="D225" s="1494"/>
      <c r="E225" s="64">
        <v>1</v>
      </c>
      <c r="F225" s="64">
        <v>1</v>
      </c>
      <c r="G225" s="64" t="s">
        <v>124</v>
      </c>
      <c r="H225" s="64"/>
      <c r="I225" s="80"/>
      <c r="J225" s="74">
        <f t="shared" si="9"/>
        <v>0</v>
      </c>
      <c r="K225" s="11"/>
      <c r="L225" s="11"/>
    </row>
    <row r="226" spans="1:12" ht="30" customHeight="1" x14ac:dyDescent="0.3">
      <c r="A226" s="64" t="s">
        <v>119</v>
      </c>
      <c r="B226" s="1494" t="s">
        <v>111</v>
      </c>
      <c r="C226" s="1494"/>
      <c r="D226" s="1494"/>
      <c r="E226" s="64">
        <v>1</v>
      </c>
      <c r="F226" s="64">
        <v>1</v>
      </c>
      <c r="G226" s="64" t="s">
        <v>125</v>
      </c>
      <c r="H226" s="64"/>
      <c r="I226" s="80"/>
      <c r="J226" s="74">
        <f t="shared" si="9"/>
        <v>0</v>
      </c>
      <c r="K226" s="11"/>
      <c r="L226" s="11"/>
    </row>
    <row r="227" spans="1:12" ht="45" customHeight="1" x14ac:dyDescent="0.3">
      <c r="A227" s="64" t="s">
        <v>120</v>
      </c>
      <c r="B227" s="1494" t="s">
        <v>253</v>
      </c>
      <c r="C227" s="1494"/>
      <c r="D227" s="1494"/>
      <c r="E227" s="64">
        <v>1</v>
      </c>
      <c r="F227" s="64">
        <v>1</v>
      </c>
      <c r="G227" s="64" t="s">
        <v>123</v>
      </c>
      <c r="H227" s="64"/>
      <c r="I227" s="80"/>
      <c r="J227" s="74">
        <f t="shared" si="9"/>
        <v>0</v>
      </c>
      <c r="K227" s="11"/>
      <c r="L227" s="11"/>
    </row>
    <row r="228" spans="1:12" ht="30" customHeight="1" x14ac:dyDescent="0.3">
      <c r="A228" s="64" t="s">
        <v>121</v>
      </c>
      <c r="B228" s="1451" t="s">
        <v>112</v>
      </c>
      <c r="C228" s="1451"/>
      <c r="D228" s="1451"/>
      <c r="E228" s="64">
        <v>1</v>
      </c>
      <c r="F228" s="64">
        <v>1</v>
      </c>
      <c r="G228" s="64" t="s">
        <v>126</v>
      </c>
      <c r="H228" s="64"/>
      <c r="I228" s="80"/>
      <c r="J228" s="74">
        <f t="shared" si="9"/>
        <v>0</v>
      </c>
      <c r="K228" s="11"/>
      <c r="L228" s="11"/>
    </row>
    <row r="229" spans="1:12" ht="30" customHeight="1" x14ac:dyDescent="0.3">
      <c r="A229" s="64" t="s">
        <v>122</v>
      </c>
      <c r="B229" s="1451" t="s">
        <v>113</v>
      </c>
      <c r="C229" s="1451"/>
      <c r="D229" s="1451"/>
      <c r="E229" s="64">
        <v>1</v>
      </c>
      <c r="F229" s="64">
        <v>1</v>
      </c>
      <c r="G229" s="64" t="s">
        <v>306</v>
      </c>
      <c r="H229" s="64"/>
      <c r="I229" s="80"/>
      <c r="J229" s="74">
        <f t="shared" si="9"/>
        <v>0</v>
      </c>
      <c r="K229" s="11"/>
      <c r="L229" s="11"/>
    </row>
    <row r="230" spans="1:12" ht="30" customHeight="1" x14ac:dyDescent="0.3">
      <c r="A230" s="64" t="s">
        <v>131</v>
      </c>
      <c r="B230" s="1451" t="s">
        <v>127</v>
      </c>
      <c r="C230" s="1451"/>
      <c r="D230" s="1451"/>
      <c r="E230" s="64">
        <v>1</v>
      </c>
      <c r="F230" s="64">
        <v>1</v>
      </c>
      <c r="G230" s="64" t="s">
        <v>306</v>
      </c>
      <c r="H230" s="64"/>
      <c r="I230" s="80"/>
      <c r="J230" s="74">
        <f t="shared" si="9"/>
        <v>0</v>
      </c>
      <c r="K230" s="11"/>
      <c r="L230" s="11"/>
    </row>
    <row r="231" spans="1:12" ht="30" customHeight="1" x14ac:dyDescent="0.3">
      <c r="A231" s="64" t="s">
        <v>132</v>
      </c>
      <c r="B231" s="1451" t="s">
        <v>128</v>
      </c>
      <c r="C231" s="1451"/>
      <c r="D231" s="1451"/>
      <c r="E231" s="64">
        <v>1</v>
      </c>
      <c r="F231" s="64">
        <v>1</v>
      </c>
      <c r="G231" s="64" t="s">
        <v>306</v>
      </c>
      <c r="H231" s="64"/>
      <c r="I231" s="80"/>
      <c r="J231" s="74">
        <f t="shared" si="9"/>
        <v>0</v>
      </c>
      <c r="K231" s="11"/>
      <c r="L231" s="11"/>
    </row>
    <row r="232" spans="1:12" ht="30" customHeight="1" x14ac:dyDescent="0.3">
      <c r="A232" s="64" t="s">
        <v>133</v>
      </c>
      <c r="B232" s="1451" t="s">
        <v>129</v>
      </c>
      <c r="C232" s="1451"/>
      <c r="D232" s="1451"/>
      <c r="E232" s="64">
        <v>1</v>
      </c>
      <c r="F232" s="64">
        <v>1</v>
      </c>
      <c r="G232" s="64" t="s">
        <v>306</v>
      </c>
      <c r="H232" s="64"/>
      <c r="I232" s="80"/>
      <c r="J232" s="74">
        <f t="shared" si="9"/>
        <v>0</v>
      </c>
      <c r="K232" s="11"/>
      <c r="L232" s="11"/>
    </row>
    <row r="233" spans="1:12" ht="30" customHeight="1" x14ac:dyDescent="0.3">
      <c r="A233" s="64" t="s">
        <v>134</v>
      </c>
      <c r="B233" s="1451" t="s">
        <v>130</v>
      </c>
      <c r="C233" s="1451"/>
      <c r="D233" s="1451"/>
      <c r="E233" s="64">
        <v>1</v>
      </c>
      <c r="F233" s="64">
        <v>1</v>
      </c>
      <c r="G233" s="64" t="s">
        <v>306</v>
      </c>
      <c r="H233" s="64"/>
      <c r="I233" s="80"/>
      <c r="J233" s="74">
        <f t="shared" si="9"/>
        <v>0</v>
      </c>
      <c r="K233" s="11"/>
      <c r="L233" s="11"/>
    </row>
    <row r="234" spans="1:12" ht="30" customHeight="1" x14ac:dyDescent="0.3">
      <c r="A234" s="64"/>
      <c r="B234" s="1451"/>
      <c r="C234" s="1451"/>
      <c r="D234" s="1451"/>
      <c r="E234" s="64"/>
      <c r="F234" s="64"/>
      <c r="G234" s="74"/>
      <c r="H234" s="64"/>
      <c r="I234" s="80"/>
      <c r="J234" s="74">
        <f t="shared" si="9"/>
        <v>0</v>
      </c>
      <c r="K234" s="11"/>
      <c r="L234" s="11"/>
    </row>
    <row r="235" spans="1:12" x14ac:dyDescent="0.3">
      <c r="A235" s="64"/>
      <c r="B235" s="1435" t="s">
        <v>13</v>
      </c>
      <c r="C235" s="1435"/>
      <c r="D235" s="1435"/>
      <c r="E235" s="64" t="s">
        <v>14</v>
      </c>
      <c r="F235" s="64" t="s">
        <v>14</v>
      </c>
      <c r="G235" s="1465">
        <f>SUM(J217:J234)</f>
        <v>0</v>
      </c>
      <c r="H235" s="1466"/>
      <c r="I235" s="1466"/>
      <c r="J235" s="1466"/>
      <c r="K235" s="11"/>
      <c r="L235" s="11"/>
    </row>
    <row r="236" spans="1:12" ht="15.6" x14ac:dyDescent="0.3">
      <c r="A236" s="7"/>
    </row>
    <row r="237" spans="1:12" ht="15.6" x14ac:dyDescent="0.3">
      <c r="A237" s="1450" t="s">
        <v>287</v>
      </c>
      <c r="B237" s="1450"/>
      <c r="C237" s="1450"/>
      <c r="D237" s="1450"/>
      <c r="E237" s="1450"/>
      <c r="F237" s="1450"/>
      <c r="G237" s="1450"/>
      <c r="H237" s="1450"/>
      <c r="I237" s="1450"/>
      <c r="J237" s="1450"/>
    </row>
    <row r="238" spans="1:12" ht="15.6" x14ac:dyDescent="0.3">
      <c r="A238" s="2"/>
      <c r="K238" s="1237"/>
      <c r="L238" s="1237"/>
    </row>
    <row r="239" spans="1:12" s="41" customFormat="1" ht="30.75" customHeight="1" x14ac:dyDescent="0.3">
      <c r="A239" s="1485" t="s">
        <v>1</v>
      </c>
      <c r="B239" s="1487" t="s">
        <v>15</v>
      </c>
      <c r="C239" s="1488"/>
      <c r="D239" s="1489"/>
      <c r="E239" s="1487" t="s">
        <v>64</v>
      </c>
      <c r="F239" s="1489"/>
      <c r="G239" s="1441" t="s">
        <v>65</v>
      </c>
      <c r="H239" s="1441"/>
      <c r="I239" s="1441"/>
      <c r="J239" s="1441"/>
      <c r="K239" s="42"/>
      <c r="L239" s="43"/>
    </row>
    <row r="240" spans="1:12" s="41" customFormat="1" ht="30.75" customHeight="1" x14ac:dyDescent="0.3">
      <c r="A240" s="1486"/>
      <c r="B240" s="1490"/>
      <c r="C240" s="1491"/>
      <c r="D240" s="1492"/>
      <c r="E240" s="1490"/>
      <c r="F240" s="1492"/>
      <c r="G240" s="66" t="s">
        <v>305</v>
      </c>
      <c r="H240" s="66" t="s">
        <v>302</v>
      </c>
      <c r="I240" s="66" t="s">
        <v>303</v>
      </c>
      <c r="J240" s="66" t="s">
        <v>304</v>
      </c>
      <c r="K240" s="42"/>
      <c r="L240" s="43"/>
    </row>
    <row r="241" spans="1:12" s="41" customFormat="1" ht="13.8" x14ac:dyDescent="0.3">
      <c r="A241" s="66">
        <v>1</v>
      </c>
      <c r="B241" s="1441">
        <v>2</v>
      </c>
      <c r="C241" s="1441"/>
      <c r="D241" s="1441"/>
      <c r="E241" s="1467">
        <v>3</v>
      </c>
      <c r="F241" s="1469"/>
      <c r="G241" s="1441">
        <v>4</v>
      </c>
      <c r="H241" s="1441"/>
      <c r="I241" s="1441"/>
      <c r="J241" s="1441"/>
    </row>
    <row r="242" spans="1:12" ht="30" customHeight="1" x14ac:dyDescent="0.3">
      <c r="A242" s="64" t="s">
        <v>70</v>
      </c>
      <c r="B242" s="1451" t="s">
        <v>135</v>
      </c>
      <c r="C242" s="1451"/>
      <c r="D242" s="1451"/>
      <c r="E242" s="1470">
        <v>1</v>
      </c>
      <c r="F242" s="1471"/>
      <c r="G242" s="64" t="s">
        <v>124</v>
      </c>
      <c r="H242" s="64"/>
      <c r="I242" s="84"/>
      <c r="J242" s="74">
        <f>ROUND(H242*I242,0)</f>
        <v>0</v>
      </c>
      <c r="K242" s="11"/>
      <c r="L242" s="11"/>
    </row>
    <row r="243" spans="1:12" ht="30" customHeight="1" x14ac:dyDescent="0.3">
      <c r="A243" s="1472" t="s">
        <v>75</v>
      </c>
      <c r="B243" s="1474" t="s">
        <v>144</v>
      </c>
      <c r="C243" s="1475"/>
      <c r="D243" s="1476"/>
      <c r="E243" s="1480">
        <v>1</v>
      </c>
      <c r="F243" s="1481"/>
      <c r="G243" s="64" t="s">
        <v>124</v>
      </c>
      <c r="H243" s="64"/>
      <c r="I243" s="84"/>
      <c r="J243" s="74">
        <f t="shared" ref="J243:J261" si="10">ROUND(H243*I243,0)</f>
        <v>0</v>
      </c>
      <c r="K243" s="1484"/>
      <c r="L243" s="1493"/>
    </row>
    <row r="244" spans="1:12" ht="30" customHeight="1" x14ac:dyDescent="0.3">
      <c r="A244" s="1473"/>
      <c r="B244" s="1477"/>
      <c r="C244" s="1478"/>
      <c r="D244" s="1479"/>
      <c r="E244" s="1482"/>
      <c r="F244" s="1483"/>
      <c r="G244" s="64" t="s">
        <v>124</v>
      </c>
      <c r="H244" s="64"/>
      <c r="I244" s="84"/>
      <c r="J244" s="74">
        <f t="shared" si="10"/>
        <v>0</v>
      </c>
      <c r="K244" s="1484"/>
      <c r="L244" s="1493"/>
    </row>
    <row r="245" spans="1:12" ht="45" customHeight="1" x14ac:dyDescent="0.3">
      <c r="A245" s="64" t="s">
        <v>77</v>
      </c>
      <c r="B245" s="1451" t="s">
        <v>136</v>
      </c>
      <c r="C245" s="1451"/>
      <c r="D245" s="1451"/>
      <c r="E245" s="1470">
        <v>1</v>
      </c>
      <c r="F245" s="1471"/>
      <c r="G245" s="64" t="s">
        <v>124</v>
      </c>
      <c r="H245" s="64"/>
      <c r="I245" s="84"/>
      <c r="J245" s="74">
        <f t="shared" si="10"/>
        <v>0</v>
      </c>
      <c r="K245" s="11"/>
      <c r="L245" s="11"/>
    </row>
    <row r="246" spans="1:12" ht="45" customHeight="1" x14ac:dyDescent="0.3">
      <c r="A246" s="64" t="s">
        <v>86</v>
      </c>
      <c r="B246" s="1451" t="s">
        <v>147</v>
      </c>
      <c r="C246" s="1451"/>
      <c r="D246" s="1451"/>
      <c r="E246" s="1470">
        <v>1</v>
      </c>
      <c r="F246" s="1471"/>
      <c r="G246" s="64" t="s">
        <v>306</v>
      </c>
      <c r="H246" s="64"/>
      <c r="I246" s="84"/>
      <c r="J246" s="74">
        <f t="shared" si="10"/>
        <v>0</v>
      </c>
      <c r="K246" s="11"/>
      <c r="L246" s="11"/>
    </row>
    <row r="247" spans="1:12" ht="45" customHeight="1" x14ac:dyDescent="0.3">
      <c r="A247" s="64" t="s">
        <v>87</v>
      </c>
      <c r="B247" s="1451" t="s">
        <v>148</v>
      </c>
      <c r="C247" s="1451"/>
      <c r="D247" s="1451"/>
      <c r="E247" s="1470">
        <v>1</v>
      </c>
      <c r="F247" s="1471"/>
      <c r="G247" s="64" t="s">
        <v>306</v>
      </c>
      <c r="H247" s="64"/>
      <c r="I247" s="84"/>
      <c r="J247" s="74">
        <f t="shared" si="10"/>
        <v>0</v>
      </c>
      <c r="K247" s="11"/>
      <c r="L247" s="11"/>
    </row>
    <row r="248" spans="1:12" ht="30" customHeight="1" x14ac:dyDescent="0.3">
      <c r="A248" s="64" t="s">
        <v>97</v>
      </c>
      <c r="B248" s="1451" t="s">
        <v>146</v>
      </c>
      <c r="C248" s="1451"/>
      <c r="D248" s="1451"/>
      <c r="E248" s="1470">
        <v>1</v>
      </c>
      <c r="F248" s="1471"/>
      <c r="G248" s="64" t="s">
        <v>123</v>
      </c>
      <c r="H248" s="64"/>
      <c r="I248" s="84"/>
      <c r="J248" s="74">
        <f t="shared" si="10"/>
        <v>0</v>
      </c>
      <c r="K248" s="11"/>
      <c r="L248" s="11"/>
    </row>
    <row r="249" spans="1:12" ht="30" customHeight="1" x14ac:dyDescent="0.3">
      <c r="A249" s="64" t="s">
        <v>116</v>
      </c>
      <c r="B249" s="1451" t="s">
        <v>145</v>
      </c>
      <c r="C249" s="1451"/>
      <c r="D249" s="1451"/>
      <c r="E249" s="1470">
        <v>1</v>
      </c>
      <c r="F249" s="1471"/>
      <c r="G249" s="64" t="s">
        <v>126</v>
      </c>
      <c r="H249" s="64"/>
      <c r="I249" s="84"/>
      <c r="J249" s="74">
        <f t="shared" si="10"/>
        <v>0</v>
      </c>
      <c r="K249" s="11"/>
      <c r="L249" s="11"/>
    </row>
    <row r="250" spans="1:12" ht="30" customHeight="1" x14ac:dyDescent="0.3">
      <c r="A250" s="64" t="s">
        <v>117</v>
      </c>
      <c r="B250" s="1451" t="s">
        <v>137</v>
      </c>
      <c r="C250" s="1451"/>
      <c r="D250" s="1451"/>
      <c r="E250" s="1470">
        <v>1</v>
      </c>
      <c r="F250" s="1471"/>
      <c r="G250" s="64" t="s">
        <v>149</v>
      </c>
      <c r="H250" s="64"/>
      <c r="I250" s="84"/>
      <c r="J250" s="74">
        <f t="shared" si="10"/>
        <v>0</v>
      </c>
      <c r="K250" s="11"/>
      <c r="L250" s="11"/>
    </row>
    <row r="251" spans="1:12" ht="30" customHeight="1" x14ac:dyDescent="0.3">
      <c r="A251" s="64" t="s">
        <v>118</v>
      </c>
      <c r="B251" s="1451" t="s">
        <v>138</v>
      </c>
      <c r="C251" s="1451"/>
      <c r="D251" s="1451"/>
      <c r="E251" s="1470">
        <v>1</v>
      </c>
      <c r="F251" s="1471"/>
      <c r="G251" s="64" t="s">
        <v>306</v>
      </c>
      <c r="H251" s="64"/>
      <c r="I251" s="84"/>
      <c r="J251" s="74">
        <f t="shared" si="10"/>
        <v>0</v>
      </c>
      <c r="K251" s="11"/>
      <c r="L251" s="11"/>
    </row>
    <row r="252" spans="1:12" ht="30" customHeight="1" x14ac:dyDescent="0.3">
      <c r="A252" s="64" t="s">
        <v>119</v>
      </c>
      <c r="B252" s="1451" t="s">
        <v>139</v>
      </c>
      <c r="C252" s="1451"/>
      <c r="D252" s="1451"/>
      <c r="E252" s="1470">
        <v>1</v>
      </c>
      <c r="F252" s="1471"/>
      <c r="G252" s="64" t="s">
        <v>149</v>
      </c>
      <c r="H252" s="64"/>
      <c r="I252" s="84"/>
      <c r="J252" s="74">
        <f t="shared" si="10"/>
        <v>0</v>
      </c>
      <c r="K252" s="11"/>
      <c r="L252" s="11"/>
    </row>
    <row r="253" spans="1:12" ht="30" customHeight="1" x14ac:dyDescent="0.3">
      <c r="A253" s="64" t="s">
        <v>120</v>
      </c>
      <c r="B253" s="1451" t="s">
        <v>140</v>
      </c>
      <c r="C253" s="1451"/>
      <c r="D253" s="1451"/>
      <c r="E253" s="1470">
        <v>1</v>
      </c>
      <c r="F253" s="1471"/>
      <c r="G253" s="64" t="s">
        <v>149</v>
      </c>
      <c r="H253" s="64"/>
      <c r="I253" s="84"/>
      <c r="J253" s="74">
        <f t="shared" si="10"/>
        <v>0</v>
      </c>
      <c r="K253" s="11"/>
      <c r="L253" s="11"/>
    </row>
    <row r="254" spans="1:12" ht="30" customHeight="1" x14ac:dyDescent="0.3">
      <c r="A254" s="64" t="s">
        <v>121</v>
      </c>
      <c r="B254" s="1451" t="s">
        <v>143</v>
      </c>
      <c r="C254" s="1451"/>
      <c r="D254" s="1451"/>
      <c r="E254" s="1470">
        <v>1</v>
      </c>
      <c r="F254" s="1471"/>
      <c r="G254" s="64" t="s">
        <v>149</v>
      </c>
      <c r="H254" s="64"/>
      <c r="I254" s="84"/>
      <c r="J254" s="74">
        <f t="shared" si="10"/>
        <v>0</v>
      </c>
      <c r="K254" s="11"/>
      <c r="L254" s="11"/>
    </row>
    <row r="255" spans="1:12" ht="45" customHeight="1" x14ac:dyDescent="0.3">
      <c r="A255" s="64" t="s">
        <v>122</v>
      </c>
      <c r="B255" s="1451" t="s">
        <v>141</v>
      </c>
      <c r="C255" s="1451"/>
      <c r="D255" s="1451"/>
      <c r="E255" s="1470">
        <v>1</v>
      </c>
      <c r="F255" s="1471"/>
      <c r="G255" s="64" t="s">
        <v>306</v>
      </c>
      <c r="H255" s="64"/>
      <c r="I255" s="84"/>
      <c r="J255" s="74">
        <f t="shared" si="10"/>
        <v>0</v>
      </c>
      <c r="K255" s="11"/>
      <c r="L255" s="11"/>
    </row>
    <row r="256" spans="1:12" ht="30" customHeight="1" x14ac:dyDescent="0.3">
      <c r="A256" s="64" t="s">
        <v>131</v>
      </c>
      <c r="B256" s="1451" t="s">
        <v>142</v>
      </c>
      <c r="C256" s="1451"/>
      <c r="D256" s="1451"/>
      <c r="E256" s="1470">
        <v>1</v>
      </c>
      <c r="F256" s="1471"/>
      <c r="G256" s="64" t="s">
        <v>306</v>
      </c>
      <c r="H256" s="64"/>
      <c r="I256" s="84"/>
      <c r="J256" s="74">
        <f t="shared" si="10"/>
        <v>0</v>
      </c>
      <c r="K256" s="11"/>
      <c r="L256" s="11"/>
    </row>
    <row r="257" spans="1:13" ht="30" customHeight="1" x14ac:dyDescent="0.3">
      <c r="A257" s="64" t="s">
        <v>132</v>
      </c>
      <c r="B257" s="1451" t="s">
        <v>150</v>
      </c>
      <c r="C257" s="1451"/>
      <c r="D257" s="1451"/>
      <c r="E257" s="1470">
        <v>1</v>
      </c>
      <c r="F257" s="1471"/>
      <c r="G257" s="64" t="s">
        <v>306</v>
      </c>
      <c r="H257" s="64"/>
      <c r="I257" s="84"/>
      <c r="J257" s="74">
        <f t="shared" si="10"/>
        <v>0</v>
      </c>
      <c r="K257" s="11"/>
      <c r="L257" s="11"/>
    </row>
    <row r="258" spans="1:13" ht="45" customHeight="1" x14ac:dyDescent="0.3">
      <c r="A258" s="64" t="s">
        <v>133</v>
      </c>
      <c r="B258" s="1451" t="s">
        <v>196</v>
      </c>
      <c r="C258" s="1451"/>
      <c r="D258" s="1451"/>
      <c r="E258" s="1470">
        <v>1</v>
      </c>
      <c r="F258" s="1471"/>
      <c r="G258" s="64" t="s">
        <v>306</v>
      </c>
      <c r="H258" s="64"/>
      <c r="I258" s="84"/>
      <c r="J258" s="74">
        <f t="shared" si="10"/>
        <v>0</v>
      </c>
      <c r="K258" s="11"/>
      <c r="L258" s="11"/>
    </row>
    <row r="259" spans="1:13" ht="30" customHeight="1" x14ac:dyDescent="0.3">
      <c r="A259" s="64" t="s">
        <v>134</v>
      </c>
      <c r="B259" s="1442" t="s">
        <v>198</v>
      </c>
      <c r="C259" s="1443"/>
      <c r="D259" s="1444"/>
      <c r="E259" s="1470">
        <v>1</v>
      </c>
      <c r="F259" s="1471"/>
      <c r="G259" s="64" t="s">
        <v>307</v>
      </c>
      <c r="H259" s="64"/>
      <c r="I259" s="84"/>
      <c r="J259" s="74">
        <f t="shared" si="10"/>
        <v>0</v>
      </c>
      <c r="K259" s="11"/>
      <c r="L259" s="11"/>
    </row>
    <row r="260" spans="1:13" ht="30" customHeight="1" x14ac:dyDescent="0.3">
      <c r="A260" s="64" t="s">
        <v>200</v>
      </c>
      <c r="B260" s="1451" t="s">
        <v>203</v>
      </c>
      <c r="C260" s="1451"/>
      <c r="D260" s="1451"/>
      <c r="E260" s="1470">
        <v>1</v>
      </c>
      <c r="F260" s="1471"/>
      <c r="G260" s="64" t="s">
        <v>202</v>
      </c>
      <c r="H260" s="70"/>
      <c r="I260" s="84">
        <v>201.6</v>
      </c>
      <c r="J260" s="74">
        <f t="shared" si="10"/>
        <v>0</v>
      </c>
      <c r="K260" s="11"/>
      <c r="L260" s="11"/>
    </row>
    <row r="261" spans="1:13" ht="30" customHeight="1" x14ac:dyDescent="0.3">
      <c r="A261" s="64" t="s">
        <v>201</v>
      </c>
      <c r="B261" s="1451" t="s">
        <v>204</v>
      </c>
      <c r="C261" s="1451"/>
      <c r="D261" s="1451"/>
      <c r="E261" s="1470">
        <v>1</v>
      </c>
      <c r="F261" s="1471"/>
      <c r="G261" s="64" t="s">
        <v>202</v>
      </c>
      <c r="H261" s="70"/>
      <c r="I261" s="84">
        <v>44</v>
      </c>
      <c r="J261" s="74">
        <f t="shared" si="10"/>
        <v>0</v>
      </c>
      <c r="K261" s="11"/>
      <c r="L261" s="11"/>
    </row>
    <row r="262" spans="1:13" ht="30" customHeight="1" x14ac:dyDescent="0.3">
      <c r="A262" s="64"/>
      <c r="B262" s="1451"/>
      <c r="C262" s="1451"/>
      <c r="D262" s="1451"/>
      <c r="E262" s="1470"/>
      <c r="F262" s="1471"/>
      <c r="G262" s="64"/>
      <c r="H262" s="70"/>
      <c r="I262" s="85"/>
      <c r="J262" s="74">
        <f>ROUND(F262*G262,0)</f>
        <v>0</v>
      </c>
      <c r="K262" s="11"/>
      <c r="L262" s="11"/>
    </row>
    <row r="263" spans="1:13" ht="15" customHeight="1" x14ac:dyDescent="0.3">
      <c r="A263" s="12"/>
      <c r="B263" s="1462" t="s">
        <v>13</v>
      </c>
      <c r="C263" s="1462"/>
      <c r="D263" s="1462"/>
      <c r="E263" s="1463" t="s">
        <v>14</v>
      </c>
      <c r="F263" s="1464"/>
      <c r="G263" s="1465">
        <f>SUM(J242:J262)</f>
        <v>0</v>
      </c>
      <c r="H263" s="1466"/>
      <c r="I263" s="1466"/>
      <c r="J263" s="1466"/>
      <c r="K263" s="13"/>
      <c r="L263" s="13"/>
    </row>
    <row r="264" spans="1:13" ht="15.6" x14ac:dyDescent="0.3">
      <c r="A264" s="7"/>
    </row>
    <row r="265" spans="1:13" ht="15.6" x14ac:dyDescent="0.3">
      <c r="A265" s="1450" t="s">
        <v>288</v>
      </c>
      <c r="B265" s="1450"/>
      <c r="C265" s="1450"/>
      <c r="D265" s="1450"/>
      <c r="E265" s="1450"/>
      <c r="F265" s="1450"/>
      <c r="G265" s="1450"/>
      <c r="H265" s="1450"/>
      <c r="I265" s="1450"/>
      <c r="J265" s="1450"/>
    </row>
    <row r="266" spans="1:13" ht="15.6" x14ac:dyDescent="0.3">
      <c r="A266" s="2"/>
    </row>
    <row r="267" spans="1:13" s="41" customFormat="1" ht="30" customHeight="1" x14ac:dyDescent="0.3">
      <c r="A267" s="66" t="s">
        <v>1</v>
      </c>
      <c r="B267" s="1467" t="s">
        <v>15</v>
      </c>
      <c r="C267" s="1468"/>
      <c r="D267" s="1469"/>
      <c r="E267" s="1467" t="s">
        <v>58</v>
      </c>
      <c r="F267" s="1469"/>
      <c r="G267" s="1467" t="s">
        <v>66</v>
      </c>
      <c r="H267" s="1469"/>
      <c r="I267" s="1467" t="s">
        <v>264</v>
      </c>
      <c r="J267" s="1469"/>
    </row>
    <row r="268" spans="1:13" s="41" customFormat="1" ht="13.8" x14ac:dyDescent="0.3">
      <c r="A268" s="66">
        <v>1</v>
      </c>
      <c r="B268" s="1441">
        <v>2</v>
      </c>
      <c r="C268" s="1441"/>
      <c r="D268" s="1441"/>
      <c r="E268" s="1441">
        <v>3</v>
      </c>
      <c r="F268" s="1441"/>
      <c r="G268" s="1441">
        <v>4</v>
      </c>
      <c r="H268" s="1441"/>
      <c r="I268" s="1441">
        <v>5</v>
      </c>
      <c r="J268" s="1441"/>
    </row>
    <row r="269" spans="1:13" ht="30" customHeight="1" x14ac:dyDescent="0.3">
      <c r="A269" s="72" t="s">
        <v>70</v>
      </c>
      <c r="B269" s="1452" t="s">
        <v>170</v>
      </c>
      <c r="C269" s="1453"/>
      <c r="D269" s="1454"/>
      <c r="E269" s="81"/>
      <c r="F269" s="81"/>
      <c r="G269" s="1455"/>
      <c r="H269" s="1456"/>
      <c r="I269" s="1457">
        <f>I270</f>
        <v>0</v>
      </c>
      <c r="J269" s="1458"/>
    </row>
    <row r="270" spans="1:13" ht="30" customHeight="1" x14ac:dyDescent="0.3">
      <c r="A270" s="64" t="s">
        <v>27</v>
      </c>
      <c r="B270" s="1459" t="s">
        <v>171</v>
      </c>
      <c r="C270" s="1460"/>
      <c r="D270" s="1461"/>
      <c r="E270" s="68" t="s">
        <v>307</v>
      </c>
      <c r="F270" s="68">
        <v>13</v>
      </c>
      <c r="G270" s="1235" t="s">
        <v>260</v>
      </c>
      <c r="H270" s="1235"/>
      <c r="I270" s="1437"/>
      <c r="J270" s="1438"/>
      <c r="K270" s="14" t="s">
        <v>157</v>
      </c>
    </row>
    <row r="271" spans="1:13" ht="30" customHeight="1" x14ac:dyDescent="0.3">
      <c r="A271" s="72" t="s">
        <v>75</v>
      </c>
      <c r="B271" s="1452" t="s">
        <v>182</v>
      </c>
      <c r="C271" s="1453"/>
      <c r="D271" s="1454"/>
      <c r="E271" s="81"/>
      <c r="F271" s="81"/>
      <c r="G271" s="1455"/>
      <c r="H271" s="1456"/>
      <c r="I271" s="1457">
        <f>SUM(I272:J278)</f>
        <v>0</v>
      </c>
      <c r="J271" s="1458"/>
      <c r="K271" s="14"/>
    </row>
    <row r="272" spans="1:13" ht="30" customHeight="1" x14ac:dyDescent="0.3">
      <c r="A272" s="64" t="s">
        <v>34</v>
      </c>
      <c r="B272" s="1435" t="s">
        <v>193</v>
      </c>
      <c r="C272" s="1435"/>
      <c r="D272" s="1435"/>
      <c r="E272" s="68" t="s">
        <v>308</v>
      </c>
      <c r="F272" s="70">
        <v>1007</v>
      </c>
      <c r="G272" s="1235" t="s">
        <v>260</v>
      </c>
      <c r="H272" s="1235"/>
      <c r="I272" s="1437"/>
      <c r="J272" s="1438"/>
      <c r="K272" s="14" t="s">
        <v>159</v>
      </c>
      <c r="M272" s="82"/>
    </row>
    <row r="273" spans="1:13" ht="30" customHeight="1" x14ac:dyDescent="0.3">
      <c r="A273" s="64" t="s">
        <v>36</v>
      </c>
      <c r="B273" s="1435" t="s">
        <v>194</v>
      </c>
      <c r="C273" s="1435"/>
      <c r="D273" s="1435"/>
      <c r="E273" s="68" t="s">
        <v>308</v>
      </c>
      <c r="F273" s="70">
        <v>1007</v>
      </c>
      <c r="G273" s="1235" t="s">
        <v>260</v>
      </c>
      <c r="H273" s="1235"/>
      <c r="I273" s="1437"/>
      <c r="J273" s="1438"/>
      <c r="K273" s="14" t="s">
        <v>163</v>
      </c>
      <c r="M273" s="82"/>
    </row>
    <row r="274" spans="1:13" ht="30" customHeight="1" x14ac:dyDescent="0.3">
      <c r="A274" s="64" t="s">
        <v>38</v>
      </c>
      <c r="B274" s="1435" t="s">
        <v>183</v>
      </c>
      <c r="C274" s="1435"/>
      <c r="D274" s="1435"/>
      <c r="E274" s="68" t="s">
        <v>308</v>
      </c>
      <c r="F274" s="70">
        <v>1007</v>
      </c>
      <c r="G274" s="1235" t="s">
        <v>260</v>
      </c>
      <c r="H274" s="1235"/>
      <c r="I274" s="1437"/>
      <c r="J274" s="1438"/>
      <c r="K274" s="14" t="s">
        <v>162</v>
      </c>
      <c r="M274" s="82"/>
    </row>
    <row r="275" spans="1:13" ht="30" customHeight="1" x14ac:dyDescent="0.3">
      <c r="A275" s="16" t="s">
        <v>40</v>
      </c>
      <c r="B275" s="1435" t="s">
        <v>184</v>
      </c>
      <c r="C275" s="1435"/>
      <c r="D275" s="1435"/>
      <c r="E275" s="68" t="s">
        <v>308</v>
      </c>
      <c r="F275" s="70">
        <v>1007</v>
      </c>
      <c r="G275" s="1235" t="s">
        <v>260</v>
      </c>
      <c r="H275" s="1235"/>
      <c r="I275" s="1437"/>
      <c r="J275" s="1438"/>
      <c r="K275" s="14" t="s">
        <v>164</v>
      </c>
      <c r="M275" s="82"/>
    </row>
    <row r="276" spans="1:13" ht="30" customHeight="1" x14ac:dyDescent="0.3">
      <c r="A276" s="64" t="s">
        <v>42</v>
      </c>
      <c r="B276" s="1435" t="s">
        <v>185</v>
      </c>
      <c r="C276" s="1435"/>
      <c r="D276" s="1435"/>
      <c r="E276" s="68" t="s">
        <v>308</v>
      </c>
      <c r="F276" s="70">
        <v>1007</v>
      </c>
      <c r="G276" s="1235" t="s">
        <v>260</v>
      </c>
      <c r="H276" s="1235"/>
      <c r="I276" s="1437"/>
      <c r="J276" s="1438"/>
      <c r="K276" s="14" t="s">
        <v>165</v>
      </c>
      <c r="M276" s="82"/>
    </row>
    <row r="277" spans="1:13" ht="30" customHeight="1" x14ac:dyDescent="0.3">
      <c r="A277" s="64" t="s">
        <v>180</v>
      </c>
      <c r="B277" s="1435" t="s">
        <v>186</v>
      </c>
      <c r="C277" s="1435"/>
      <c r="D277" s="1435"/>
      <c r="E277" s="68" t="s">
        <v>308</v>
      </c>
      <c r="F277" s="70">
        <v>1007</v>
      </c>
      <c r="G277" s="1235" t="s">
        <v>260</v>
      </c>
      <c r="H277" s="1235"/>
      <c r="I277" s="1437"/>
      <c r="J277" s="1438"/>
      <c r="K277" s="15" t="s">
        <v>166</v>
      </c>
      <c r="M277" s="82"/>
    </row>
    <row r="278" spans="1:13" ht="30" customHeight="1" x14ac:dyDescent="0.3">
      <c r="A278" s="16" t="s">
        <v>181</v>
      </c>
      <c r="B278" s="1435" t="s">
        <v>192</v>
      </c>
      <c r="C278" s="1435"/>
      <c r="D278" s="1435"/>
      <c r="E278" s="68" t="s">
        <v>308</v>
      </c>
      <c r="F278" s="70">
        <v>1007</v>
      </c>
      <c r="G278" s="1235" t="s">
        <v>260</v>
      </c>
      <c r="H278" s="1235"/>
      <c r="I278" s="1437"/>
      <c r="J278" s="1438"/>
      <c r="K278" s="14" t="s">
        <v>162</v>
      </c>
      <c r="M278" s="82"/>
    </row>
    <row r="279" spans="1:13" x14ac:dyDescent="0.3">
      <c r="A279" s="64"/>
      <c r="B279" s="1435" t="s">
        <v>13</v>
      </c>
      <c r="C279" s="1435"/>
      <c r="D279" s="1435"/>
      <c r="E279" s="1439"/>
      <c r="F279" s="1439"/>
      <c r="G279" s="1436" t="s">
        <v>14</v>
      </c>
      <c r="H279" s="1436"/>
      <c r="I279" s="1448">
        <f>I269+I271</f>
        <v>0</v>
      </c>
      <c r="J279" s="1449"/>
    </row>
    <row r="281" spans="1:13" ht="15.6" x14ac:dyDescent="0.3">
      <c r="A281" s="1450" t="s">
        <v>289</v>
      </c>
      <c r="B281" s="1450"/>
      <c r="C281" s="1450"/>
      <c r="D281" s="1450"/>
      <c r="E281" s="1450"/>
      <c r="F281" s="1450"/>
      <c r="G281" s="1450"/>
      <c r="H281" s="1450"/>
      <c r="I281" s="1450"/>
      <c r="J281" s="1450"/>
    </row>
    <row r="282" spans="1:13" ht="15.6" x14ac:dyDescent="0.3">
      <c r="A282" s="2"/>
    </row>
    <row r="283" spans="1:13" s="41" customFormat="1" ht="30" customHeight="1" x14ac:dyDescent="0.3">
      <c r="A283" s="66" t="s">
        <v>1</v>
      </c>
      <c r="B283" s="1441" t="s">
        <v>15</v>
      </c>
      <c r="C283" s="1441"/>
      <c r="D283" s="1441"/>
      <c r="E283" s="1441" t="s">
        <v>58</v>
      </c>
      <c r="F283" s="1441"/>
      <c r="G283" s="1441" t="s">
        <v>66</v>
      </c>
      <c r="H283" s="1441"/>
      <c r="I283" s="1441" t="s">
        <v>264</v>
      </c>
      <c r="J283" s="1441"/>
    </row>
    <row r="284" spans="1:13" s="41" customFormat="1" ht="13.8" x14ac:dyDescent="0.3">
      <c r="A284" s="66">
        <v>1</v>
      </c>
      <c r="B284" s="1441">
        <v>2</v>
      </c>
      <c r="C284" s="1441"/>
      <c r="D284" s="1441"/>
      <c r="E284" s="1441">
        <v>3</v>
      </c>
      <c r="F284" s="1441"/>
      <c r="G284" s="1441">
        <v>4</v>
      </c>
      <c r="H284" s="1441"/>
      <c r="I284" s="1441">
        <v>5</v>
      </c>
      <c r="J284" s="1441"/>
    </row>
    <row r="285" spans="1:13" ht="30" customHeight="1" x14ac:dyDescent="0.3">
      <c r="A285" s="72" t="s">
        <v>70</v>
      </c>
      <c r="B285" s="1452" t="s">
        <v>172</v>
      </c>
      <c r="C285" s="1453"/>
      <c r="D285" s="1454"/>
      <c r="E285" s="81"/>
      <c r="F285" s="81"/>
      <c r="G285" s="1455"/>
      <c r="H285" s="1456"/>
      <c r="I285" s="1457">
        <f>SUM(I286:J292)</f>
        <v>0</v>
      </c>
      <c r="J285" s="1458"/>
      <c r="K285" s="14"/>
    </row>
    <row r="286" spans="1:13" ht="30" customHeight="1" x14ac:dyDescent="0.3">
      <c r="A286" s="64" t="s">
        <v>27</v>
      </c>
      <c r="B286" s="1435" t="s">
        <v>173</v>
      </c>
      <c r="C286" s="1435"/>
      <c r="D286" s="1435"/>
      <c r="E286" s="68" t="s">
        <v>308</v>
      </c>
      <c r="F286" s="70">
        <v>1007</v>
      </c>
      <c r="G286" s="1235" t="s">
        <v>260</v>
      </c>
      <c r="H286" s="1235"/>
      <c r="I286" s="1437"/>
      <c r="J286" s="1438"/>
      <c r="K286" s="15" t="s">
        <v>158</v>
      </c>
    </row>
    <row r="287" spans="1:13" ht="30" customHeight="1" x14ac:dyDescent="0.3">
      <c r="A287" s="64" t="s">
        <v>29</v>
      </c>
      <c r="B287" s="1435" t="s">
        <v>174</v>
      </c>
      <c r="C287" s="1435"/>
      <c r="D287" s="1435"/>
      <c r="E287" s="68" t="s">
        <v>311</v>
      </c>
      <c r="F287" s="70">
        <v>30</v>
      </c>
      <c r="G287" s="1235" t="s">
        <v>260</v>
      </c>
      <c r="H287" s="1235"/>
      <c r="I287" s="1437"/>
      <c r="J287" s="1438"/>
      <c r="K287" s="14" t="s">
        <v>156</v>
      </c>
    </row>
    <row r="288" spans="1:13" ht="30" customHeight="1" x14ac:dyDescent="0.3">
      <c r="A288" s="16" t="s">
        <v>31</v>
      </c>
      <c r="B288" s="1435" t="s">
        <v>175</v>
      </c>
      <c r="C288" s="1435"/>
      <c r="D288" s="1435"/>
      <c r="E288" s="68" t="s">
        <v>309</v>
      </c>
      <c r="F288" s="70">
        <v>1400</v>
      </c>
      <c r="G288" s="1235" t="s">
        <v>260</v>
      </c>
      <c r="H288" s="1235"/>
      <c r="I288" s="1437"/>
      <c r="J288" s="1438"/>
      <c r="K288" s="14" t="s">
        <v>160</v>
      </c>
    </row>
    <row r="289" spans="1:11" ht="30" customHeight="1" x14ac:dyDescent="0.3">
      <c r="A289" s="64" t="s">
        <v>268</v>
      </c>
      <c r="B289" s="1435" t="s">
        <v>176</v>
      </c>
      <c r="C289" s="1435"/>
      <c r="D289" s="1435"/>
      <c r="E289" s="68" t="s">
        <v>310</v>
      </c>
      <c r="F289" s="83">
        <v>19887.2</v>
      </c>
      <c r="G289" s="1235" t="s">
        <v>260</v>
      </c>
      <c r="H289" s="1235"/>
      <c r="I289" s="1437"/>
      <c r="J289" s="1438"/>
      <c r="K289" s="14" t="s">
        <v>159</v>
      </c>
    </row>
    <row r="290" spans="1:11" ht="30" customHeight="1" x14ac:dyDescent="0.3">
      <c r="A290" s="64" t="s">
        <v>269</v>
      </c>
      <c r="B290" s="1435" t="s">
        <v>177</v>
      </c>
      <c r="C290" s="1435"/>
      <c r="D290" s="1435"/>
      <c r="E290" s="68" t="s">
        <v>310</v>
      </c>
      <c r="F290" s="83">
        <v>19887.2</v>
      </c>
      <c r="G290" s="1235" t="s">
        <v>260</v>
      </c>
      <c r="H290" s="1235"/>
      <c r="I290" s="1437"/>
      <c r="J290" s="1438"/>
      <c r="K290" s="14" t="s">
        <v>156</v>
      </c>
    </row>
    <row r="291" spans="1:11" ht="30" customHeight="1" x14ac:dyDescent="0.3">
      <c r="A291" s="64" t="s">
        <v>283</v>
      </c>
      <c r="B291" s="1435" t="s">
        <v>178</v>
      </c>
      <c r="C291" s="1435"/>
      <c r="D291" s="1435"/>
      <c r="E291" s="68" t="s">
        <v>311</v>
      </c>
      <c r="F291" s="70">
        <v>10</v>
      </c>
      <c r="G291" s="1235" t="s">
        <v>260</v>
      </c>
      <c r="H291" s="1235"/>
      <c r="I291" s="1437"/>
      <c r="J291" s="1438"/>
      <c r="K291" s="14" t="s">
        <v>161</v>
      </c>
    </row>
    <row r="292" spans="1:11" ht="30" customHeight="1" x14ac:dyDescent="0.3">
      <c r="A292" s="16" t="s">
        <v>284</v>
      </c>
      <c r="B292" s="1435" t="s">
        <v>179</v>
      </c>
      <c r="C292" s="1435"/>
      <c r="D292" s="1435"/>
      <c r="E292" s="68" t="s">
        <v>310</v>
      </c>
      <c r="F292" s="83">
        <v>19887.2</v>
      </c>
      <c r="G292" s="1235" t="s">
        <v>260</v>
      </c>
      <c r="H292" s="1235"/>
      <c r="I292" s="1437"/>
      <c r="J292" s="1438"/>
      <c r="K292" s="14" t="s">
        <v>162</v>
      </c>
    </row>
    <row r="293" spans="1:11" ht="30" customHeight="1" x14ac:dyDescent="0.3">
      <c r="A293" s="72" t="s">
        <v>75</v>
      </c>
      <c r="B293" s="1452" t="s">
        <v>187</v>
      </c>
      <c r="C293" s="1453"/>
      <c r="D293" s="1454"/>
      <c r="E293" s="81"/>
      <c r="F293" s="81"/>
      <c r="G293" s="1455"/>
      <c r="H293" s="1456"/>
      <c r="I293" s="1457">
        <f>SUM(I294:J297)</f>
        <v>0</v>
      </c>
      <c r="J293" s="1458"/>
      <c r="K293" s="14"/>
    </row>
    <row r="294" spans="1:11" ht="30" customHeight="1" x14ac:dyDescent="0.3">
      <c r="A294" s="64" t="s">
        <v>34</v>
      </c>
      <c r="B294" s="1435" t="s">
        <v>188</v>
      </c>
      <c r="C294" s="1435"/>
      <c r="D294" s="1435"/>
      <c r="E294" s="68" t="s">
        <v>308</v>
      </c>
      <c r="F294" s="70">
        <v>1007</v>
      </c>
      <c r="G294" s="1235" t="s">
        <v>260</v>
      </c>
      <c r="H294" s="1235"/>
      <c r="I294" s="1437"/>
      <c r="J294" s="1438"/>
      <c r="K294" s="14" t="s">
        <v>164</v>
      </c>
    </row>
    <row r="295" spans="1:11" ht="45" customHeight="1" x14ac:dyDescent="0.3">
      <c r="A295" s="64" t="s">
        <v>36</v>
      </c>
      <c r="B295" s="1435" t="s">
        <v>189</v>
      </c>
      <c r="C295" s="1435"/>
      <c r="D295" s="1435"/>
      <c r="E295" s="68" t="s">
        <v>308</v>
      </c>
      <c r="F295" s="70">
        <v>1007</v>
      </c>
      <c r="G295" s="1235" t="s">
        <v>260</v>
      </c>
      <c r="H295" s="1235"/>
      <c r="I295" s="1437"/>
      <c r="J295" s="1438"/>
      <c r="K295" s="15" t="s">
        <v>167</v>
      </c>
    </row>
    <row r="296" spans="1:11" ht="30" customHeight="1" x14ac:dyDescent="0.3">
      <c r="A296" s="64" t="s">
        <v>38</v>
      </c>
      <c r="B296" s="1435" t="s">
        <v>190</v>
      </c>
      <c r="C296" s="1435"/>
      <c r="D296" s="1435"/>
      <c r="E296" s="68" t="s">
        <v>308</v>
      </c>
      <c r="F296" s="70">
        <v>1007</v>
      </c>
      <c r="G296" s="1235" t="s">
        <v>260</v>
      </c>
      <c r="H296" s="1235"/>
      <c r="I296" s="1437"/>
      <c r="J296" s="1438"/>
      <c r="K296" s="15" t="s">
        <v>169</v>
      </c>
    </row>
    <row r="297" spans="1:11" ht="30" customHeight="1" x14ac:dyDescent="0.3">
      <c r="A297" s="16" t="s">
        <v>40</v>
      </c>
      <c r="B297" s="1435" t="s">
        <v>191</v>
      </c>
      <c r="C297" s="1435"/>
      <c r="D297" s="1435"/>
      <c r="E297" s="68" t="s">
        <v>308</v>
      </c>
      <c r="F297" s="70">
        <v>1007</v>
      </c>
      <c r="G297" s="1235" t="s">
        <v>260</v>
      </c>
      <c r="H297" s="1235"/>
      <c r="I297" s="1437"/>
      <c r="J297" s="1438"/>
      <c r="K297" s="14" t="s">
        <v>168</v>
      </c>
    </row>
    <row r="298" spans="1:11" ht="30" customHeight="1" x14ac:dyDescent="0.3">
      <c r="A298" s="64"/>
      <c r="B298" s="1451"/>
      <c r="C298" s="1451"/>
      <c r="D298" s="1451"/>
      <c r="E298" s="68"/>
      <c r="F298" s="70"/>
      <c r="G298" s="1436"/>
      <c r="H298" s="1436"/>
      <c r="I298" s="1437"/>
      <c r="J298" s="1438"/>
      <c r="K298" s="14"/>
    </row>
    <row r="299" spans="1:11" x14ac:dyDescent="0.3">
      <c r="A299" s="64"/>
      <c r="B299" s="1435" t="s">
        <v>13</v>
      </c>
      <c r="C299" s="1435"/>
      <c r="D299" s="1435"/>
      <c r="E299" s="1439"/>
      <c r="F299" s="1439"/>
      <c r="G299" s="1436" t="s">
        <v>14</v>
      </c>
      <c r="H299" s="1436"/>
      <c r="I299" s="1448">
        <f>I285+I293</f>
        <v>0</v>
      </c>
      <c r="J299" s="1449"/>
    </row>
    <row r="301" spans="1:11" ht="15.6" x14ac:dyDescent="0.3">
      <c r="A301" s="1450" t="s">
        <v>290</v>
      </c>
      <c r="B301" s="1450"/>
      <c r="C301" s="1450"/>
      <c r="D301" s="1450"/>
      <c r="E301" s="1450"/>
      <c r="F301" s="1450"/>
      <c r="G301" s="1450"/>
      <c r="H301" s="1450"/>
      <c r="I301" s="1450"/>
      <c r="J301" s="1450"/>
    </row>
    <row r="302" spans="1:11" ht="15.6" x14ac:dyDescent="0.3">
      <c r="A302" s="2"/>
    </row>
    <row r="303" spans="1:11" s="41" customFormat="1" ht="30" customHeight="1" x14ac:dyDescent="0.3">
      <c r="A303" s="66" t="s">
        <v>1</v>
      </c>
      <c r="B303" s="1441" t="s">
        <v>15</v>
      </c>
      <c r="C303" s="1441"/>
      <c r="D303" s="1441"/>
      <c r="E303" s="1441" t="s">
        <v>58</v>
      </c>
      <c r="F303" s="1441"/>
      <c r="G303" s="1441" t="s">
        <v>66</v>
      </c>
      <c r="H303" s="1441"/>
      <c r="I303" s="1441" t="s">
        <v>264</v>
      </c>
      <c r="J303" s="1441"/>
    </row>
    <row r="304" spans="1:11" s="41" customFormat="1" ht="13.8" x14ac:dyDescent="0.3">
      <c r="A304" s="66">
        <v>1</v>
      </c>
      <c r="B304" s="1441">
        <v>2</v>
      </c>
      <c r="C304" s="1441"/>
      <c r="D304" s="1441"/>
      <c r="E304" s="1441">
        <v>3</v>
      </c>
      <c r="F304" s="1441"/>
      <c r="G304" s="1441">
        <v>4</v>
      </c>
      <c r="H304" s="1441"/>
      <c r="I304" s="1441">
        <v>5</v>
      </c>
      <c r="J304" s="1441"/>
    </row>
    <row r="305" spans="1:11" ht="45" customHeight="1" x14ac:dyDescent="0.3">
      <c r="A305" s="79" t="s">
        <v>70</v>
      </c>
      <c r="B305" s="1442" t="s">
        <v>197</v>
      </c>
      <c r="C305" s="1443"/>
      <c r="D305" s="1444"/>
      <c r="E305" s="68" t="s">
        <v>307</v>
      </c>
      <c r="F305" s="70"/>
      <c r="G305" s="1445"/>
      <c r="H305" s="1446"/>
      <c r="I305" s="1447">
        <f>F305*G305</f>
        <v>0</v>
      </c>
      <c r="J305" s="1447"/>
      <c r="K305" s="14"/>
    </row>
    <row r="306" spans="1:11" ht="30" customHeight="1" x14ac:dyDescent="0.3">
      <c r="A306" s="64"/>
      <c r="B306" s="1435"/>
      <c r="C306" s="1435"/>
      <c r="D306" s="1435"/>
      <c r="E306" s="68"/>
      <c r="F306" s="70"/>
      <c r="G306" s="1436"/>
      <c r="H306" s="1436"/>
      <c r="I306" s="1437"/>
      <c r="J306" s="1438"/>
      <c r="K306" s="15"/>
    </row>
    <row r="307" spans="1:11" ht="30" customHeight="1" x14ac:dyDescent="0.3">
      <c r="A307" s="64"/>
      <c r="B307" s="1435" t="s">
        <v>13</v>
      </c>
      <c r="C307" s="1435"/>
      <c r="D307" s="1435"/>
      <c r="E307" s="1439"/>
      <c r="F307" s="1439"/>
      <c r="G307" s="1436" t="s">
        <v>14</v>
      </c>
      <c r="H307" s="1436"/>
      <c r="I307" s="1440">
        <f>SUM(I305:J306)</f>
        <v>0</v>
      </c>
      <c r="J307" s="1440"/>
      <c r="K307" s="14"/>
    </row>
    <row r="312" spans="1:11" x14ac:dyDescent="0.3">
      <c r="H312" s="40" t="s">
        <v>212</v>
      </c>
      <c r="I312" s="1433">
        <f>J60+I73+I81+I100+I114+I128+I140+I152+I172+I180+I202+I210+G235+G263+I279+I299+I307</f>
        <v>0</v>
      </c>
      <c r="J312" s="1433"/>
    </row>
    <row r="313" spans="1:11" x14ac:dyDescent="0.3">
      <c r="H313" s="39" t="s">
        <v>248</v>
      </c>
    </row>
    <row r="314" spans="1:11" x14ac:dyDescent="0.3">
      <c r="H314" s="39" t="s">
        <v>82</v>
      </c>
      <c r="I314" s="1434">
        <f>I73+I81+I128+I164+I165+I166+I167+I168+I169+I202+G235+J242+J243+J244+J245+J246+J247+J248+J249+J250+J251+J252+J253+J254+J255+J256+J257+I269+I285</f>
        <v>0</v>
      </c>
      <c r="J314" s="1434"/>
    </row>
    <row r="315" spans="1:11" x14ac:dyDescent="0.3">
      <c r="H315" s="39" t="s">
        <v>249</v>
      </c>
      <c r="I315" s="1434">
        <f>J60+I100+I170+J258+J259+I271+I293+I307</f>
        <v>0</v>
      </c>
      <c r="J315" s="1434"/>
    </row>
    <row r="316" spans="1:11" x14ac:dyDescent="0.3">
      <c r="H316" s="39" t="s">
        <v>250</v>
      </c>
      <c r="I316" s="1434">
        <f>J260</f>
        <v>0</v>
      </c>
      <c r="J316" s="1434"/>
    </row>
    <row r="317" spans="1:11" x14ac:dyDescent="0.3">
      <c r="H317" s="39" t="s">
        <v>251</v>
      </c>
      <c r="I317" s="1434">
        <f>J261</f>
        <v>0</v>
      </c>
      <c r="J317" s="1434"/>
    </row>
    <row r="318" spans="1:11" x14ac:dyDescent="0.3">
      <c r="H318" s="39"/>
    </row>
    <row r="320" spans="1:11" ht="15.75" customHeight="1" x14ac:dyDescent="0.3">
      <c r="C320" s="54" t="s">
        <v>261</v>
      </c>
      <c r="D320" s="55"/>
      <c r="E320" s="56"/>
      <c r="F320" s="56"/>
      <c r="G320" s="57"/>
    </row>
    <row r="321" spans="2:7" ht="15.75" customHeight="1" x14ac:dyDescent="0.3">
      <c r="C321" s="58"/>
    </row>
    <row r="322" spans="2:7" ht="15.75" customHeight="1" x14ac:dyDescent="0.3">
      <c r="C322" s="54" t="s">
        <v>262</v>
      </c>
      <c r="D322" s="55"/>
      <c r="E322" s="56"/>
      <c r="F322" s="56"/>
      <c r="G322" s="57"/>
    </row>
    <row r="323" spans="2:7" ht="15.75" customHeight="1" x14ac:dyDescent="0.3">
      <c r="C323" s="58"/>
    </row>
    <row r="324" spans="2:7" ht="15.75" customHeight="1" x14ac:dyDescent="0.3">
      <c r="C324" s="58" t="s">
        <v>265</v>
      </c>
      <c r="D324" s="4"/>
      <c r="E324" s="4"/>
      <c r="F324" s="4"/>
    </row>
    <row r="326" spans="2:7" x14ac:dyDescent="0.3">
      <c r="B326" s="1" t="s">
        <v>263</v>
      </c>
    </row>
  </sheetData>
  <mergeCells count="531">
    <mergeCell ref="A1:J1"/>
    <mergeCell ref="A3:J3"/>
    <mergeCell ref="A5:J5"/>
    <mergeCell ref="A9:J9"/>
    <mergeCell ref="A14:J14"/>
    <mergeCell ref="A16:A18"/>
    <mergeCell ref="B16:B18"/>
    <mergeCell ref="C16:C18"/>
    <mergeCell ref="D16:G16"/>
    <mergeCell ref="H16:H18"/>
    <mergeCell ref="A60:B60"/>
    <mergeCell ref="A62:J62"/>
    <mergeCell ref="B64:D64"/>
    <mergeCell ref="E64:F64"/>
    <mergeCell ref="I64:J64"/>
    <mergeCell ref="B65:D65"/>
    <mergeCell ref="E65:F65"/>
    <mergeCell ref="I65:J65"/>
    <mergeCell ref="I16:I18"/>
    <mergeCell ref="J16:J18"/>
    <mergeCell ref="D17:D18"/>
    <mergeCell ref="E17:G17"/>
    <mergeCell ref="A58:B58"/>
    <mergeCell ref="A59:I59"/>
    <mergeCell ref="B68:D68"/>
    <mergeCell ref="E68:F68"/>
    <mergeCell ref="I68:J68"/>
    <mergeCell ref="B69:D69"/>
    <mergeCell ref="E69:F69"/>
    <mergeCell ref="I69:J69"/>
    <mergeCell ref="B66:D66"/>
    <mergeCell ref="E66:F66"/>
    <mergeCell ref="I66:J66"/>
    <mergeCell ref="B67:D67"/>
    <mergeCell ref="E67:F67"/>
    <mergeCell ref="I67:J67"/>
    <mergeCell ref="B72:D72"/>
    <mergeCell ref="E72:F72"/>
    <mergeCell ref="I72:J72"/>
    <mergeCell ref="B73:D73"/>
    <mergeCell ref="E73:F73"/>
    <mergeCell ref="I73:J73"/>
    <mergeCell ref="B70:D70"/>
    <mergeCell ref="E70:F70"/>
    <mergeCell ref="I70:J70"/>
    <mergeCell ref="B71:D71"/>
    <mergeCell ref="E71:F71"/>
    <mergeCell ref="I71:J71"/>
    <mergeCell ref="B79:D79"/>
    <mergeCell ref="E79:F79"/>
    <mergeCell ref="I79:J79"/>
    <mergeCell ref="B80:D80"/>
    <mergeCell ref="E80:F80"/>
    <mergeCell ref="I80:J80"/>
    <mergeCell ref="A75:J75"/>
    <mergeCell ref="B77:D77"/>
    <mergeCell ref="E77:F77"/>
    <mergeCell ref="I77:J77"/>
    <mergeCell ref="B78:D78"/>
    <mergeCell ref="E78:F78"/>
    <mergeCell ref="I78:J78"/>
    <mergeCell ref="B86:F86"/>
    <mergeCell ref="G86:H86"/>
    <mergeCell ref="I86:J86"/>
    <mergeCell ref="B87:F87"/>
    <mergeCell ref="G87:H87"/>
    <mergeCell ref="I87:J87"/>
    <mergeCell ref="B81:D81"/>
    <mergeCell ref="E81:F81"/>
    <mergeCell ref="I81:J81"/>
    <mergeCell ref="A83:J83"/>
    <mergeCell ref="B85:F85"/>
    <mergeCell ref="G85:H85"/>
    <mergeCell ref="I85:J85"/>
    <mergeCell ref="B90:F90"/>
    <mergeCell ref="G90:H90"/>
    <mergeCell ref="I90:J90"/>
    <mergeCell ref="B91:F91"/>
    <mergeCell ref="G91:H91"/>
    <mergeCell ref="I91:J91"/>
    <mergeCell ref="B88:F88"/>
    <mergeCell ref="G88:H88"/>
    <mergeCell ref="I88:J88"/>
    <mergeCell ref="B89:F89"/>
    <mergeCell ref="G89:H89"/>
    <mergeCell ref="I89:J89"/>
    <mergeCell ref="B94:F94"/>
    <mergeCell ref="G94:H94"/>
    <mergeCell ref="I94:J94"/>
    <mergeCell ref="B95:F95"/>
    <mergeCell ref="G95:H95"/>
    <mergeCell ref="I95:J95"/>
    <mergeCell ref="B92:F92"/>
    <mergeCell ref="G92:H92"/>
    <mergeCell ref="I92:J92"/>
    <mergeCell ref="B93:F93"/>
    <mergeCell ref="G93:H93"/>
    <mergeCell ref="I93:J93"/>
    <mergeCell ref="B98:F98"/>
    <mergeCell ref="G98:H98"/>
    <mergeCell ref="I98:J98"/>
    <mergeCell ref="B99:F99"/>
    <mergeCell ref="G99:H99"/>
    <mergeCell ref="I99:J99"/>
    <mergeCell ref="B96:F96"/>
    <mergeCell ref="G96:H96"/>
    <mergeCell ref="I96:J96"/>
    <mergeCell ref="B97:F97"/>
    <mergeCell ref="G97:H97"/>
    <mergeCell ref="I97:J97"/>
    <mergeCell ref="B100:F100"/>
    <mergeCell ref="G100:H100"/>
    <mergeCell ref="I100:J100"/>
    <mergeCell ref="A102:J102"/>
    <mergeCell ref="A105:J105"/>
    <mergeCell ref="B110:D110"/>
    <mergeCell ref="E110:F110"/>
    <mergeCell ref="G110:H110"/>
    <mergeCell ref="I110:J110"/>
    <mergeCell ref="B113:D113"/>
    <mergeCell ref="E113:F113"/>
    <mergeCell ref="G113:H113"/>
    <mergeCell ref="I113:J113"/>
    <mergeCell ref="B114:D114"/>
    <mergeCell ref="E114:F114"/>
    <mergeCell ref="G114:H114"/>
    <mergeCell ref="I114:J114"/>
    <mergeCell ref="B111:D111"/>
    <mergeCell ref="E111:F111"/>
    <mergeCell ref="G111:H111"/>
    <mergeCell ref="I111:J111"/>
    <mergeCell ref="B112:D112"/>
    <mergeCell ref="E112:F112"/>
    <mergeCell ref="G112:H112"/>
    <mergeCell ref="I112:J112"/>
    <mergeCell ref="A117:J117"/>
    <mergeCell ref="B122:D122"/>
    <mergeCell ref="E122:F122"/>
    <mergeCell ref="G122:H122"/>
    <mergeCell ref="I122:J122"/>
    <mergeCell ref="B123:D123"/>
    <mergeCell ref="E123:F123"/>
    <mergeCell ref="G123:H123"/>
    <mergeCell ref="I123:J123"/>
    <mergeCell ref="B126:D126"/>
    <mergeCell ref="E126:F126"/>
    <mergeCell ref="G126:H126"/>
    <mergeCell ref="I126:J126"/>
    <mergeCell ref="B127:D127"/>
    <mergeCell ref="E127:F127"/>
    <mergeCell ref="G127:H127"/>
    <mergeCell ref="I127:J127"/>
    <mergeCell ref="B124:D124"/>
    <mergeCell ref="E124:F124"/>
    <mergeCell ref="G124:H124"/>
    <mergeCell ref="I124:J124"/>
    <mergeCell ref="B125:D125"/>
    <mergeCell ref="E125:F125"/>
    <mergeCell ref="G125:H125"/>
    <mergeCell ref="I125:J125"/>
    <mergeCell ref="B128:D128"/>
    <mergeCell ref="E128:F128"/>
    <mergeCell ref="G128:H128"/>
    <mergeCell ref="I128:J128"/>
    <mergeCell ref="A131:J131"/>
    <mergeCell ref="B136:D136"/>
    <mergeCell ref="E136:F136"/>
    <mergeCell ref="G136:H136"/>
    <mergeCell ref="I136:J136"/>
    <mergeCell ref="B139:D139"/>
    <mergeCell ref="E139:F139"/>
    <mergeCell ref="G139:H139"/>
    <mergeCell ref="I139:J139"/>
    <mergeCell ref="B140:D140"/>
    <mergeCell ref="E140:F140"/>
    <mergeCell ref="G140:H140"/>
    <mergeCell ref="I140:J140"/>
    <mergeCell ref="B137:D137"/>
    <mergeCell ref="E137:F137"/>
    <mergeCell ref="G137:H137"/>
    <mergeCell ref="I137:J137"/>
    <mergeCell ref="B138:D138"/>
    <mergeCell ref="E138:F138"/>
    <mergeCell ref="G138:H138"/>
    <mergeCell ref="I138:J138"/>
    <mergeCell ref="B150:D150"/>
    <mergeCell ref="E150:F150"/>
    <mergeCell ref="G150:H150"/>
    <mergeCell ref="I150:J150"/>
    <mergeCell ref="B151:D151"/>
    <mergeCell ref="E151:F151"/>
    <mergeCell ref="G151:H151"/>
    <mergeCell ref="I151:J151"/>
    <mergeCell ref="A143:J143"/>
    <mergeCell ref="B148:D148"/>
    <mergeCell ref="E148:F148"/>
    <mergeCell ref="G148:H148"/>
    <mergeCell ref="I148:J148"/>
    <mergeCell ref="B149:D149"/>
    <mergeCell ref="E149:F149"/>
    <mergeCell ref="G149:H149"/>
    <mergeCell ref="I149:J149"/>
    <mergeCell ref="B162:D162"/>
    <mergeCell ref="G162:H162"/>
    <mergeCell ref="I162:J162"/>
    <mergeCell ref="B163:D163"/>
    <mergeCell ref="G163:H163"/>
    <mergeCell ref="I163:J163"/>
    <mergeCell ref="B152:D152"/>
    <mergeCell ref="E152:F152"/>
    <mergeCell ref="G152:H152"/>
    <mergeCell ref="I152:J152"/>
    <mergeCell ref="A155:J155"/>
    <mergeCell ref="A160:J160"/>
    <mergeCell ref="B166:D166"/>
    <mergeCell ref="G166:H166"/>
    <mergeCell ref="I166:J166"/>
    <mergeCell ref="B167:D167"/>
    <mergeCell ref="G167:H167"/>
    <mergeCell ref="I167:J167"/>
    <mergeCell ref="B164:D164"/>
    <mergeCell ref="G164:H164"/>
    <mergeCell ref="I164:J164"/>
    <mergeCell ref="B165:D165"/>
    <mergeCell ref="G165:H165"/>
    <mergeCell ref="I165:J165"/>
    <mergeCell ref="B170:D170"/>
    <mergeCell ref="G170:H170"/>
    <mergeCell ref="I170:J170"/>
    <mergeCell ref="B171:D171"/>
    <mergeCell ref="G171:H171"/>
    <mergeCell ref="I171:J171"/>
    <mergeCell ref="B168:D168"/>
    <mergeCell ref="G168:H168"/>
    <mergeCell ref="I168:J168"/>
    <mergeCell ref="B169:D169"/>
    <mergeCell ref="G169:H169"/>
    <mergeCell ref="I169:J169"/>
    <mergeCell ref="B177:D177"/>
    <mergeCell ref="E177:F177"/>
    <mergeCell ref="G177:H177"/>
    <mergeCell ref="I177:J177"/>
    <mergeCell ref="B178:D178"/>
    <mergeCell ref="E178:F178"/>
    <mergeCell ref="G178:H178"/>
    <mergeCell ref="I178:J178"/>
    <mergeCell ref="B172:D172"/>
    <mergeCell ref="G172:H172"/>
    <mergeCell ref="I172:J172"/>
    <mergeCell ref="A174:J174"/>
    <mergeCell ref="B176:D176"/>
    <mergeCell ref="E176:F176"/>
    <mergeCell ref="G176:H176"/>
    <mergeCell ref="I176:J176"/>
    <mergeCell ref="A182:J182"/>
    <mergeCell ref="B184:D184"/>
    <mergeCell ref="F184:G184"/>
    <mergeCell ref="I184:J184"/>
    <mergeCell ref="B185:D185"/>
    <mergeCell ref="F185:G185"/>
    <mergeCell ref="I185:J185"/>
    <mergeCell ref="B179:D179"/>
    <mergeCell ref="E179:F179"/>
    <mergeCell ref="G179:H179"/>
    <mergeCell ref="I179:J179"/>
    <mergeCell ref="B180:D180"/>
    <mergeCell ref="E180:F180"/>
    <mergeCell ref="G180:H180"/>
    <mergeCell ref="I180:J180"/>
    <mergeCell ref="B189:D189"/>
    <mergeCell ref="I189:J189"/>
    <mergeCell ref="B190:D190"/>
    <mergeCell ref="I190:J190"/>
    <mergeCell ref="B191:D191"/>
    <mergeCell ref="I191:J191"/>
    <mergeCell ref="B186:D186"/>
    <mergeCell ref="I186:J186"/>
    <mergeCell ref="B187:D187"/>
    <mergeCell ref="I187:J187"/>
    <mergeCell ref="B188:D188"/>
    <mergeCell ref="I188:J188"/>
    <mergeCell ref="B195:D195"/>
    <mergeCell ref="I195:J195"/>
    <mergeCell ref="B196:D196"/>
    <mergeCell ref="I196:J196"/>
    <mergeCell ref="B197:D197"/>
    <mergeCell ref="I197:J197"/>
    <mergeCell ref="B192:D192"/>
    <mergeCell ref="I192:J192"/>
    <mergeCell ref="B193:D193"/>
    <mergeCell ref="I193:J193"/>
    <mergeCell ref="B194:D194"/>
    <mergeCell ref="I194:J194"/>
    <mergeCell ref="B201:D201"/>
    <mergeCell ref="I201:J201"/>
    <mergeCell ref="B202:D202"/>
    <mergeCell ref="F202:G202"/>
    <mergeCell ref="I202:J202"/>
    <mergeCell ref="A204:J204"/>
    <mergeCell ref="B198:D198"/>
    <mergeCell ref="I198:J198"/>
    <mergeCell ref="B199:D199"/>
    <mergeCell ref="I199:J199"/>
    <mergeCell ref="B200:D200"/>
    <mergeCell ref="I200:J200"/>
    <mergeCell ref="B208:D208"/>
    <mergeCell ref="E208:F208"/>
    <mergeCell ref="G208:H208"/>
    <mergeCell ref="I208:J208"/>
    <mergeCell ref="B209:D209"/>
    <mergeCell ref="E209:F209"/>
    <mergeCell ref="G209:H209"/>
    <mergeCell ref="I209:J209"/>
    <mergeCell ref="B206:D206"/>
    <mergeCell ref="E206:F206"/>
    <mergeCell ref="G206:H206"/>
    <mergeCell ref="I206:J206"/>
    <mergeCell ref="B207:D207"/>
    <mergeCell ref="E207:F207"/>
    <mergeCell ref="G207:H207"/>
    <mergeCell ref="I207:J207"/>
    <mergeCell ref="B210:D210"/>
    <mergeCell ref="E210:F210"/>
    <mergeCell ref="G210:H210"/>
    <mergeCell ref="I210:J210"/>
    <mergeCell ref="A212:J212"/>
    <mergeCell ref="A214:A215"/>
    <mergeCell ref="B214:D215"/>
    <mergeCell ref="E214:E215"/>
    <mergeCell ref="F214:F215"/>
    <mergeCell ref="G214:J214"/>
    <mergeCell ref="B220:D220"/>
    <mergeCell ref="B221:D221"/>
    <mergeCell ref="B222:D222"/>
    <mergeCell ref="B223:D223"/>
    <mergeCell ref="B224:D224"/>
    <mergeCell ref="B225:D225"/>
    <mergeCell ref="K214:L214"/>
    <mergeCell ref="B216:D216"/>
    <mergeCell ref="G216:J216"/>
    <mergeCell ref="B217:D217"/>
    <mergeCell ref="B218:D218"/>
    <mergeCell ref="B219:D219"/>
    <mergeCell ref="B232:D232"/>
    <mergeCell ref="B233:D233"/>
    <mergeCell ref="B234:D234"/>
    <mergeCell ref="B235:D235"/>
    <mergeCell ref="G235:J235"/>
    <mergeCell ref="A237:J237"/>
    <mergeCell ref="B226:D226"/>
    <mergeCell ref="B227:D227"/>
    <mergeCell ref="B228:D228"/>
    <mergeCell ref="B229:D229"/>
    <mergeCell ref="B230:D230"/>
    <mergeCell ref="B231:D231"/>
    <mergeCell ref="A243:A244"/>
    <mergeCell ref="B243:D244"/>
    <mergeCell ref="E243:F244"/>
    <mergeCell ref="K243:K244"/>
    <mergeCell ref="K238:L238"/>
    <mergeCell ref="A239:A240"/>
    <mergeCell ref="B239:D240"/>
    <mergeCell ref="E239:F240"/>
    <mergeCell ref="G239:J239"/>
    <mergeCell ref="B241:D241"/>
    <mergeCell ref="E241:F241"/>
    <mergeCell ref="G241:J241"/>
    <mergeCell ref="L243:L244"/>
    <mergeCell ref="B245:D245"/>
    <mergeCell ref="E245:F245"/>
    <mergeCell ref="B246:D246"/>
    <mergeCell ref="E246:F246"/>
    <mergeCell ref="B247:D247"/>
    <mergeCell ref="E247:F247"/>
    <mergeCell ref="B242:D242"/>
    <mergeCell ref="E242:F242"/>
    <mergeCell ref="B251:D251"/>
    <mergeCell ref="E251:F251"/>
    <mergeCell ref="B252:D252"/>
    <mergeCell ref="E252:F252"/>
    <mergeCell ref="B253:D253"/>
    <mergeCell ref="E253:F253"/>
    <mergeCell ref="B248:D248"/>
    <mergeCell ref="E248:F248"/>
    <mergeCell ref="B249:D249"/>
    <mergeCell ref="E249:F249"/>
    <mergeCell ref="B250:D250"/>
    <mergeCell ref="E250:F250"/>
    <mergeCell ref="B257:D257"/>
    <mergeCell ref="E257:F257"/>
    <mergeCell ref="B258:D258"/>
    <mergeCell ref="E258:F258"/>
    <mergeCell ref="B259:D259"/>
    <mergeCell ref="E259:F259"/>
    <mergeCell ref="B254:D254"/>
    <mergeCell ref="E254:F254"/>
    <mergeCell ref="B255:D255"/>
    <mergeCell ref="E255:F255"/>
    <mergeCell ref="B256:D256"/>
    <mergeCell ref="E256:F256"/>
    <mergeCell ref="B263:D263"/>
    <mergeCell ref="E263:F263"/>
    <mergeCell ref="G263:J263"/>
    <mergeCell ref="A265:J265"/>
    <mergeCell ref="B267:D267"/>
    <mergeCell ref="E267:F267"/>
    <mergeCell ref="G267:H267"/>
    <mergeCell ref="I267:J267"/>
    <mergeCell ref="B260:D260"/>
    <mergeCell ref="E260:F260"/>
    <mergeCell ref="B261:D261"/>
    <mergeCell ref="E261:F261"/>
    <mergeCell ref="B262:D262"/>
    <mergeCell ref="E262:F262"/>
    <mergeCell ref="B270:D270"/>
    <mergeCell ref="G270:H270"/>
    <mergeCell ref="I270:J270"/>
    <mergeCell ref="B271:D271"/>
    <mergeCell ref="G271:H271"/>
    <mergeCell ref="I271:J271"/>
    <mergeCell ref="B268:D268"/>
    <mergeCell ref="E268:F268"/>
    <mergeCell ref="G268:H268"/>
    <mergeCell ref="I268:J268"/>
    <mergeCell ref="B269:D269"/>
    <mergeCell ref="G269:H269"/>
    <mergeCell ref="I269:J269"/>
    <mergeCell ref="B274:D274"/>
    <mergeCell ref="G274:H274"/>
    <mergeCell ref="I274:J274"/>
    <mergeCell ref="B275:D275"/>
    <mergeCell ref="G275:H275"/>
    <mergeCell ref="I275:J275"/>
    <mergeCell ref="B272:D272"/>
    <mergeCell ref="G272:H272"/>
    <mergeCell ref="I272:J272"/>
    <mergeCell ref="B273:D273"/>
    <mergeCell ref="G273:H273"/>
    <mergeCell ref="I273:J273"/>
    <mergeCell ref="B278:D278"/>
    <mergeCell ref="G278:H278"/>
    <mergeCell ref="I278:J278"/>
    <mergeCell ref="B279:D279"/>
    <mergeCell ref="E279:F279"/>
    <mergeCell ref="G279:H279"/>
    <mergeCell ref="I279:J279"/>
    <mergeCell ref="B276:D276"/>
    <mergeCell ref="G276:H276"/>
    <mergeCell ref="I276:J276"/>
    <mergeCell ref="B277:D277"/>
    <mergeCell ref="G277:H277"/>
    <mergeCell ref="I277:J277"/>
    <mergeCell ref="B285:D285"/>
    <mergeCell ref="G285:H285"/>
    <mergeCell ref="I285:J285"/>
    <mergeCell ref="B286:D286"/>
    <mergeCell ref="G286:H286"/>
    <mergeCell ref="I286:J286"/>
    <mergeCell ref="A281:J281"/>
    <mergeCell ref="B283:D283"/>
    <mergeCell ref="E283:F283"/>
    <mergeCell ref="G283:H283"/>
    <mergeCell ref="I283:J283"/>
    <mergeCell ref="B284:D284"/>
    <mergeCell ref="E284:F284"/>
    <mergeCell ref="G284:H284"/>
    <mergeCell ref="I284:J284"/>
    <mergeCell ref="B289:D289"/>
    <mergeCell ref="G289:H289"/>
    <mergeCell ref="I289:J289"/>
    <mergeCell ref="B290:D290"/>
    <mergeCell ref="G290:H290"/>
    <mergeCell ref="I290:J290"/>
    <mergeCell ref="B287:D287"/>
    <mergeCell ref="G287:H287"/>
    <mergeCell ref="I287:J287"/>
    <mergeCell ref="B288:D288"/>
    <mergeCell ref="G288:H288"/>
    <mergeCell ref="I288:J288"/>
    <mergeCell ref="B293:D293"/>
    <mergeCell ref="G293:H293"/>
    <mergeCell ref="I293:J293"/>
    <mergeCell ref="B294:D294"/>
    <mergeCell ref="G294:H294"/>
    <mergeCell ref="I294:J294"/>
    <mergeCell ref="B291:D291"/>
    <mergeCell ref="G291:H291"/>
    <mergeCell ref="I291:J291"/>
    <mergeCell ref="B292:D292"/>
    <mergeCell ref="G292:H292"/>
    <mergeCell ref="I292:J292"/>
    <mergeCell ref="B297:D297"/>
    <mergeCell ref="G297:H297"/>
    <mergeCell ref="I297:J297"/>
    <mergeCell ref="B298:D298"/>
    <mergeCell ref="G298:H298"/>
    <mergeCell ref="I298:J298"/>
    <mergeCell ref="B295:D295"/>
    <mergeCell ref="G295:H295"/>
    <mergeCell ref="I295:J295"/>
    <mergeCell ref="B296:D296"/>
    <mergeCell ref="G296:H296"/>
    <mergeCell ref="I296:J296"/>
    <mergeCell ref="B304:D304"/>
    <mergeCell ref="E304:F304"/>
    <mergeCell ref="G304:H304"/>
    <mergeCell ref="I304:J304"/>
    <mergeCell ref="B305:D305"/>
    <mergeCell ref="G305:H305"/>
    <mergeCell ref="I305:J305"/>
    <mergeCell ref="B299:D299"/>
    <mergeCell ref="E299:F299"/>
    <mergeCell ref="G299:H299"/>
    <mergeCell ref="I299:J299"/>
    <mergeCell ref="A301:J301"/>
    <mergeCell ref="B303:D303"/>
    <mergeCell ref="E303:F303"/>
    <mergeCell ref="G303:H303"/>
    <mergeCell ref="I303:J303"/>
    <mergeCell ref="I312:J312"/>
    <mergeCell ref="I314:J314"/>
    <mergeCell ref="I315:J315"/>
    <mergeCell ref="I316:J316"/>
    <mergeCell ref="I317:J317"/>
    <mergeCell ref="B306:D306"/>
    <mergeCell ref="G306:H306"/>
    <mergeCell ref="I306:J306"/>
    <mergeCell ref="B307:D307"/>
    <mergeCell ref="E307:F307"/>
    <mergeCell ref="G307:H307"/>
    <mergeCell ref="I307:J307"/>
  </mergeCells>
  <printOptions horizontalCentered="1"/>
  <pageMargins left="0.98425196850393704" right="0.19685039370078741" top="0.39370078740157483" bottom="0.39370078740157483" header="0.31496062992125984" footer="0.31496062992125984"/>
  <pageSetup paperSize="9" scale="78" fitToHeight="10" orientation="portrait" r:id="rId1"/>
  <rowBreaks count="4" manualBreakCount="4">
    <brk id="130" max="9" man="1"/>
    <brk id="181" max="9" man="1"/>
    <brk id="211" max="9" man="1"/>
    <brk id="28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9"/>
  <sheetViews>
    <sheetView view="pageBreakPreview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94" sqref="A1:H95"/>
    </sheetView>
  </sheetViews>
  <sheetFormatPr defaultColWidth="8.88671875" defaultRowHeight="14.4" x14ac:dyDescent="0.3"/>
  <cols>
    <col min="1" max="1" width="32.88671875" style="660" customWidth="1"/>
    <col min="2" max="2" width="8.88671875" style="660"/>
    <col min="3" max="3" width="10.88671875" style="701" customWidth="1"/>
    <col min="4" max="4" width="11" style="701" customWidth="1"/>
    <col min="5" max="5" width="15.44140625" style="676" customWidth="1"/>
    <col min="6" max="6" width="16.6640625" style="676" customWidth="1"/>
    <col min="7" max="7" width="15.33203125" style="676" customWidth="1"/>
    <col min="8" max="8" width="12.33203125" style="676" customWidth="1"/>
    <col min="9" max="9" width="10" style="660" bestFit="1" customWidth="1"/>
    <col min="10" max="11" width="8.88671875" style="660"/>
    <col min="12" max="12" width="16.6640625" style="660" bestFit="1" customWidth="1"/>
    <col min="13" max="13" width="8.88671875" style="660"/>
    <col min="14" max="14" width="10" style="660" bestFit="1" customWidth="1"/>
    <col min="15" max="15" width="14.6640625" style="660" bestFit="1" customWidth="1"/>
    <col min="16" max="16384" width="8.88671875" style="660"/>
  </cols>
  <sheetData>
    <row r="1" spans="1:12" ht="15.6" x14ac:dyDescent="0.3">
      <c r="A1" s="654"/>
      <c r="B1" s="655" t="s">
        <v>392</v>
      </c>
      <c r="C1" s="656"/>
      <c r="D1" s="656"/>
      <c r="E1" s="657"/>
      <c r="F1" s="657"/>
      <c r="G1" s="657"/>
      <c r="H1" s="658"/>
      <c r="I1" s="659"/>
      <c r="J1" s="659"/>
      <c r="K1" s="659"/>
    </row>
    <row r="2" spans="1:12" x14ac:dyDescent="0.3">
      <c r="A2" s="661" t="str">
        <f>'[1]Титул лист'!A8</f>
        <v>"05   "декабря  2022 г.</v>
      </c>
      <c r="B2" s="662"/>
      <c r="C2" s="782"/>
      <c r="D2" s="782"/>
      <c r="E2" s="662"/>
      <c r="F2" s="662"/>
      <c r="G2" s="662"/>
      <c r="H2" s="663"/>
    </row>
    <row r="3" spans="1:12" ht="33" customHeight="1" x14ac:dyDescent="0.3">
      <c r="A3" s="774" t="str">
        <f>'Титул лист'!A8</f>
        <v>"29 "декабря  2022 г.</v>
      </c>
      <c r="B3" s="775"/>
      <c r="C3" s="775"/>
      <c r="D3" s="775"/>
      <c r="E3" s="775"/>
      <c r="F3" s="775"/>
      <c r="G3" s="775"/>
      <c r="H3" s="776"/>
    </row>
    <row r="4" spans="1:12" ht="15" customHeight="1" x14ac:dyDescent="0.3">
      <c r="A4" s="778" t="s">
        <v>44</v>
      </c>
      <c r="B4" s="778" t="s">
        <v>273</v>
      </c>
      <c r="C4" s="778" t="s">
        <v>393</v>
      </c>
      <c r="D4" s="778" t="s">
        <v>394</v>
      </c>
      <c r="E4" s="779" t="s">
        <v>395</v>
      </c>
      <c r="F4" s="779"/>
      <c r="G4" s="779"/>
      <c r="H4" s="779"/>
      <c r="I4" s="664"/>
    </row>
    <row r="5" spans="1:12" ht="52.5" customHeight="1" x14ac:dyDescent="0.3">
      <c r="A5" s="778"/>
      <c r="B5" s="778"/>
      <c r="C5" s="778"/>
      <c r="D5" s="778"/>
      <c r="E5" s="665" t="s">
        <v>983</v>
      </c>
      <c r="F5" s="665" t="s">
        <v>984</v>
      </c>
      <c r="G5" s="665" t="s">
        <v>985</v>
      </c>
      <c r="H5" s="665" t="s">
        <v>396</v>
      </c>
      <c r="I5" s="664"/>
    </row>
    <row r="6" spans="1:12" x14ac:dyDescent="0.3">
      <c r="A6" s="566">
        <v>1</v>
      </c>
      <c r="B6" s="566">
        <v>2</v>
      </c>
      <c r="C6" s="566">
        <v>3</v>
      </c>
      <c r="D6" s="566">
        <v>4</v>
      </c>
      <c r="E6" s="566">
        <v>5</v>
      </c>
      <c r="F6" s="566">
        <v>6</v>
      </c>
      <c r="G6" s="566">
        <v>7</v>
      </c>
      <c r="H6" s="566">
        <v>8</v>
      </c>
      <c r="I6" s="664"/>
    </row>
    <row r="7" spans="1:12" s="670" customFormat="1" ht="26.4" x14ac:dyDescent="0.3">
      <c r="A7" s="666" t="s">
        <v>397</v>
      </c>
      <c r="B7" s="667" t="s">
        <v>278</v>
      </c>
      <c r="C7" s="668" t="s">
        <v>14</v>
      </c>
      <c r="D7" s="668" t="s">
        <v>14</v>
      </c>
      <c r="E7" s="669"/>
      <c r="F7" s="669"/>
      <c r="G7" s="669"/>
      <c r="H7" s="669"/>
      <c r="I7" s="664" t="s">
        <v>821</v>
      </c>
    </row>
    <row r="8" spans="1:12" s="670" customFormat="1" ht="26.4" x14ac:dyDescent="0.3">
      <c r="A8" s="666" t="s">
        <v>398</v>
      </c>
      <c r="B8" s="667" t="s">
        <v>441</v>
      </c>
      <c r="C8" s="668" t="s">
        <v>14</v>
      </c>
      <c r="D8" s="668" t="s">
        <v>14</v>
      </c>
      <c r="E8" s="669">
        <f>E7+E9-E37+E88</f>
        <v>0</v>
      </c>
      <c r="F8" s="669">
        <f t="shared" ref="F8:G8" si="0">F7+F9-F37+F88</f>
        <v>0</v>
      </c>
      <c r="G8" s="669">
        <f t="shared" si="0"/>
        <v>0</v>
      </c>
      <c r="H8" s="669">
        <f>H7+H9-H37</f>
        <v>0</v>
      </c>
      <c r="I8" s="671" t="s">
        <v>822</v>
      </c>
    </row>
    <row r="9" spans="1:12" s="670" customFormat="1" x14ac:dyDescent="0.3">
      <c r="A9" s="666" t="s">
        <v>399</v>
      </c>
      <c r="B9" s="667">
        <v>1000</v>
      </c>
      <c r="C9" s="667" t="s">
        <v>664</v>
      </c>
      <c r="D9" s="667" t="s">
        <v>664</v>
      </c>
      <c r="E9" s="669">
        <f>E10+E14+E20+E23+E27+E30+E33</f>
        <v>172856610</v>
      </c>
      <c r="F9" s="669">
        <f>F10+F14+F20+F23+F27+F30+F88</f>
        <v>175152892</v>
      </c>
      <c r="G9" s="669">
        <f>G10+G14+G20+G23+G27+G30+G88</f>
        <v>173338692</v>
      </c>
      <c r="H9" s="669">
        <f>H10+H14+H20+H23+H27+H30</f>
        <v>0</v>
      </c>
      <c r="I9" s="671" t="s">
        <v>823</v>
      </c>
    </row>
    <row r="10" spans="1:12" x14ac:dyDescent="0.3">
      <c r="A10" s="672" t="s">
        <v>9</v>
      </c>
      <c r="B10" s="767">
        <v>1100</v>
      </c>
      <c r="C10" s="765">
        <v>120</v>
      </c>
      <c r="D10" s="765"/>
      <c r="E10" s="763">
        <f>E12</f>
        <v>0</v>
      </c>
      <c r="F10" s="763">
        <f t="shared" ref="F10:G10" si="1">F12</f>
        <v>0</v>
      </c>
      <c r="G10" s="763">
        <f t="shared" si="1"/>
        <v>0</v>
      </c>
      <c r="H10" s="763"/>
      <c r="I10" s="664"/>
    </row>
    <row r="11" spans="1:12" x14ac:dyDescent="0.3">
      <c r="A11" s="672" t="s">
        <v>665</v>
      </c>
      <c r="B11" s="767"/>
      <c r="C11" s="765"/>
      <c r="D11" s="765"/>
      <c r="E11" s="763"/>
      <c r="F11" s="763"/>
      <c r="G11" s="763"/>
      <c r="H11" s="763"/>
      <c r="I11" s="664"/>
    </row>
    <row r="12" spans="1:12" x14ac:dyDescent="0.3">
      <c r="A12" s="777" t="s">
        <v>9</v>
      </c>
      <c r="B12" s="767">
        <v>1110</v>
      </c>
      <c r="C12" s="765"/>
      <c r="D12" s="765"/>
      <c r="E12" s="763"/>
      <c r="F12" s="763"/>
      <c r="G12" s="763"/>
      <c r="H12" s="763"/>
      <c r="I12" s="664"/>
    </row>
    <row r="13" spans="1:12" ht="18" customHeight="1" x14ac:dyDescent="0.3">
      <c r="A13" s="777"/>
      <c r="B13" s="767"/>
      <c r="C13" s="765"/>
      <c r="D13" s="765"/>
      <c r="E13" s="763"/>
      <c r="F13" s="763"/>
      <c r="G13" s="763"/>
      <c r="H13" s="763"/>
      <c r="I13" s="664" t="s">
        <v>666</v>
      </c>
    </row>
    <row r="14" spans="1:12" ht="39.6" x14ac:dyDescent="0.3">
      <c r="A14" s="672" t="s">
        <v>667</v>
      </c>
      <c r="B14" s="673">
        <v>1200</v>
      </c>
      <c r="C14" s="674">
        <v>130</v>
      </c>
      <c r="D14" s="674">
        <v>130</v>
      </c>
      <c r="E14" s="675">
        <f>SUM(E15:E19)</f>
        <v>166927310</v>
      </c>
      <c r="F14" s="675">
        <f>SUM(F15:F19)</f>
        <v>169268292</v>
      </c>
      <c r="G14" s="675">
        <f>SUM(G15:G19)</f>
        <v>167454092</v>
      </c>
      <c r="H14" s="675">
        <f t="shared" ref="H14" si="2">SUM(H15:H17)</f>
        <v>0</v>
      </c>
      <c r="I14" s="664" t="s">
        <v>824</v>
      </c>
    </row>
    <row r="15" spans="1:12" x14ac:dyDescent="0.3">
      <c r="A15" s="672" t="s">
        <v>9</v>
      </c>
      <c r="B15" s="767">
        <v>1210</v>
      </c>
      <c r="C15" s="765">
        <v>130</v>
      </c>
      <c r="D15" s="765">
        <v>131</v>
      </c>
      <c r="E15" s="763">
        <f>130177000+8153000+290280+27756300+250000-6270</f>
        <v>166620310</v>
      </c>
      <c r="F15" s="763">
        <f>131434800+8211000+290280+28775212+250000</f>
        <v>168961292</v>
      </c>
      <c r="G15" s="763">
        <f>129624300+8412000+290280+28570512+250000</f>
        <v>167147092</v>
      </c>
      <c r="H15" s="763"/>
      <c r="I15" s="664"/>
    </row>
    <row r="16" spans="1:12" ht="66" x14ac:dyDescent="0.3">
      <c r="A16" s="672" t="s">
        <v>668</v>
      </c>
      <c r="B16" s="767"/>
      <c r="C16" s="765"/>
      <c r="D16" s="765"/>
      <c r="E16" s="763"/>
      <c r="F16" s="763"/>
      <c r="G16" s="763"/>
      <c r="H16" s="763"/>
      <c r="I16" s="664" t="s">
        <v>825</v>
      </c>
      <c r="L16" s="676">
        <f>E15+E34</f>
        <v>166620310</v>
      </c>
    </row>
    <row r="17" spans="1:15" ht="51" customHeight="1" x14ac:dyDescent="0.3">
      <c r="A17" s="672" t="s">
        <v>400</v>
      </c>
      <c r="B17" s="673">
        <v>1220</v>
      </c>
      <c r="C17" s="674">
        <v>130</v>
      </c>
      <c r="D17" s="674"/>
      <c r="E17" s="675"/>
      <c r="F17" s="675"/>
      <c r="G17" s="675"/>
      <c r="H17" s="675"/>
      <c r="I17" s="664"/>
    </row>
    <row r="18" spans="1:15" ht="39.75" customHeight="1" x14ac:dyDescent="0.3">
      <c r="A18" s="672" t="s">
        <v>670</v>
      </c>
      <c r="B18" s="673" t="s">
        <v>671</v>
      </c>
      <c r="C18" s="674">
        <v>130</v>
      </c>
      <c r="D18" s="674">
        <v>131</v>
      </c>
      <c r="E18" s="675">
        <v>307000</v>
      </c>
      <c r="F18" s="675">
        <v>307000</v>
      </c>
      <c r="G18" s="675">
        <v>307000</v>
      </c>
      <c r="H18" s="675"/>
      <c r="I18" s="664" t="s">
        <v>826</v>
      </c>
    </row>
    <row r="19" spans="1:15" ht="12.75" customHeight="1" x14ac:dyDescent="0.3">
      <c r="A19" s="672" t="s">
        <v>672</v>
      </c>
      <c r="B19" s="673" t="s">
        <v>673</v>
      </c>
      <c r="C19" s="674">
        <v>130</v>
      </c>
      <c r="D19" s="566" t="s">
        <v>815</v>
      </c>
      <c r="E19" s="677"/>
      <c r="F19" s="675"/>
      <c r="G19" s="675"/>
      <c r="H19" s="675"/>
      <c r="I19" s="664"/>
    </row>
    <row r="20" spans="1:15" ht="26.4" x14ac:dyDescent="0.3">
      <c r="A20" s="672" t="s">
        <v>401</v>
      </c>
      <c r="B20" s="673">
        <v>1300</v>
      </c>
      <c r="C20" s="674">
        <v>140</v>
      </c>
      <c r="D20" s="678">
        <v>141</v>
      </c>
      <c r="E20" s="675">
        <f>SUM(E21)</f>
        <v>0</v>
      </c>
      <c r="F20" s="675">
        <f t="shared" ref="F20:H20" si="3">SUM(F21)</f>
        <v>0</v>
      </c>
      <c r="G20" s="675">
        <f t="shared" si="3"/>
        <v>0</v>
      </c>
      <c r="H20" s="675">
        <f t="shared" si="3"/>
        <v>0</v>
      </c>
      <c r="I20" s="664" t="s">
        <v>827</v>
      </c>
    </row>
    <row r="21" spans="1:15" x14ac:dyDescent="0.3">
      <c r="A21" s="777" t="s">
        <v>9</v>
      </c>
      <c r="B21" s="767">
        <v>1310</v>
      </c>
      <c r="C21" s="765">
        <v>140</v>
      </c>
      <c r="D21" s="765"/>
      <c r="E21" s="763"/>
      <c r="F21" s="763"/>
      <c r="G21" s="763"/>
      <c r="H21" s="763"/>
      <c r="I21" s="664"/>
    </row>
    <row r="22" spans="1:15" ht="9.75" customHeight="1" x14ac:dyDescent="0.3">
      <c r="A22" s="777"/>
      <c r="B22" s="767"/>
      <c r="C22" s="765"/>
      <c r="D22" s="765"/>
      <c r="E22" s="763"/>
      <c r="F22" s="763"/>
      <c r="G22" s="763"/>
      <c r="H22" s="763"/>
      <c r="I22" s="664"/>
    </row>
    <row r="23" spans="1:15" ht="15" customHeight="1" x14ac:dyDescent="0.3">
      <c r="A23" s="672" t="s">
        <v>674</v>
      </c>
      <c r="B23" s="673">
        <v>1400</v>
      </c>
      <c r="C23" s="674">
        <v>150</v>
      </c>
      <c r="D23" s="674" t="s">
        <v>816</v>
      </c>
      <c r="E23" s="679">
        <f>E24</f>
        <v>5929300</v>
      </c>
      <c r="F23" s="675">
        <f t="shared" ref="F23:G23" si="4">SUM(F24:F26)</f>
        <v>5884600</v>
      </c>
      <c r="G23" s="675">
        <f t="shared" si="4"/>
        <v>5884600</v>
      </c>
      <c r="H23" s="669">
        <f t="shared" ref="H23" si="5">H24+H26</f>
        <v>0</v>
      </c>
      <c r="I23" s="664" t="s">
        <v>828</v>
      </c>
      <c r="O23" s="676">
        <f>E23-E24</f>
        <v>0</v>
      </c>
    </row>
    <row r="24" spans="1:15" x14ac:dyDescent="0.3">
      <c r="A24" s="680" t="s">
        <v>9</v>
      </c>
      <c r="B24" s="780" t="s">
        <v>675</v>
      </c>
      <c r="C24" s="765">
        <v>150</v>
      </c>
      <c r="D24" s="765">
        <v>152.155</v>
      </c>
      <c r="E24" s="772">
        <f>44700+252000+5443400+83200+106000</f>
        <v>5929300</v>
      </c>
      <c r="F24" s="772">
        <f>5884600</f>
        <v>5884600</v>
      </c>
      <c r="G24" s="763">
        <f>5884600</f>
        <v>5884600</v>
      </c>
      <c r="H24" s="763"/>
      <c r="I24" s="664"/>
    </row>
    <row r="25" spans="1:15" x14ac:dyDescent="0.3">
      <c r="A25" s="681" t="s">
        <v>676</v>
      </c>
      <c r="B25" s="781"/>
      <c r="C25" s="765"/>
      <c r="D25" s="765"/>
      <c r="E25" s="773"/>
      <c r="F25" s="773"/>
      <c r="G25" s="763"/>
      <c r="H25" s="763"/>
      <c r="I25" s="664" t="s">
        <v>829</v>
      </c>
    </row>
    <row r="26" spans="1:15" ht="26.4" x14ac:dyDescent="0.3">
      <c r="A26" s="680" t="s">
        <v>274</v>
      </c>
      <c r="B26" s="673" t="s">
        <v>677</v>
      </c>
      <c r="C26" s="674">
        <v>150</v>
      </c>
      <c r="D26" s="674"/>
      <c r="E26" s="675"/>
      <c r="F26" s="675"/>
      <c r="G26" s="675"/>
      <c r="H26" s="675"/>
      <c r="I26" s="664"/>
    </row>
    <row r="27" spans="1:15" s="683" customFormat="1" x14ac:dyDescent="0.3">
      <c r="A27" s="680" t="s">
        <v>678</v>
      </c>
      <c r="B27" s="673">
        <v>1500</v>
      </c>
      <c r="C27" s="674">
        <v>180</v>
      </c>
      <c r="D27" s="682"/>
      <c r="E27" s="675">
        <f>SUM(E28:E28)</f>
        <v>0</v>
      </c>
      <c r="F27" s="675">
        <f>SUM(F28:F28)</f>
        <v>0</v>
      </c>
      <c r="G27" s="675">
        <f>SUM(G28:G28)</f>
        <v>0</v>
      </c>
      <c r="H27" s="675">
        <f>SUM(H28:H28)</f>
        <v>0</v>
      </c>
      <c r="I27" s="664"/>
    </row>
    <row r="28" spans="1:15" s="683" customFormat="1" x14ac:dyDescent="0.3">
      <c r="A28" s="680" t="s">
        <v>9</v>
      </c>
      <c r="B28" s="684"/>
      <c r="C28" s="678"/>
      <c r="D28" s="678"/>
      <c r="E28" s="685"/>
      <c r="F28" s="685"/>
      <c r="G28" s="686"/>
      <c r="H28" s="686"/>
    </row>
    <row r="29" spans="1:15" x14ac:dyDescent="0.3">
      <c r="A29" s="672"/>
      <c r="B29" s="687"/>
      <c r="C29" s="674"/>
      <c r="D29" s="674"/>
      <c r="E29" s="675"/>
      <c r="F29" s="675"/>
      <c r="G29" s="675"/>
      <c r="H29" s="675"/>
      <c r="I29" s="664"/>
    </row>
    <row r="30" spans="1:15" ht="26.4" x14ac:dyDescent="0.3">
      <c r="A30" s="688" t="s">
        <v>402</v>
      </c>
      <c r="B30" s="667">
        <v>1900</v>
      </c>
      <c r="C30" s="668"/>
      <c r="D30" s="668"/>
      <c r="E30" s="669"/>
      <c r="F30" s="669"/>
      <c r="G30" s="669"/>
      <c r="H30" s="669"/>
      <c r="I30" s="671" t="s">
        <v>830</v>
      </c>
    </row>
    <row r="31" spans="1:15" x14ac:dyDescent="0.3">
      <c r="A31" s="672" t="s">
        <v>9</v>
      </c>
      <c r="B31" s="687"/>
      <c r="C31" s="674"/>
      <c r="D31" s="674"/>
      <c r="E31" s="675"/>
      <c r="F31" s="675"/>
      <c r="G31" s="675"/>
      <c r="H31" s="675"/>
      <c r="I31" s="664"/>
    </row>
    <row r="32" spans="1:15" x14ac:dyDescent="0.3">
      <c r="A32" s="672"/>
      <c r="B32" s="687"/>
      <c r="C32" s="674"/>
      <c r="D32" s="674"/>
      <c r="E32" s="675"/>
      <c r="F32" s="675"/>
      <c r="G32" s="675"/>
      <c r="H32" s="675"/>
      <c r="I32" s="664"/>
    </row>
    <row r="33" spans="1:14" x14ac:dyDescent="0.3">
      <c r="A33" s="689" t="s">
        <v>403</v>
      </c>
      <c r="B33" s="667">
        <v>1980</v>
      </c>
      <c r="C33" s="668" t="s">
        <v>14</v>
      </c>
      <c r="D33" s="668"/>
      <c r="E33" s="669">
        <f>E34</f>
        <v>0</v>
      </c>
      <c r="F33" s="669">
        <f t="shared" ref="F33:H33" si="6">F34</f>
        <v>0</v>
      </c>
      <c r="G33" s="669">
        <f t="shared" si="6"/>
        <v>0</v>
      </c>
      <c r="H33" s="669" t="str">
        <f t="shared" si="6"/>
        <v>x</v>
      </c>
      <c r="I33" s="671" t="s">
        <v>817</v>
      </c>
    </row>
    <row r="34" spans="1:14" x14ac:dyDescent="0.3">
      <c r="A34" s="680" t="s">
        <v>272</v>
      </c>
      <c r="B34" s="764">
        <v>1981</v>
      </c>
      <c r="C34" s="765">
        <v>510</v>
      </c>
      <c r="D34" s="765"/>
      <c r="E34" s="763">
        <v>0</v>
      </c>
      <c r="F34" s="763">
        <v>0</v>
      </c>
      <c r="G34" s="763">
        <v>0</v>
      </c>
      <c r="H34" s="766" t="s">
        <v>14</v>
      </c>
      <c r="I34" s="664"/>
    </row>
    <row r="35" spans="1:14" ht="39.6" x14ac:dyDescent="0.3">
      <c r="A35" s="681" t="s">
        <v>404</v>
      </c>
      <c r="B35" s="764"/>
      <c r="C35" s="765"/>
      <c r="D35" s="765"/>
      <c r="E35" s="763"/>
      <c r="F35" s="763"/>
      <c r="G35" s="763"/>
      <c r="H35" s="766"/>
      <c r="I35" s="664" t="s">
        <v>817</v>
      </c>
    </row>
    <row r="36" spans="1:14" x14ac:dyDescent="0.3">
      <c r="A36" s="681"/>
      <c r="B36" s="687"/>
      <c r="C36" s="674"/>
      <c r="D36" s="674"/>
      <c r="E36" s="675"/>
      <c r="F36" s="675"/>
      <c r="G36" s="675"/>
      <c r="H36" s="675"/>
      <c r="I36" s="664"/>
    </row>
    <row r="37" spans="1:14" s="670" customFormat="1" x14ac:dyDescent="0.3">
      <c r="A37" s="689" t="s">
        <v>405</v>
      </c>
      <c r="B37" s="667">
        <v>2000</v>
      </c>
      <c r="C37" s="668" t="s">
        <v>14</v>
      </c>
      <c r="D37" s="667" t="s">
        <v>664</v>
      </c>
      <c r="E37" s="669">
        <f>E38+E54+E63+E68+E76+E78</f>
        <v>172856610</v>
      </c>
      <c r="F37" s="669">
        <f>F38+F54+F63+F68+F76+F78</f>
        <v>175152892</v>
      </c>
      <c r="G37" s="669">
        <f t="shared" ref="G37" si="7">G38+G54+G63+G68+G76+G78</f>
        <v>173338692</v>
      </c>
      <c r="H37" s="669"/>
      <c r="I37" s="664" t="s">
        <v>831</v>
      </c>
      <c r="N37" s="670">
        <v>150308084.55000001</v>
      </c>
    </row>
    <row r="38" spans="1:14" x14ac:dyDescent="0.3">
      <c r="A38" s="680" t="s">
        <v>9</v>
      </c>
      <c r="B38" s="764">
        <v>2100</v>
      </c>
      <c r="C38" s="765" t="s">
        <v>14</v>
      </c>
      <c r="D38" s="783">
        <v>200</v>
      </c>
      <c r="E38" s="763">
        <f>E40+E42+E44+E43</f>
        <v>134357100</v>
      </c>
      <c r="F38" s="763">
        <f t="shared" ref="F38:G38" si="8">F40+F42+F44+F43</f>
        <v>135591900</v>
      </c>
      <c r="G38" s="763">
        <f t="shared" si="8"/>
        <v>133830600</v>
      </c>
      <c r="H38" s="766"/>
      <c r="I38" s="664"/>
    </row>
    <row r="39" spans="1:14" x14ac:dyDescent="0.3">
      <c r="A39" s="681" t="s">
        <v>406</v>
      </c>
      <c r="B39" s="764"/>
      <c r="C39" s="765"/>
      <c r="D39" s="784"/>
      <c r="E39" s="763"/>
      <c r="F39" s="763"/>
      <c r="G39" s="763"/>
      <c r="H39" s="766"/>
      <c r="I39" s="664"/>
    </row>
    <row r="40" spans="1:14" x14ac:dyDescent="0.3">
      <c r="A40" s="690" t="s">
        <v>9</v>
      </c>
      <c r="B40" s="764">
        <v>2110</v>
      </c>
      <c r="C40" s="765">
        <v>111</v>
      </c>
      <c r="D40" s="765" t="s">
        <v>680</v>
      </c>
      <c r="E40" s="763">
        <f>98192000+600000+4220000+120200</f>
        <v>103132200</v>
      </c>
      <c r="F40" s="763">
        <f>98992000+600000+4220000+120200</f>
        <v>103932200</v>
      </c>
      <c r="G40" s="763">
        <f>97692000+600000+4220000+120200</f>
        <v>102632200</v>
      </c>
      <c r="H40" s="766"/>
      <c r="I40" s="664"/>
    </row>
    <row r="41" spans="1:14" x14ac:dyDescent="0.3">
      <c r="A41" s="681" t="s">
        <v>407</v>
      </c>
      <c r="B41" s="764"/>
      <c r="C41" s="765"/>
      <c r="D41" s="765"/>
      <c r="E41" s="763"/>
      <c r="F41" s="763"/>
      <c r="G41" s="763"/>
      <c r="H41" s="766"/>
      <c r="I41" s="664"/>
    </row>
    <row r="42" spans="1:14" ht="27" x14ac:dyDescent="0.3">
      <c r="A42" s="672" t="s">
        <v>408</v>
      </c>
      <c r="B42" s="673">
        <v>2120</v>
      </c>
      <c r="C42" s="674">
        <v>112</v>
      </c>
      <c r="D42" s="674" t="s">
        <v>681</v>
      </c>
      <c r="E42" s="675">
        <f>807000+16200+76680+1500+11500</f>
        <v>912880</v>
      </c>
      <c r="F42" s="702">
        <f>784000+16200+76680+1500+11500</f>
        <v>889880</v>
      </c>
      <c r="G42" s="702">
        <f>931500+16200+76680+1500+11500</f>
        <v>1037380</v>
      </c>
      <c r="H42" s="691"/>
      <c r="I42" s="664"/>
    </row>
    <row r="43" spans="1:14" ht="39.6" x14ac:dyDescent="0.3">
      <c r="A43" s="672" t="s">
        <v>409</v>
      </c>
      <c r="B43" s="673">
        <v>2130</v>
      </c>
      <c r="C43" s="674">
        <v>113</v>
      </c>
      <c r="D43" s="674">
        <v>226</v>
      </c>
      <c r="E43" s="675">
        <f>57120</f>
        <v>57120</v>
      </c>
      <c r="F43" s="702">
        <f>57120</f>
        <v>57120</v>
      </c>
      <c r="G43" s="702">
        <f>57120</f>
        <v>57120</v>
      </c>
      <c r="H43" s="691"/>
      <c r="I43" s="664"/>
    </row>
    <row r="44" spans="1:14" ht="66" x14ac:dyDescent="0.3">
      <c r="A44" s="680" t="s">
        <v>410</v>
      </c>
      <c r="B44" s="673">
        <v>2140</v>
      </c>
      <c r="C44" s="674">
        <v>119</v>
      </c>
      <c r="D44" s="674" t="s">
        <v>818</v>
      </c>
      <c r="E44" s="675">
        <f>28995000+1223400+36500</f>
        <v>30254900</v>
      </c>
      <c r="F44" s="702">
        <f>29452800+1223400+36500</f>
        <v>30712700</v>
      </c>
      <c r="G44" s="675">
        <f>28844000+1223400+36500</f>
        <v>30103900</v>
      </c>
      <c r="H44" s="691"/>
      <c r="I44" s="664"/>
    </row>
    <row r="45" spans="1:14" x14ac:dyDescent="0.3">
      <c r="A45" s="680" t="s">
        <v>9</v>
      </c>
      <c r="B45" s="764">
        <v>2141</v>
      </c>
      <c r="C45" s="765">
        <v>119</v>
      </c>
      <c r="D45" s="765">
        <v>213</v>
      </c>
      <c r="E45" s="772">
        <f>28995000+1223400+36500</f>
        <v>30254900</v>
      </c>
      <c r="F45" s="772">
        <v>30712700</v>
      </c>
      <c r="G45" s="772">
        <v>30103900</v>
      </c>
      <c r="H45" s="766"/>
      <c r="I45" s="664"/>
    </row>
    <row r="46" spans="1:14" x14ac:dyDescent="0.3">
      <c r="A46" s="681" t="s">
        <v>411</v>
      </c>
      <c r="B46" s="764"/>
      <c r="C46" s="765"/>
      <c r="D46" s="765"/>
      <c r="E46" s="773"/>
      <c r="F46" s="773"/>
      <c r="G46" s="773"/>
      <c r="H46" s="766"/>
      <c r="I46" s="664"/>
    </row>
    <row r="47" spans="1:14" x14ac:dyDescent="0.3">
      <c r="A47" s="681" t="s">
        <v>412</v>
      </c>
      <c r="B47" s="673">
        <v>2142</v>
      </c>
      <c r="C47" s="674">
        <v>119</v>
      </c>
      <c r="D47" s="674" t="s">
        <v>819</v>
      </c>
      <c r="E47" s="675"/>
      <c r="F47" s="675"/>
      <c r="G47" s="675"/>
      <c r="H47" s="691"/>
      <c r="I47" s="664"/>
    </row>
    <row r="48" spans="1:14" ht="39.6" x14ac:dyDescent="0.3">
      <c r="A48" s="672" t="s">
        <v>413</v>
      </c>
      <c r="B48" s="673">
        <v>2150</v>
      </c>
      <c r="C48" s="674">
        <v>131</v>
      </c>
      <c r="D48" s="674"/>
      <c r="E48" s="675"/>
      <c r="F48" s="675"/>
      <c r="G48" s="675"/>
      <c r="H48" s="691"/>
      <c r="I48" s="664"/>
    </row>
    <row r="49" spans="1:9" ht="36.75" customHeight="1" x14ac:dyDescent="0.3">
      <c r="A49" s="692" t="s">
        <v>682</v>
      </c>
      <c r="B49" s="693">
        <v>2160</v>
      </c>
      <c r="C49" s="674">
        <v>133</v>
      </c>
      <c r="D49" s="674"/>
      <c r="E49" s="675"/>
      <c r="F49" s="675"/>
      <c r="G49" s="675"/>
      <c r="H49" s="691"/>
      <c r="I49" s="664"/>
    </row>
    <row r="50" spans="1:9" ht="30.75" customHeight="1" x14ac:dyDescent="0.3">
      <c r="A50" s="694" t="s">
        <v>414</v>
      </c>
      <c r="B50" s="673">
        <v>2170</v>
      </c>
      <c r="C50" s="674">
        <v>134</v>
      </c>
      <c r="D50" s="674"/>
      <c r="E50" s="675"/>
      <c r="F50" s="675"/>
      <c r="G50" s="675"/>
      <c r="H50" s="691"/>
      <c r="I50" s="664"/>
    </row>
    <row r="51" spans="1:9" ht="52.8" x14ac:dyDescent="0.3">
      <c r="A51" s="680" t="s">
        <v>415</v>
      </c>
      <c r="B51" s="695" t="s">
        <v>683</v>
      </c>
      <c r="C51" s="674">
        <v>139</v>
      </c>
      <c r="D51" s="674"/>
      <c r="E51" s="675"/>
      <c r="F51" s="675"/>
      <c r="G51" s="675"/>
      <c r="H51" s="691"/>
      <c r="I51" s="664"/>
    </row>
    <row r="52" spans="1:9" x14ac:dyDescent="0.3">
      <c r="A52" s="680" t="s">
        <v>9</v>
      </c>
      <c r="B52" s="764" t="s">
        <v>684</v>
      </c>
      <c r="C52" s="765">
        <v>139</v>
      </c>
      <c r="D52" s="765"/>
      <c r="E52" s="763"/>
      <c r="F52" s="763"/>
      <c r="G52" s="763"/>
      <c r="H52" s="766"/>
      <c r="I52" s="664"/>
    </row>
    <row r="53" spans="1:9" x14ac:dyDescent="0.3">
      <c r="A53" s="681" t="s">
        <v>416</v>
      </c>
      <c r="B53" s="764"/>
      <c r="C53" s="765"/>
      <c r="D53" s="765"/>
      <c r="E53" s="763"/>
      <c r="F53" s="763"/>
      <c r="G53" s="763"/>
      <c r="H53" s="766"/>
      <c r="I53" s="664"/>
    </row>
    <row r="54" spans="1:9" ht="26.4" x14ac:dyDescent="0.3">
      <c r="A54" s="680" t="s">
        <v>275</v>
      </c>
      <c r="B54" s="673">
        <v>2200</v>
      </c>
      <c r="C54" s="674">
        <v>300</v>
      </c>
      <c r="D54" s="674">
        <v>263.29599999999999</v>
      </c>
      <c r="E54" s="675">
        <f>E55+E61+E57</f>
        <v>540000</v>
      </c>
      <c r="F54" s="702">
        <f t="shared" ref="F54:G54" si="9">F55+F61+F57</f>
        <v>540000</v>
      </c>
      <c r="G54" s="702">
        <f t="shared" si="9"/>
        <v>540000</v>
      </c>
      <c r="H54" s="675">
        <f t="shared" ref="H54" si="10">H55</f>
        <v>0</v>
      </c>
      <c r="I54" s="664"/>
    </row>
    <row r="55" spans="1:9" x14ac:dyDescent="0.3">
      <c r="A55" s="680" t="s">
        <v>9</v>
      </c>
      <c r="B55" s="764">
        <v>2210</v>
      </c>
      <c r="C55" s="765">
        <v>320</v>
      </c>
      <c r="D55" s="765">
        <v>263</v>
      </c>
      <c r="E55" s="763">
        <v>0</v>
      </c>
      <c r="F55" s="763">
        <v>0</v>
      </c>
      <c r="G55" s="763">
        <v>0</v>
      </c>
      <c r="H55" s="766"/>
      <c r="I55" s="664"/>
    </row>
    <row r="56" spans="1:9" ht="39.6" x14ac:dyDescent="0.3">
      <c r="A56" s="690" t="s">
        <v>417</v>
      </c>
      <c r="B56" s="764"/>
      <c r="C56" s="765"/>
      <c r="D56" s="765"/>
      <c r="E56" s="763"/>
      <c r="F56" s="763"/>
      <c r="G56" s="763"/>
      <c r="H56" s="766"/>
      <c r="I56" s="664"/>
    </row>
    <row r="57" spans="1:9" x14ac:dyDescent="0.3">
      <c r="A57" s="680" t="s">
        <v>272</v>
      </c>
      <c r="B57" s="764">
        <v>2211</v>
      </c>
      <c r="C57" s="765">
        <v>321</v>
      </c>
      <c r="D57" s="765">
        <v>263.26499999999999</v>
      </c>
      <c r="E57" s="763">
        <f>540000</f>
        <v>540000</v>
      </c>
      <c r="F57" s="763">
        <v>540000</v>
      </c>
      <c r="G57" s="763">
        <v>540000</v>
      </c>
      <c r="H57" s="766"/>
      <c r="I57" s="664"/>
    </row>
    <row r="58" spans="1:9" ht="52.8" x14ac:dyDescent="0.3">
      <c r="A58" s="681" t="s">
        <v>418</v>
      </c>
      <c r="B58" s="764"/>
      <c r="C58" s="765"/>
      <c r="D58" s="765"/>
      <c r="E58" s="763"/>
      <c r="F58" s="763"/>
      <c r="G58" s="763"/>
      <c r="H58" s="766"/>
      <c r="I58" s="664"/>
    </row>
    <row r="59" spans="1:9" x14ac:dyDescent="0.3">
      <c r="A59" s="681"/>
      <c r="B59" s="687"/>
      <c r="C59" s="674"/>
      <c r="D59" s="674"/>
      <c r="E59" s="675"/>
      <c r="F59" s="675"/>
      <c r="G59" s="675"/>
      <c r="H59" s="675"/>
      <c r="I59" s="664"/>
    </row>
    <row r="60" spans="1:9" ht="52.8" x14ac:dyDescent="0.3">
      <c r="A60" s="672" t="s">
        <v>419</v>
      </c>
      <c r="B60" s="673">
        <v>2220</v>
      </c>
      <c r="C60" s="674">
        <v>340</v>
      </c>
      <c r="D60" s="674"/>
      <c r="E60" s="675"/>
      <c r="F60" s="675"/>
      <c r="G60" s="675"/>
      <c r="H60" s="691"/>
      <c r="I60" s="664"/>
    </row>
    <row r="61" spans="1:9" ht="92.4" x14ac:dyDescent="0.3">
      <c r="A61" s="672" t="s">
        <v>420</v>
      </c>
      <c r="B61" s="673">
        <v>2230</v>
      </c>
      <c r="C61" s="674">
        <v>350</v>
      </c>
      <c r="D61" s="674">
        <v>296</v>
      </c>
      <c r="E61" s="675">
        <v>0</v>
      </c>
      <c r="F61" s="675"/>
      <c r="G61" s="675"/>
      <c r="H61" s="691"/>
      <c r="I61" s="664"/>
    </row>
    <row r="62" spans="1:9" x14ac:dyDescent="0.3">
      <c r="A62" s="672" t="s">
        <v>685</v>
      </c>
      <c r="B62" s="673">
        <v>2240</v>
      </c>
      <c r="C62" s="674">
        <v>360</v>
      </c>
      <c r="D62" s="674"/>
      <c r="E62" s="675"/>
      <c r="F62" s="675"/>
      <c r="G62" s="675"/>
      <c r="H62" s="691"/>
      <c r="I62" s="664"/>
    </row>
    <row r="63" spans="1:9" ht="26.4" x14ac:dyDescent="0.3">
      <c r="A63" s="680" t="s">
        <v>421</v>
      </c>
      <c r="B63" s="673">
        <v>2300</v>
      </c>
      <c r="C63" s="674">
        <v>850</v>
      </c>
      <c r="D63" s="674">
        <v>291</v>
      </c>
      <c r="E63" s="675">
        <f>SUM(E64:E67)</f>
        <v>287500</v>
      </c>
      <c r="F63" s="675">
        <f t="shared" ref="F63:G63" si="11">SUM(F64:F67)</f>
        <v>276500</v>
      </c>
      <c r="G63" s="675">
        <f t="shared" si="11"/>
        <v>266500</v>
      </c>
      <c r="H63" s="691"/>
      <c r="I63" s="664"/>
    </row>
    <row r="64" spans="1:9" x14ac:dyDescent="0.3">
      <c r="A64" s="680" t="s">
        <v>272</v>
      </c>
      <c r="B64" s="764">
        <v>2310</v>
      </c>
      <c r="C64" s="765">
        <v>851</v>
      </c>
      <c r="D64" s="765">
        <v>291</v>
      </c>
      <c r="E64" s="763">
        <f>72000+211000</f>
        <v>283000</v>
      </c>
      <c r="F64" s="763">
        <v>272000</v>
      </c>
      <c r="G64" s="763">
        <v>262000</v>
      </c>
      <c r="H64" s="766"/>
      <c r="I64" s="664"/>
    </row>
    <row r="65" spans="1:9" ht="26.4" x14ac:dyDescent="0.3">
      <c r="A65" s="681" t="s">
        <v>422</v>
      </c>
      <c r="B65" s="764"/>
      <c r="C65" s="765"/>
      <c r="D65" s="765"/>
      <c r="E65" s="763"/>
      <c r="F65" s="763"/>
      <c r="G65" s="763"/>
      <c r="H65" s="766"/>
      <c r="I65" s="664"/>
    </row>
    <row r="66" spans="1:9" ht="39.75" customHeight="1" x14ac:dyDescent="0.3">
      <c r="A66" s="681" t="s">
        <v>423</v>
      </c>
      <c r="B66" s="673">
        <v>2320</v>
      </c>
      <c r="C66" s="674">
        <v>852</v>
      </c>
      <c r="D66" s="674"/>
      <c r="E66" s="675">
        <v>4500</v>
      </c>
      <c r="F66" s="675">
        <v>4500</v>
      </c>
      <c r="G66" s="675">
        <v>4500</v>
      </c>
      <c r="H66" s="691"/>
      <c r="I66" s="664"/>
    </row>
    <row r="67" spans="1:9" ht="39.6" x14ac:dyDescent="0.3">
      <c r="A67" s="672" t="s">
        <v>424</v>
      </c>
      <c r="B67" s="673">
        <v>2330</v>
      </c>
      <c r="C67" s="674">
        <v>853</v>
      </c>
      <c r="D67" s="674"/>
      <c r="E67" s="675"/>
      <c r="F67" s="675"/>
      <c r="G67" s="675"/>
      <c r="H67" s="691"/>
      <c r="I67" s="664"/>
    </row>
    <row r="68" spans="1:9" ht="39.6" x14ac:dyDescent="0.3">
      <c r="A68" s="680" t="s">
        <v>425</v>
      </c>
      <c r="B68" s="673">
        <v>2400</v>
      </c>
      <c r="C68" s="674" t="s">
        <v>14</v>
      </c>
      <c r="D68" s="674" t="s">
        <v>74</v>
      </c>
      <c r="E68" s="675"/>
      <c r="F68" s="675"/>
      <c r="G68" s="675"/>
      <c r="H68" s="691"/>
      <c r="I68" s="664"/>
    </row>
    <row r="69" spans="1:9" x14ac:dyDescent="0.3">
      <c r="A69" s="680" t="s">
        <v>272</v>
      </c>
      <c r="B69" s="764">
        <v>2410</v>
      </c>
      <c r="C69" s="765">
        <v>613</v>
      </c>
      <c r="D69" s="765"/>
      <c r="E69" s="763"/>
      <c r="F69" s="763"/>
      <c r="G69" s="763"/>
      <c r="H69" s="766"/>
      <c r="I69" s="664"/>
    </row>
    <row r="70" spans="1:9" ht="29.25" customHeight="1" x14ac:dyDescent="0.3">
      <c r="A70" s="681" t="s">
        <v>686</v>
      </c>
      <c r="B70" s="764"/>
      <c r="C70" s="765"/>
      <c r="D70" s="765"/>
      <c r="E70" s="763"/>
      <c r="F70" s="763"/>
      <c r="G70" s="763"/>
      <c r="H70" s="766"/>
      <c r="I70" s="664"/>
    </row>
    <row r="71" spans="1:9" ht="31.5" customHeight="1" x14ac:dyDescent="0.3">
      <c r="A71" s="681" t="s">
        <v>687</v>
      </c>
      <c r="B71" s="673">
        <v>2420</v>
      </c>
      <c r="C71" s="674">
        <v>623</v>
      </c>
      <c r="D71" s="674"/>
      <c r="E71" s="675"/>
      <c r="F71" s="675"/>
      <c r="G71" s="675"/>
      <c r="H71" s="691"/>
      <c r="I71" s="664"/>
    </row>
    <row r="72" spans="1:9" ht="57.75" customHeight="1" x14ac:dyDescent="0.3">
      <c r="A72" s="672" t="s">
        <v>688</v>
      </c>
      <c r="B72" s="673">
        <v>2430</v>
      </c>
      <c r="C72" s="674">
        <v>634</v>
      </c>
      <c r="D72" s="674"/>
      <c r="E72" s="675"/>
      <c r="F72" s="675"/>
      <c r="G72" s="675"/>
      <c r="H72" s="691"/>
      <c r="I72" s="664"/>
    </row>
    <row r="73" spans="1:9" ht="27" x14ac:dyDescent="0.3">
      <c r="A73" s="696" t="s">
        <v>426</v>
      </c>
      <c r="B73" s="673" t="s">
        <v>689</v>
      </c>
      <c r="C73" s="674">
        <v>810</v>
      </c>
      <c r="D73" s="674"/>
      <c r="E73" s="675"/>
      <c r="F73" s="675"/>
      <c r="G73" s="675"/>
      <c r="H73" s="691"/>
      <c r="I73" s="664"/>
    </row>
    <row r="74" spans="1:9" ht="27" x14ac:dyDescent="0.3">
      <c r="A74" s="696" t="s">
        <v>427</v>
      </c>
      <c r="B74" s="673" t="s">
        <v>690</v>
      </c>
      <c r="C74" s="674">
        <v>862</v>
      </c>
      <c r="D74" s="674"/>
      <c r="E74" s="675"/>
      <c r="F74" s="675"/>
      <c r="G74" s="675"/>
      <c r="H74" s="691"/>
      <c r="I74" s="664"/>
    </row>
    <row r="75" spans="1:9" ht="66.599999999999994" x14ac:dyDescent="0.3">
      <c r="A75" s="696" t="s">
        <v>428</v>
      </c>
      <c r="B75" s="673" t="s">
        <v>691</v>
      </c>
      <c r="C75" s="674">
        <v>863</v>
      </c>
      <c r="D75" s="674"/>
      <c r="E75" s="675"/>
      <c r="F75" s="675"/>
      <c r="G75" s="675"/>
      <c r="H75" s="691"/>
      <c r="I75" s="664"/>
    </row>
    <row r="76" spans="1:9" ht="26.4" x14ac:dyDescent="0.3">
      <c r="A76" s="672" t="s">
        <v>429</v>
      </c>
      <c r="B76" s="673">
        <v>2500</v>
      </c>
      <c r="C76" s="674" t="s">
        <v>14</v>
      </c>
      <c r="D76" s="674"/>
      <c r="E76" s="675"/>
      <c r="F76" s="675"/>
      <c r="G76" s="675"/>
      <c r="H76" s="691"/>
      <c r="I76" s="664"/>
    </row>
    <row r="77" spans="1:9" ht="66" x14ac:dyDescent="0.3">
      <c r="A77" s="672" t="s">
        <v>430</v>
      </c>
      <c r="B77" s="673">
        <v>2520</v>
      </c>
      <c r="C77" s="674">
        <v>831</v>
      </c>
      <c r="D77" s="674"/>
      <c r="E77" s="675"/>
      <c r="F77" s="675"/>
      <c r="G77" s="675"/>
      <c r="H77" s="691"/>
      <c r="I77" s="664"/>
    </row>
    <row r="78" spans="1:9" ht="65.25" customHeight="1" x14ac:dyDescent="0.3">
      <c r="A78" s="672" t="s">
        <v>431</v>
      </c>
      <c r="B78" s="673">
        <v>2600</v>
      </c>
      <c r="C78" s="674" t="s">
        <v>14</v>
      </c>
      <c r="D78" s="674" t="s">
        <v>820</v>
      </c>
      <c r="E78" s="675">
        <f>E82+E83+E84</f>
        <v>37672010</v>
      </c>
      <c r="F78" s="675">
        <f t="shared" ref="F78:G78" si="12">F82+F83+F84</f>
        <v>38744492</v>
      </c>
      <c r="G78" s="675">
        <f t="shared" si="12"/>
        <v>38701592</v>
      </c>
      <c r="H78" s="675">
        <f t="shared" ref="H78" si="13">H82</f>
        <v>0</v>
      </c>
      <c r="I78" s="664"/>
    </row>
    <row r="79" spans="1:9" x14ac:dyDescent="0.3">
      <c r="A79" s="672" t="s">
        <v>9</v>
      </c>
      <c r="B79" s="767">
        <v>2610</v>
      </c>
      <c r="C79" s="765">
        <v>241</v>
      </c>
      <c r="D79" s="765"/>
      <c r="E79" s="763"/>
      <c r="F79" s="763"/>
      <c r="G79" s="763"/>
      <c r="H79" s="763"/>
      <c r="I79" s="664"/>
    </row>
    <row r="80" spans="1:9" ht="39.6" x14ac:dyDescent="0.3">
      <c r="A80" s="672" t="s">
        <v>832</v>
      </c>
      <c r="B80" s="767"/>
      <c r="C80" s="765"/>
      <c r="D80" s="765"/>
      <c r="E80" s="763"/>
      <c r="F80" s="763"/>
      <c r="G80" s="763"/>
      <c r="H80" s="763"/>
      <c r="I80" s="664"/>
    </row>
    <row r="81" spans="1:9" ht="39.6" x14ac:dyDescent="0.3">
      <c r="A81" s="672" t="s">
        <v>432</v>
      </c>
      <c r="B81" s="673">
        <v>2630</v>
      </c>
      <c r="C81" s="674">
        <v>243</v>
      </c>
      <c r="D81" s="674"/>
      <c r="E81" s="675"/>
      <c r="F81" s="675"/>
      <c r="G81" s="675"/>
      <c r="H81" s="675"/>
      <c r="I81" s="664"/>
    </row>
    <row r="82" spans="1:9" ht="29.25" customHeight="1" x14ac:dyDescent="0.3">
      <c r="A82" s="672" t="s">
        <v>833</v>
      </c>
      <c r="B82" s="673">
        <v>2640</v>
      </c>
      <c r="C82" s="674">
        <v>244</v>
      </c>
      <c r="D82" s="674"/>
      <c r="E82" s="675">
        <f>8500+49500+540000+1173000+28965580+2000000+1029500+44700+78000+15000+198200+6514+82000+48786-6270</f>
        <v>34233010</v>
      </c>
      <c r="F82" s="702">
        <f>8500+50000+538000+1172000+29989492+2000000+975000+78000+15000+198200+6514+82000+48786</f>
        <v>35161492</v>
      </c>
      <c r="G82" s="702">
        <f>8500+50000+571000+1172000+29896092+2000000+979500+78000+15000+198200+6514+82000+48786</f>
        <v>35105592</v>
      </c>
      <c r="H82" s="675"/>
      <c r="I82" s="664"/>
    </row>
    <row r="83" spans="1:9" ht="66" x14ac:dyDescent="0.3">
      <c r="A83" s="680" t="s">
        <v>834</v>
      </c>
      <c r="B83" s="673">
        <v>2650</v>
      </c>
      <c r="C83" s="674">
        <v>246</v>
      </c>
      <c r="D83" s="674"/>
      <c r="E83" s="675"/>
      <c r="F83" s="675"/>
      <c r="G83" s="675"/>
      <c r="H83" s="675"/>
      <c r="I83" s="664"/>
    </row>
    <row r="84" spans="1:9" ht="25.2" customHeight="1" x14ac:dyDescent="0.3">
      <c r="A84" s="672" t="s">
        <v>835</v>
      </c>
      <c r="B84" s="673">
        <v>2660</v>
      </c>
      <c r="C84" s="697">
        <v>247</v>
      </c>
      <c r="D84" s="698"/>
      <c r="E84" s="675">
        <v>3439000</v>
      </c>
      <c r="F84" s="675">
        <v>3583000</v>
      </c>
      <c r="G84" s="675">
        <v>3596000</v>
      </c>
      <c r="H84" s="675"/>
      <c r="I84" s="664"/>
    </row>
    <row r="85" spans="1:9" ht="38.4" customHeight="1" x14ac:dyDescent="0.3">
      <c r="A85" s="672" t="s">
        <v>433</v>
      </c>
      <c r="B85" s="673" t="s">
        <v>836</v>
      </c>
      <c r="C85" s="697">
        <v>400</v>
      </c>
      <c r="D85" s="698"/>
      <c r="E85" s="675"/>
      <c r="F85" s="675"/>
      <c r="G85" s="675"/>
      <c r="H85" s="675"/>
      <c r="I85" s="664"/>
    </row>
    <row r="86" spans="1:9" ht="46.2" customHeight="1" x14ac:dyDescent="0.3">
      <c r="A86" s="672" t="s">
        <v>837</v>
      </c>
      <c r="B86" s="673" t="s">
        <v>838</v>
      </c>
      <c r="C86" s="674">
        <v>406</v>
      </c>
      <c r="D86" s="698"/>
      <c r="E86" s="675"/>
      <c r="F86" s="675"/>
      <c r="G86" s="675"/>
      <c r="H86" s="675"/>
      <c r="I86" s="664"/>
    </row>
    <row r="87" spans="1:9" ht="39.6" x14ac:dyDescent="0.3">
      <c r="A87" s="681" t="s">
        <v>434</v>
      </c>
      <c r="B87" s="673" t="s">
        <v>839</v>
      </c>
      <c r="C87" s="674">
        <v>407</v>
      </c>
      <c r="D87" s="674"/>
      <c r="E87" s="675"/>
      <c r="F87" s="675"/>
      <c r="G87" s="675"/>
      <c r="H87" s="675"/>
      <c r="I87" s="664"/>
    </row>
    <row r="88" spans="1:9" ht="26.25" customHeight="1" x14ac:dyDescent="0.3">
      <c r="A88" s="689" t="s">
        <v>435</v>
      </c>
      <c r="B88" s="667">
        <v>3000</v>
      </c>
      <c r="C88" s="668">
        <v>100</v>
      </c>
      <c r="D88" s="668"/>
      <c r="E88" s="669">
        <f>SUM(E89:E92)</f>
        <v>0</v>
      </c>
      <c r="F88" s="669"/>
      <c r="G88" s="669"/>
      <c r="H88" s="699"/>
      <c r="I88" s="664"/>
    </row>
    <row r="89" spans="1:9" ht="40.5" customHeight="1" x14ac:dyDescent="0.3">
      <c r="A89" s="680" t="s">
        <v>9</v>
      </c>
      <c r="B89" s="764">
        <v>3010</v>
      </c>
      <c r="C89" s="765"/>
      <c r="D89" s="765"/>
      <c r="E89" s="763"/>
      <c r="F89" s="763"/>
      <c r="G89" s="763"/>
      <c r="H89" s="766"/>
      <c r="I89" s="664"/>
    </row>
    <row r="90" spans="1:9" s="670" customFormat="1" x14ac:dyDescent="0.3">
      <c r="A90" s="681" t="s">
        <v>436</v>
      </c>
      <c r="B90" s="764"/>
      <c r="C90" s="765"/>
      <c r="D90" s="765"/>
      <c r="E90" s="763"/>
      <c r="F90" s="763"/>
      <c r="G90" s="763"/>
      <c r="H90" s="766"/>
      <c r="I90" s="664"/>
    </row>
    <row r="91" spans="1:9" x14ac:dyDescent="0.3">
      <c r="A91" s="681" t="s">
        <v>437</v>
      </c>
      <c r="B91" s="673">
        <v>3020</v>
      </c>
      <c r="C91" s="674"/>
      <c r="D91" s="674"/>
      <c r="E91" s="686"/>
      <c r="F91" s="675"/>
      <c r="G91" s="675"/>
      <c r="H91" s="691"/>
      <c r="I91" s="664"/>
    </row>
    <row r="92" spans="1:9" x14ac:dyDescent="0.3">
      <c r="A92" s="672" t="s">
        <v>438</v>
      </c>
      <c r="B92" s="673">
        <v>3030</v>
      </c>
      <c r="C92" s="674"/>
      <c r="D92" s="674"/>
      <c r="E92" s="675"/>
      <c r="F92" s="675"/>
      <c r="G92" s="675"/>
      <c r="H92" s="691"/>
      <c r="I92" s="664"/>
    </row>
    <row r="93" spans="1:9" x14ac:dyDescent="0.3">
      <c r="A93" s="689" t="s">
        <v>439</v>
      </c>
      <c r="B93" s="667">
        <v>4000</v>
      </c>
      <c r="C93" s="668" t="s">
        <v>14</v>
      </c>
      <c r="D93" s="668"/>
      <c r="E93" s="669"/>
      <c r="F93" s="669"/>
      <c r="G93" s="669"/>
      <c r="H93" s="699"/>
      <c r="I93" s="664"/>
    </row>
    <row r="94" spans="1:9" x14ac:dyDescent="0.3">
      <c r="A94" s="680" t="s">
        <v>272</v>
      </c>
      <c r="B94" s="764">
        <v>4010</v>
      </c>
      <c r="C94" s="765">
        <v>610</v>
      </c>
      <c r="D94" s="765"/>
      <c r="E94" s="763"/>
      <c r="F94" s="763"/>
      <c r="G94" s="763"/>
      <c r="H94" s="766"/>
      <c r="I94" s="664"/>
    </row>
    <row r="95" spans="1:9" s="670" customFormat="1" x14ac:dyDescent="0.3">
      <c r="A95" s="681" t="s">
        <v>440</v>
      </c>
      <c r="B95" s="764"/>
      <c r="C95" s="765"/>
      <c r="D95" s="765"/>
      <c r="E95" s="763"/>
      <c r="F95" s="763"/>
      <c r="G95" s="763"/>
      <c r="H95" s="766"/>
      <c r="I95" s="664"/>
    </row>
    <row r="96" spans="1:9" x14ac:dyDescent="0.3">
      <c r="A96" s="700"/>
      <c r="B96" s="687"/>
      <c r="C96" s="674"/>
      <c r="D96" s="674"/>
      <c r="E96" s="675"/>
      <c r="F96" s="675"/>
      <c r="G96" s="675"/>
      <c r="H96" s="675"/>
      <c r="I96" s="664"/>
    </row>
    <row r="97" spans="1:9" ht="26.25" customHeight="1" x14ac:dyDescent="0.3">
      <c r="A97" s="771" t="s">
        <v>692</v>
      </c>
      <c r="B97" s="771"/>
      <c r="C97" s="771"/>
      <c r="D97" s="771"/>
      <c r="E97" s="771"/>
      <c r="F97" s="771"/>
      <c r="G97" s="771"/>
      <c r="H97" s="771"/>
      <c r="I97" s="664"/>
    </row>
    <row r="98" spans="1:9" x14ac:dyDescent="0.3">
      <c r="I98" s="664"/>
    </row>
    <row r="99" spans="1:9" ht="31.95" customHeight="1" x14ac:dyDescent="0.3">
      <c r="A99" s="768" t="s">
        <v>692</v>
      </c>
      <c r="B99" s="769"/>
      <c r="C99" s="769"/>
      <c r="D99" s="769"/>
      <c r="E99" s="769"/>
      <c r="F99" s="769"/>
      <c r="G99" s="769"/>
      <c r="H99" s="770"/>
    </row>
  </sheetData>
  <mergeCells count="130">
    <mergeCell ref="C2:D2"/>
    <mergeCell ref="H34:H35"/>
    <mergeCell ref="B55:B56"/>
    <mergeCell ref="C55:C56"/>
    <mergeCell ref="C79:C80"/>
    <mergeCell ref="D79:D80"/>
    <mergeCell ref="E79:E80"/>
    <mergeCell ref="F79:F80"/>
    <mergeCell ref="G79:G80"/>
    <mergeCell ref="B34:B35"/>
    <mergeCell ref="C34:C35"/>
    <mergeCell ref="D34:D35"/>
    <mergeCell ref="E34:E35"/>
    <mergeCell ref="F34:F35"/>
    <mergeCell ref="G34:G35"/>
    <mergeCell ref="D38:D39"/>
    <mergeCell ref="E38:E39"/>
    <mergeCell ref="F38:F39"/>
    <mergeCell ref="G38:G39"/>
    <mergeCell ref="H38:H39"/>
    <mergeCell ref="G40:G41"/>
    <mergeCell ref="H40:H41"/>
    <mergeCell ref="B38:B39"/>
    <mergeCell ref="C38:C39"/>
    <mergeCell ref="G24:G25"/>
    <mergeCell ref="A4:A5"/>
    <mergeCell ref="B4:B5"/>
    <mergeCell ref="C4:C5"/>
    <mergeCell ref="D4:D5"/>
    <mergeCell ref="E4:H4"/>
    <mergeCell ref="B10:B11"/>
    <mergeCell ref="C10:C11"/>
    <mergeCell ref="D10:D11"/>
    <mergeCell ref="E10:E11"/>
    <mergeCell ref="F10:F11"/>
    <mergeCell ref="G10:G11"/>
    <mergeCell ref="H10:H11"/>
    <mergeCell ref="H24:H25"/>
    <mergeCell ref="B24:B25"/>
    <mergeCell ref="C24:C25"/>
    <mergeCell ref="D24:D25"/>
    <mergeCell ref="F24:F25"/>
    <mergeCell ref="E24:E25"/>
    <mergeCell ref="A3:H3"/>
    <mergeCell ref="A21:A22"/>
    <mergeCell ref="B21:B22"/>
    <mergeCell ref="C21:C22"/>
    <mergeCell ref="D21:D22"/>
    <mergeCell ref="E21:E22"/>
    <mergeCell ref="F21:F22"/>
    <mergeCell ref="G21:G22"/>
    <mergeCell ref="H21:H22"/>
    <mergeCell ref="H12:H13"/>
    <mergeCell ref="B15:B16"/>
    <mergeCell ref="C15:C16"/>
    <mergeCell ref="D15:D16"/>
    <mergeCell ref="E15:E16"/>
    <mergeCell ref="F15:F16"/>
    <mergeCell ref="G15:G16"/>
    <mergeCell ref="H15:H16"/>
    <mergeCell ref="A12:A13"/>
    <mergeCell ref="B12:B13"/>
    <mergeCell ref="C12:C13"/>
    <mergeCell ref="D12:D13"/>
    <mergeCell ref="E12:E13"/>
    <mergeCell ref="F12:F13"/>
    <mergeCell ref="G12:G13"/>
    <mergeCell ref="G45:G46"/>
    <mergeCell ref="H45:H46"/>
    <mergeCell ref="B40:B41"/>
    <mergeCell ref="C40:C41"/>
    <mergeCell ref="D40:D41"/>
    <mergeCell ref="E40:E41"/>
    <mergeCell ref="F40:F41"/>
    <mergeCell ref="B52:B53"/>
    <mergeCell ref="C52:C53"/>
    <mergeCell ref="D52:D53"/>
    <mergeCell ref="E52:E53"/>
    <mergeCell ref="F52:F53"/>
    <mergeCell ref="G52:G53"/>
    <mergeCell ref="H52:H53"/>
    <mergeCell ref="B45:B46"/>
    <mergeCell ref="C45:C46"/>
    <mergeCell ref="D45:D46"/>
    <mergeCell ref="E45:E46"/>
    <mergeCell ref="F45:F46"/>
    <mergeCell ref="D55:D56"/>
    <mergeCell ref="E55:E56"/>
    <mergeCell ref="F55:F56"/>
    <mergeCell ref="G55:G56"/>
    <mergeCell ref="H55:H56"/>
    <mergeCell ref="B57:B58"/>
    <mergeCell ref="C57:C58"/>
    <mergeCell ref="D57:D58"/>
    <mergeCell ref="E57:E58"/>
    <mergeCell ref="F57:F58"/>
    <mergeCell ref="G57:G58"/>
    <mergeCell ref="H57:H58"/>
    <mergeCell ref="B64:B65"/>
    <mergeCell ref="C64:C65"/>
    <mergeCell ref="D64:D65"/>
    <mergeCell ref="E64:E65"/>
    <mergeCell ref="F64:F65"/>
    <mergeCell ref="G64:G65"/>
    <mergeCell ref="H64:H65"/>
    <mergeCell ref="B69:B70"/>
    <mergeCell ref="C69:C70"/>
    <mergeCell ref="D69:D70"/>
    <mergeCell ref="E69:E70"/>
    <mergeCell ref="F69:F70"/>
    <mergeCell ref="G69:G70"/>
    <mergeCell ref="H69:H70"/>
    <mergeCell ref="B94:B95"/>
    <mergeCell ref="C94:C95"/>
    <mergeCell ref="D94:D95"/>
    <mergeCell ref="E94:E95"/>
    <mergeCell ref="F94:F95"/>
    <mergeCell ref="G94:G95"/>
    <mergeCell ref="H94:H95"/>
    <mergeCell ref="A99:H99"/>
    <mergeCell ref="A97:H97"/>
    <mergeCell ref="H79:H80"/>
    <mergeCell ref="B89:B90"/>
    <mergeCell ref="C89:C90"/>
    <mergeCell ref="D89:D90"/>
    <mergeCell ref="E89:E90"/>
    <mergeCell ref="F89:F90"/>
    <mergeCell ref="G89:G90"/>
    <mergeCell ref="H89:H90"/>
    <mergeCell ref="B79:B80"/>
  </mergeCells>
  <pageMargins left="0.70866141732283472" right="0.11811023622047245" top="0.27559055118110237" bottom="0.27559055118110237" header="0.31496062992125984" footer="0.31496062992125984"/>
  <pageSetup paperSize="9" scale="76" fitToHeight="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zoomScale="70" zoomScaleNormal="70" zoomScaleSheetLayoutView="100" workbookViewId="0">
      <selection activeCell="A58" sqref="A1:J58"/>
    </sheetView>
  </sheetViews>
  <sheetFormatPr defaultColWidth="8.88671875" defaultRowHeight="18" x14ac:dyDescent="0.35"/>
  <cols>
    <col min="1" max="1" width="6.88671875" style="458" customWidth="1"/>
    <col min="2" max="2" width="67.6640625" style="458" customWidth="1"/>
    <col min="3" max="3" width="9" style="458" bestFit="1" customWidth="1"/>
    <col min="4" max="4" width="13.88671875" style="458" customWidth="1"/>
    <col min="5" max="5" width="13.6640625" style="458" customWidth="1"/>
    <col min="6" max="6" width="13.109375" style="459" customWidth="1"/>
    <col min="7" max="7" width="29.88671875" style="458" customWidth="1"/>
    <col min="8" max="8" width="26.33203125" style="458" customWidth="1"/>
    <col min="9" max="9" width="27.109375" style="458" customWidth="1"/>
    <col min="10" max="10" width="16.109375" style="458" customWidth="1"/>
    <col min="11" max="13" width="10.6640625" style="458" bestFit="1" customWidth="1"/>
    <col min="14" max="16" width="8.88671875" style="458"/>
    <col min="17" max="17" width="16.5546875" style="458" bestFit="1" customWidth="1"/>
    <col min="18" max="18" width="18.109375" style="458" bestFit="1" customWidth="1"/>
    <col min="19" max="19" width="16.5546875" style="458" bestFit="1" customWidth="1"/>
    <col min="20" max="16384" width="8.88671875" style="458"/>
  </cols>
  <sheetData>
    <row r="1" spans="1:19" x14ac:dyDescent="0.35">
      <c r="A1" s="756" t="s">
        <v>466</v>
      </c>
      <c r="B1" s="756"/>
      <c r="C1" s="756"/>
      <c r="D1" s="756"/>
      <c r="E1" s="756"/>
      <c r="F1" s="756"/>
      <c r="G1" s="756"/>
      <c r="H1" s="756"/>
      <c r="I1" s="756"/>
      <c r="J1" s="756"/>
    </row>
    <row r="2" spans="1:19" x14ac:dyDescent="0.35">
      <c r="G2" s="496">
        <f>'[1]Раздел 1'!E78</f>
        <v>33898170.600000001</v>
      </c>
      <c r="H2" s="496">
        <f>'[1]Раздел 1'!F78</f>
        <v>34084940</v>
      </c>
      <c r="I2" s="496">
        <f>'[1]Раздел 1'!G78</f>
        <v>35092660</v>
      </c>
    </row>
    <row r="3" spans="1:19" x14ac:dyDescent="0.35">
      <c r="A3" s="800" t="s">
        <v>270</v>
      </c>
      <c r="B3" s="800" t="s">
        <v>44</v>
      </c>
      <c r="C3" s="800" t="s">
        <v>442</v>
      </c>
      <c r="D3" s="800" t="s">
        <v>276</v>
      </c>
      <c r="E3" s="801" t="s">
        <v>693</v>
      </c>
      <c r="F3" s="801" t="s">
        <v>793</v>
      </c>
      <c r="G3" s="800" t="s">
        <v>395</v>
      </c>
      <c r="H3" s="800"/>
      <c r="I3" s="800"/>
      <c r="J3" s="800"/>
    </row>
    <row r="4" spans="1:19" ht="78" customHeight="1" x14ac:dyDescent="0.35">
      <c r="A4" s="800"/>
      <c r="B4" s="800"/>
      <c r="C4" s="800"/>
      <c r="D4" s="800"/>
      <c r="E4" s="802"/>
      <c r="F4" s="802"/>
      <c r="G4" s="557" t="s">
        <v>1007</v>
      </c>
      <c r="H4" s="557" t="s">
        <v>1008</v>
      </c>
      <c r="I4" s="557" t="s">
        <v>1009</v>
      </c>
      <c r="J4" s="557" t="s">
        <v>396</v>
      </c>
      <c r="Q4" s="496">
        <f>G2-G6</f>
        <v>0</v>
      </c>
      <c r="R4" s="496">
        <f>H2-H6</f>
        <v>0</v>
      </c>
      <c r="S4" s="496">
        <f>I2-I6</f>
        <v>0</v>
      </c>
    </row>
    <row r="5" spans="1:19" x14ac:dyDescent="0.35">
      <c r="A5" s="555">
        <v>1</v>
      </c>
      <c r="B5" s="557">
        <v>2</v>
      </c>
      <c r="C5" s="557">
        <v>3</v>
      </c>
      <c r="D5" s="557">
        <v>4</v>
      </c>
      <c r="E5" s="460" t="s">
        <v>528</v>
      </c>
      <c r="F5" s="461"/>
      <c r="G5" s="557">
        <v>5</v>
      </c>
      <c r="H5" s="557">
        <v>6</v>
      </c>
      <c r="I5" s="557">
        <v>7</v>
      </c>
      <c r="J5" s="557">
        <v>8</v>
      </c>
    </row>
    <row r="6" spans="1:19" x14ac:dyDescent="0.35">
      <c r="A6" s="555">
        <v>1</v>
      </c>
      <c r="B6" s="462" t="s">
        <v>443</v>
      </c>
      <c r="C6" s="555">
        <v>26000</v>
      </c>
      <c r="D6" s="555" t="s">
        <v>14</v>
      </c>
      <c r="E6" s="555"/>
      <c r="F6" s="463"/>
      <c r="G6" s="556">
        <f>G7+G9+G10+G16</f>
        <v>33898170.600000001</v>
      </c>
      <c r="H6" s="556">
        <f>H7+H9+H10+H16</f>
        <v>34084940</v>
      </c>
      <c r="I6" s="556">
        <f>I7+I9+I10+I16</f>
        <v>35092660</v>
      </c>
      <c r="J6" s="556">
        <f>J7+J9+J10+J16</f>
        <v>0</v>
      </c>
      <c r="K6" s="458" t="b">
        <f>'[2]Раздел 1'!E78='[2]Раздел 2'!G6</f>
        <v>1</v>
      </c>
      <c r="L6" s="458" t="b">
        <f>'[2]Раздел 1'!F78='[2]Раздел 2'!H6</f>
        <v>1</v>
      </c>
      <c r="M6" s="458" t="b">
        <f>'[2]Раздел 1'!G78='[2]Раздел 2'!I6</f>
        <v>1</v>
      </c>
    </row>
    <row r="7" spans="1:19" x14ac:dyDescent="0.35">
      <c r="A7" s="795" t="s">
        <v>27</v>
      </c>
      <c r="B7" s="462" t="s">
        <v>9</v>
      </c>
      <c r="C7" s="796">
        <v>26100</v>
      </c>
      <c r="D7" s="797" t="s">
        <v>14</v>
      </c>
      <c r="E7" s="785"/>
      <c r="F7" s="787"/>
      <c r="G7" s="794"/>
      <c r="H7" s="794"/>
      <c r="I7" s="794"/>
      <c r="J7" s="794"/>
    </row>
    <row r="8" spans="1:19" ht="180" customHeight="1" x14ac:dyDescent="0.35">
      <c r="A8" s="795"/>
      <c r="B8" s="464" t="s">
        <v>842</v>
      </c>
      <c r="C8" s="796"/>
      <c r="D8" s="797"/>
      <c r="E8" s="786"/>
      <c r="F8" s="788"/>
      <c r="G8" s="794"/>
      <c r="H8" s="794"/>
      <c r="I8" s="794"/>
      <c r="J8" s="794"/>
      <c r="R8" s="496"/>
    </row>
    <row r="9" spans="1:19" ht="76.5" customHeight="1" x14ac:dyDescent="0.35">
      <c r="A9" s="555" t="s">
        <v>29</v>
      </c>
      <c r="B9" s="465" t="s">
        <v>843</v>
      </c>
      <c r="C9" s="555">
        <v>26200</v>
      </c>
      <c r="D9" s="555" t="s">
        <v>14</v>
      </c>
      <c r="E9" s="555"/>
      <c r="F9" s="463"/>
      <c r="G9" s="556"/>
      <c r="H9" s="556"/>
      <c r="I9" s="556"/>
      <c r="J9" s="556"/>
      <c r="R9" s="496"/>
    </row>
    <row r="10" spans="1:19" ht="92.25" customHeight="1" x14ac:dyDescent="0.35">
      <c r="A10" s="555" t="s">
        <v>31</v>
      </c>
      <c r="B10" s="462" t="s">
        <v>844</v>
      </c>
      <c r="C10" s="555">
        <v>26300</v>
      </c>
      <c r="D10" s="555" t="s">
        <v>14</v>
      </c>
      <c r="E10" s="555"/>
      <c r="F10" s="463"/>
      <c r="G10" s="556">
        <f>2880+12792332+149789.95+74351.64+13464+59730+953634+1496987.52+48000+127231.95+30000+68200+223499.2+46000+34740+540900+436266-34740+60000</f>
        <v>17123266.259999998</v>
      </c>
      <c r="H10" s="752">
        <f>2880+12792332+149789.95+74351.64+13464+59730+953634+1496987.52+48000+127231.95+30000+68200+223499.2+46000+34740+540900+436266-34740+60000</f>
        <v>17123266.259999998</v>
      </c>
      <c r="I10" s="752">
        <f>2880+12792332+149789.95+74351.64+13464+59730+953634+1496987.52+48000+127231.95+30000+68200+223499.2+46000+34740+540900+436266-34740+60000</f>
        <v>17123266.259999998</v>
      </c>
      <c r="J10" s="556"/>
      <c r="K10" s="458" t="s">
        <v>1002</v>
      </c>
      <c r="M10" s="458" t="s">
        <v>974</v>
      </c>
    </row>
    <row r="11" spans="1:19" x14ac:dyDescent="0.35">
      <c r="A11" s="798" t="s">
        <v>694</v>
      </c>
      <c r="B11" s="462" t="s">
        <v>9</v>
      </c>
      <c r="C11" s="466"/>
      <c r="D11" s="552"/>
      <c r="E11" s="785"/>
      <c r="F11" s="787"/>
      <c r="G11" s="789"/>
      <c r="H11" s="789"/>
      <c r="I11" s="789"/>
      <c r="J11" s="789"/>
    </row>
    <row r="12" spans="1:19" x14ac:dyDescent="0.35">
      <c r="A12" s="799"/>
      <c r="B12" s="467" t="s">
        <v>446</v>
      </c>
      <c r="C12" s="553">
        <v>26310</v>
      </c>
      <c r="D12" s="553" t="s">
        <v>74</v>
      </c>
      <c r="E12" s="786"/>
      <c r="F12" s="788"/>
      <c r="G12" s="790"/>
      <c r="H12" s="790"/>
      <c r="I12" s="790"/>
      <c r="J12" s="790"/>
    </row>
    <row r="13" spans="1:19" ht="54" x14ac:dyDescent="0.35">
      <c r="A13" s="558"/>
      <c r="B13" s="468" t="s">
        <v>695</v>
      </c>
      <c r="C13" s="555" t="s">
        <v>696</v>
      </c>
      <c r="D13" s="555" t="s">
        <v>74</v>
      </c>
      <c r="E13" s="555"/>
      <c r="F13" s="463"/>
      <c r="G13" s="556"/>
      <c r="H13" s="556"/>
      <c r="I13" s="556"/>
      <c r="J13" s="556"/>
    </row>
    <row r="14" spans="1:19" s="459" customFormat="1" ht="29.25" customHeight="1" x14ac:dyDescent="0.35">
      <c r="A14" s="469"/>
      <c r="B14" s="470" t="s">
        <v>794</v>
      </c>
      <c r="C14" s="463" t="s">
        <v>840</v>
      </c>
      <c r="D14" s="463"/>
      <c r="E14" s="463"/>
      <c r="F14" s="463"/>
      <c r="G14" s="471"/>
      <c r="H14" s="471"/>
      <c r="I14" s="471"/>
      <c r="J14" s="471"/>
    </row>
    <row r="15" spans="1:19" x14ac:dyDescent="0.35">
      <c r="A15" s="558" t="s">
        <v>697</v>
      </c>
      <c r="B15" s="468" t="s">
        <v>448</v>
      </c>
      <c r="C15" s="555">
        <v>26320</v>
      </c>
      <c r="D15" s="555" t="s">
        <v>74</v>
      </c>
      <c r="E15" s="555"/>
      <c r="F15" s="463"/>
      <c r="G15" s="556"/>
      <c r="H15" s="556"/>
      <c r="I15" s="556"/>
      <c r="J15" s="556"/>
    </row>
    <row r="16" spans="1:19" ht="72" x14ac:dyDescent="0.35">
      <c r="A16" s="552" t="s">
        <v>268</v>
      </c>
      <c r="B16" s="462" t="s">
        <v>845</v>
      </c>
      <c r="C16" s="555">
        <v>26400</v>
      </c>
      <c r="D16" s="555" t="s">
        <v>14</v>
      </c>
      <c r="E16" s="555"/>
      <c r="F16" s="463"/>
      <c r="G16" s="556">
        <f>G17+G22+G27+G30</f>
        <v>16774904.340000004</v>
      </c>
      <c r="H16" s="556">
        <f t="shared" ref="H16:I16" si="0">H17+H22+H27+H30</f>
        <v>16961673.740000002</v>
      </c>
      <c r="I16" s="556">
        <f t="shared" si="0"/>
        <v>17969393.740000002</v>
      </c>
      <c r="J16" s="556">
        <f>J17+J22+J27+J30+J34-J10</f>
        <v>0</v>
      </c>
      <c r="K16" s="458">
        <v>2022</v>
      </c>
    </row>
    <row r="17" spans="1:11" x14ac:dyDescent="0.35">
      <c r="A17" s="785" t="s">
        <v>469</v>
      </c>
      <c r="B17" s="472" t="s">
        <v>9</v>
      </c>
      <c r="C17" s="796">
        <v>26410</v>
      </c>
      <c r="D17" s="797" t="s">
        <v>14</v>
      </c>
      <c r="E17" s="785"/>
      <c r="F17" s="787"/>
      <c r="G17" s="794">
        <f>SUM(G19:G21)</f>
        <v>16524039.340000004</v>
      </c>
      <c r="H17" s="794">
        <f t="shared" ref="H17:J17" si="1">SUM(H19:H21)</f>
        <v>16755508.740000002</v>
      </c>
      <c r="I17" s="794">
        <f t="shared" si="1"/>
        <v>17763228.740000002</v>
      </c>
      <c r="J17" s="794">
        <f t="shared" si="1"/>
        <v>0</v>
      </c>
    </row>
    <row r="18" spans="1:11" ht="36" x14ac:dyDescent="0.35">
      <c r="A18" s="786"/>
      <c r="B18" s="473" t="s">
        <v>444</v>
      </c>
      <c r="C18" s="796"/>
      <c r="D18" s="797"/>
      <c r="E18" s="786"/>
      <c r="F18" s="788"/>
      <c r="G18" s="794"/>
      <c r="H18" s="794"/>
      <c r="I18" s="794"/>
      <c r="J18" s="794"/>
      <c r="K18" s="458" t="s">
        <v>669</v>
      </c>
    </row>
    <row r="19" spans="1:11" x14ac:dyDescent="0.35">
      <c r="A19" s="804" t="s">
        <v>445</v>
      </c>
      <c r="B19" s="462" t="s">
        <v>9</v>
      </c>
      <c r="C19" s="796">
        <v>26411</v>
      </c>
      <c r="D19" s="797" t="s">
        <v>14</v>
      </c>
      <c r="E19" s="785"/>
      <c r="F19" s="787"/>
      <c r="G19" s="794">
        <f>G2-G10-G22</f>
        <v>16524039.340000004</v>
      </c>
      <c r="H19" s="794">
        <f t="shared" ref="H19:I19" si="2">H2-H10-H22</f>
        <v>16755508.740000002</v>
      </c>
      <c r="I19" s="794">
        <f t="shared" si="2"/>
        <v>17763228.740000002</v>
      </c>
      <c r="J19" s="794"/>
    </row>
    <row r="20" spans="1:11" x14ac:dyDescent="0.35">
      <c r="A20" s="795"/>
      <c r="B20" s="467" t="s">
        <v>446</v>
      </c>
      <c r="C20" s="796"/>
      <c r="D20" s="797"/>
      <c r="E20" s="786"/>
      <c r="F20" s="788"/>
      <c r="G20" s="794"/>
      <c r="H20" s="794"/>
      <c r="I20" s="794"/>
      <c r="J20" s="794"/>
      <c r="K20" s="458" t="s">
        <v>669</v>
      </c>
    </row>
    <row r="21" spans="1:11" ht="36" x14ac:dyDescent="0.35">
      <c r="A21" s="550" t="s">
        <v>447</v>
      </c>
      <c r="B21" s="468" t="s">
        <v>448</v>
      </c>
      <c r="C21" s="551">
        <v>26412</v>
      </c>
      <c r="D21" s="555" t="s">
        <v>14</v>
      </c>
      <c r="E21" s="555"/>
      <c r="F21" s="463"/>
      <c r="G21" s="556"/>
      <c r="H21" s="556"/>
      <c r="I21" s="556"/>
      <c r="J21" s="556"/>
    </row>
    <row r="22" spans="1:11" ht="54" x14ac:dyDescent="0.35">
      <c r="A22" s="550" t="s">
        <v>449</v>
      </c>
      <c r="B22" s="474" t="s">
        <v>450</v>
      </c>
      <c r="C22" s="551">
        <v>26420</v>
      </c>
      <c r="D22" s="555" t="s">
        <v>14</v>
      </c>
      <c r="E22" s="555"/>
      <c r="F22" s="463"/>
      <c r="G22" s="556">
        <f>SUM(G23:G26)</f>
        <v>250865</v>
      </c>
      <c r="H22" s="556">
        <f t="shared" ref="H22:J22" si="3">SUM(H23:H26)</f>
        <v>206165</v>
      </c>
      <c r="I22" s="556">
        <f t="shared" si="3"/>
        <v>206165</v>
      </c>
      <c r="J22" s="556">
        <f t="shared" si="3"/>
        <v>0</v>
      </c>
      <c r="K22" s="458" t="s">
        <v>679</v>
      </c>
    </row>
    <row r="23" spans="1:11" x14ac:dyDescent="0.35">
      <c r="A23" s="785" t="s">
        <v>451</v>
      </c>
      <c r="B23" s="462" t="s">
        <v>9</v>
      </c>
      <c r="C23" s="796">
        <v>26421</v>
      </c>
      <c r="D23" s="797" t="s">
        <v>14</v>
      </c>
      <c r="E23" s="785"/>
      <c r="F23" s="787"/>
      <c r="G23" s="794">
        <f>44700+20000+30000+8000+15000+15000+8865+3300+106000</f>
        <v>250865</v>
      </c>
      <c r="H23" s="794">
        <f>20000+30000+8000+15000+15000+8865+3300+106000</f>
        <v>206165</v>
      </c>
      <c r="I23" s="794">
        <f>20000+30000+8000+15000+15000+8865+3300+106000</f>
        <v>206165</v>
      </c>
      <c r="J23" s="794">
        <v>0</v>
      </c>
    </row>
    <row r="24" spans="1:11" x14ac:dyDescent="0.35">
      <c r="A24" s="805"/>
      <c r="B24" s="467" t="s">
        <v>446</v>
      </c>
      <c r="C24" s="796"/>
      <c r="D24" s="797"/>
      <c r="E24" s="786"/>
      <c r="F24" s="788"/>
      <c r="G24" s="794"/>
      <c r="H24" s="794"/>
      <c r="I24" s="794"/>
      <c r="J24" s="794"/>
      <c r="K24" s="458" t="s">
        <v>679</v>
      </c>
    </row>
    <row r="25" spans="1:11" ht="40.950000000000003" customHeight="1" x14ac:dyDescent="0.35">
      <c r="A25" s="786"/>
      <c r="B25" s="468" t="s">
        <v>695</v>
      </c>
      <c r="C25" s="551" t="s">
        <v>698</v>
      </c>
      <c r="D25" s="555"/>
      <c r="E25" s="555"/>
      <c r="F25" s="463"/>
      <c r="G25" s="556">
        <v>0</v>
      </c>
      <c r="H25" s="556">
        <v>0</v>
      </c>
      <c r="I25" s="556">
        <v>0</v>
      </c>
      <c r="J25" s="556">
        <v>0</v>
      </c>
      <c r="K25" s="458" t="s">
        <v>679</v>
      </c>
    </row>
    <row r="26" spans="1:11" ht="36" x14ac:dyDescent="0.35">
      <c r="A26" s="550" t="s">
        <v>452</v>
      </c>
      <c r="B26" s="474" t="s">
        <v>448</v>
      </c>
      <c r="C26" s="551">
        <v>26422</v>
      </c>
      <c r="D26" s="555" t="s">
        <v>14</v>
      </c>
      <c r="E26" s="555"/>
      <c r="F26" s="463"/>
      <c r="G26" s="556"/>
      <c r="H26" s="556"/>
      <c r="I26" s="556"/>
      <c r="J26" s="556"/>
    </row>
    <row r="27" spans="1:11" ht="36" x14ac:dyDescent="0.35">
      <c r="A27" s="785" t="s">
        <v>453</v>
      </c>
      <c r="B27" s="475" t="s">
        <v>454</v>
      </c>
      <c r="C27" s="551">
        <v>26430</v>
      </c>
      <c r="D27" s="555" t="s">
        <v>14</v>
      </c>
      <c r="E27" s="555"/>
      <c r="F27" s="463"/>
      <c r="G27" s="556"/>
      <c r="H27" s="556"/>
      <c r="I27" s="556"/>
      <c r="J27" s="556"/>
    </row>
    <row r="28" spans="1:11" ht="38.4" customHeight="1" x14ac:dyDescent="0.35">
      <c r="A28" s="786"/>
      <c r="B28" s="468" t="s">
        <v>695</v>
      </c>
      <c r="C28" s="551" t="s">
        <v>699</v>
      </c>
      <c r="D28" s="555" t="s">
        <v>74</v>
      </c>
      <c r="E28" s="555"/>
      <c r="F28" s="463"/>
      <c r="G28" s="556"/>
      <c r="H28" s="556"/>
      <c r="I28" s="556"/>
      <c r="J28" s="556"/>
    </row>
    <row r="29" spans="1:11" ht="24.75" customHeight="1" x14ac:dyDescent="0.35">
      <c r="A29" s="549"/>
      <c r="B29" s="470" t="s">
        <v>794</v>
      </c>
      <c r="C29" s="476" t="s">
        <v>795</v>
      </c>
      <c r="D29" s="555"/>
      <c r="E29" s="555"/>
      <c r="F29" s="463"/>
      <c r="G29" s="556"/>
      <c r="H29" s="556"/>
      <c r="I29" s="556"/>
      <c r="J29" s="556"/>
    </row>
    <row r="30" spans="1:11" x14ac:dyDescent="0.35">
      <c r="A30" s="550" t="s">
        <v>455</v>
      </c>
      <c r="B30" s="462" t="s">
        <v>456</v>
      </c>
      <c r="C30" s="551">
        <v>26440</v>
      </c>
      <c r="D30" s="555" t="s">
        <v>14</v>
      </c>
      <c r="E30" s="555"/>
      <c r="F30" s="463"/>
      <c r="G30" s="556">
        <f>SUM(G31:G33)</f>
        <v>0</v>
      </c>
      <c r="H30" s="556">
        <f t="shared" ref="H30:J30" si="4">SUM(H31:H33)</f>
        <v>0</v>
      </c>
      <c r="I30" s="556">
        <f t="shared" si="4"/>
        <v>0</v>
      </c>
      <c r="J30" s="556">
        <f t="shared" si="4"/>
        <v>0</v>
      </c>
    </row>
    <row r="31" spans="1:11" x14ac:dyDescent="0.35">
      <c r="A31" s="795" t="s">
        <v>457</v>
      </c>
      <c r="B31" s="462" t="s">
        <v>9</v>
      </c>
      <c r="C31" s="796">
        <v>26441</v>
      </c>
      <c r="D31" s="797" t="s">
        <v>14</v>
      </c>
      <c r="E31" s="785"/>
      <c r="F31" s="787"/>
      <c r="G31" s="794"/>
      <c r="H31" s="794"/>
      <c r="I31" s="794"/>
      <c r="J31" s="794"/>
    </row>
    <row r="32" spans="1:11" x14ac:dyDescent="0.35">
      <c r="A32" s="795"/>
      <c r="B32" s="467" t="s">
        <v>446</v>
      </c>
      <c r="C32" s="796"/>
      <c r="D32" s="797"/>
      <c r="E32" s="786"/>
      <c r="F32" s="788"/>
      <c r="G32" s="794"/>
      <c r="H32" s="794"/>
      <c r="I32" s="794"/>
      <c r="J32" s="794"/>
    </row>
    <row r="33" spans="1:11" ht="36" x14ac:dyDescent="0.35">
      <c r="A33" s="550" t="s">
        <v>458</v>
      </c>
      <c r="B33" s="474" t="s">
        <v>448</v>
      </c>
      <c r="C33" s="551">
        <v>26442</v>
      </c>
      <c r="D33" s="555" t="s">
        <v>14</v>
      </c>
      <c r="E33" s="555"/>
      <c r="F33" s="463"/>
      <c r="G33" s="556"/>
      <c r="H33" s="556"/>
      <c r="I33" s="556"/>
      <c r="J33" s="556"/>
    </row>
    <row r="34" spans="1:11" x14ac:dyDescent="0.35">
      <c r="A34" s="550" t="s">
        <v>459</v>
      </c>
      <c r="B34" s="462" t="s">
        <v>460</v>
      </c>
      <c r="C34" s="551">
        <v>26450</v>
      </c>
      <c r="D34" s="555" t="s">
        <v>14</v>
      </c>
      <c r="E34" s="555"/>
      <c r="F34" s="463"/>
      <c r="G34" s="556">
        <f>SUM(G35:G39)</f>
        <v>137300</v>
      </c>
      <c r="H34" s="556">
        <f t="shared" ref="H34:J34" si="5">SUM(H35:H39)</f>
        <v>137300</v>
      </c>
      <c r="I34" s="556">
        <f t="shared" si="5"/>
        <v>137300</v>
      </c>
      <c r="J34" s="556">
        <f t="shared" si="5"/>
        <v>0</v>
      </c>
      <c r="K34" s="458" t="s">
        <v>700</v>
      </c>
    </row>
    <row r="35" spans="1:11" x14ac:dyDescent="0.35">
      <c r="A35" s="795" t="s">
        <v>461</v>
      </c>
      <c r="B35" s="462" t="s">
        <v>9</v>
      </c>
      <c r="C35" s="796">
        <v>26451</v>
      </c>
      <c r="D35" s="797" t="s">
        <v>14</v>
      </c>
      <c r="E35" s="785"/>
      <c r="F35" s="787"/>
      <c r="G35" s="794">
        <f>6600+62000+20000+48700</f>
        <v>137300</v>
      </c>
      <c r="H35" s="794">
        <f>6600+82000+48700</f>
        <v>137300</v>
      </c>
      <c r="I35" s="794">
        <f>6500+82000+48800</f>
        <v>137300</v>
      </c>
      <c r="J35" s="794"/>
    </row>
    <row r="36" spans="1:11" x14ac:dyDescent="0.35">
      <c r="A36" s="795"/>
      <c r="B36" s="467" t="s">
        <v>446</v>
      </c>
      <c r="C36" s="796"/>
      <c r="D36" s="797"/>
      <c r="E36" s="786"/>
      <c r="F36" s="788"/>
      <c r="G36" s="794"/>
      <c r="H36" s="794"/>
      <c r="I36" s="794"/>
      <c r="J36" s="794"/>
      <c r="K36" s="458" t="s">
        <v>700</v>
      </c>
    </row>
    <row r="37" spans="1:11" ht="54" x14ac:dyDescent="0.35">
      <c r="A37" s="550"/>
      <c r="B37" s="468" t="s">
        <v>695</v>
      </c>
      <c r="C37" s="551" t="s">
        <v>701</v>
      </c>
      <c r="D37" s="555"/>
      <c r="E37" s="555"/>
      <c r="F37" s="463"/>
      <c r="G37" s="556"/>
      <c r="H37" s="556"/>
      <c r="I37" s="556"/>
      <c r="J37" s="556"/>
    </row>
    <row r="38" spans="1:11" x14ac:dyDescent="0.35">
      <c r="A38" s="550"/>
      <c r="B38" s="470" t="s">
        <v>794</v>
      </c>
      <c r="C38" s="476" t="s">
        <v>796</v>
      </c>
      <c r="D38" s="555"/>
      <c r="E38" s="555"/>
      <c r="F38" s="463"/>
      <c r="G38" s="556"/>
      <c r="H38" s="556"/>
      <c r="I38" s="556"/>
      <c r="J38" s="556"/>
    </row>
    <row r="39" spans="1:11" ht="36" x14ac:dyDescent="0.35">
      <c r="A39" s="550" t="s">
        <v>462</v>
      </c>
      <c r="B39" s="468" t="s">
        <v>448</v>
      </c>
      <c r="C39" s="551">
        <v>26452</v>
      </c>
      <c r="D39" s="555" t="s">
        <v>14</v>
      </c>
      <c r="E39" s="555"/>
      <c r="F39" s="463"/>
      <c r="G39" s="556"/>
      <c r="H39" s="556"/>
      <c r="I39" s="556"/>
      <c r="J39" s="556"/>
    </row>
    <row r="40" spans="1:11" ht="72" x14ac:dyDescent="0.35">
      <c r="A40" s="550" t="s">
        <v>75</v>
      </c>
      <c r="B40" s="468" t="s">
        <v>463</v>
      </c>
      <c r="C40" s="551">
        <v>26500</v>
      </c>
      <c r="D40" s="555" t="s">
        <v>14</v>
      </c>
      <c r="E40" s="555"/>
      <c r="F40" s="463"/>
      <c r="G40" s="556">
        <f>G41</f>
        <v>16774904.340000004</v>
      </c>
      <c r="H40" s="556">
        <f>H42</f>
        <v>16961673.740000002</v>
      </c>
      <c r="I40" s="556">
        <f>I43</f>
        <v>17969393.740000002</v>
      </c>
      <c r="J40" s="556"/>
    </row>
    <row r="41" spans="1:11" ht="72" x14ac:dyDescent="0.35">
      <c r="A41" s="477" t="s">
        <v>34</v>
      </c>
      <c r="B41" s="468" t="s">
        <v>463</v>
      </c>
      <c r="C41" s="551">
        <v>26501</v>
      </c>
      <c r="D41" s="551">
        <v>2023</v>
      </c>
      <c r="E41" s="551"/>
      <c r="F41" s="476"/>
      <c r="G41" s="478">
        <f>SUM(G16)</f>
        <v>16774904.340000004</v>
      </c>
      <c r="H41" s="478">
        <v>0</v>
      </c>
      <c r="I41" s="478">
        <v>0</v>
      </c>
      <c r="J41" s="478">
        <f t="shared" ref="J41" si="6">SUM(J16)</f>
        <v>0</v>
      </c>
      <c r="K41" s="458" t="s">
        <v>702</v>
      </c>
    </row>
    <row r="42" spans="1:11" ht="72" x14ac:dyDescent="0.35">
      <c r="A42" s="477" t="s">
        <v>36</v>
      </c>
      <c r="B42" s="468" t="s">
        <v>463</v>
      </c>
      <c r="C42" s="551">
        <v>26502</v>
      </c>
      <c r="D42" s="551">
        <v>2024</v>
      </c>
      <c r="E42" s="551"/>
      <c r="F42" s="476"/>
      <c r="G42" s="478">
        <v>0</v>
      </c>
      <c r="H42" s="478">
        <f>H16</f>
        <v>16961673.740000002</v>
      </c>
      <c r="I42" s="478">
        <v>0</v>
      </c>
      <c r="J42" s="478">
        <f t="shared" ref="J42" si="7">J16</f>
        <v>0</v>
      </c>
      <c r="K42" s="458" t="s">
        <v>846</v>
      </c>
    </row>
    <row r="43" spans="1:11" ht="72" x14ac:dyDescent="0.35">
      <c r="A43" s="477" t="s">
        <v>38</v>
      </c>
      <c r="B43" s="474" t="s">
        <v>463</v>
      </c>
      <c r="C43" s="551">
        <v>26503</v>
      </c>
      <c r="D43" s="551">
        <v>2025</v>
      </c>
      <c r="E43" s="551"/>
      <c r="F43" s="476"/>
      <c r="G43" s="478">
        <v>0</v>
      </c>
      <c r="H43" s="478">
        <v>0</v>
      </c>
      <c r="I43" s="478">
        <f>I16</f>
        <v>17969393.740000002</v>
      </c>
      <c r="J43" s="478">
        <f>J16</f>
        <v>0</v>
      </c>
      <c r="K43" s="458" t="s">
        <v>982</v>
      </c>
    </row>
    <row r="44" spans="1:11" x14ac:dyDescent="0.35">
      <c r="A44" s="479"/>
      <c r="B44" s="557" t="s">
        <v>464</v>
      </c>
      <c r="C44" s="480">
        <v>26510</v>
      </c>
      <c r="D44" s="475"/>
      <c r="E44" s="475"/>
      <c r="F44" s="481"/>
      <c r="G44" s="482"/>
      <c r="H44" s="482"/>
      <c r="I44" s="482"/>
      <c r="J44" s="482"/>
    </row>
    <row r="45" spans="1:11" ht="72" x14ac:dyDescent="0.35">
      <c r="A45" s="550" t="s">
        <v>77</v>
      </c>
      <c r="B45" s="474" t="s">
        <v>465</v>
      </c>
      <c r="C45" s="551">
        <v>26600</v>
      </c>
      <c r="D45" s="555" t="s">
        <v>14</v>
      </c>
      <c r="E45" s="555"/>
      <c r="F45" s="463"/>
      <c r="G45" s="556"/>
      <c r="H45" s="556"/>
      <c r="I45" s="556"/>
      <c r="J45" s="556"/>
    </row>
    <row r="46" spans="1:11" x14ac:dyDescent="0.35">
      <c r="A46" s="550"/>
      <c r="B46" s="557" t="s">
        <v>464</v>
      </c>
      <c r="C46" s="551">
        <v>26610</v>
      </c>
      <c r="D46" s="555"/>
      <c r="E46" s="555"/>
      <c r="F46" s="463"/>
      <c r="G46" s="556"/>
      <c r="H46" s="556"/>
      <c r="I46" s="556"/>
      <c r="J46" s="556"/>
    </row>
    <row r="47" spans="1:11" x14ac:dyDescent="0.35">
      <c r="A47" s="483"/>
      <c r="B47" s="475"/>
      <c r="C47" s="475"/>
      <c r="D47" s="475"/>
      <c r="E47" s="475"/>
      <c r="F47" s="481"/>
      <c r="G47" s="482"/>
      <c r="H47" s="482"/>
      <c r="I47" s="482"/>
      <c r="J47" s="482"/>
    </row>
    <row r="48" spans="1:11" ht="59.4" customHeight="1" x14ac:dyDescent="0.35">
      <c r="A48" s="806" t="s">
        <v>841</v>
      </c>
      <c r="B48" s="806"/>
      <c r="C48" s="806"/>
      <c r="D48" s="806"/>
      <c r="E48" s="806"/>
      <c r="F48" s="806"/>
      <c r="G48" s="806"/>
      <c r="H48" s="806"/>
      <c r="I48" s="806"/>
      <c r="J48" s="806"/>
    </row>
    <row r="49" spans="1:11" x14ac:dyDescent="0.35">
      <c r="A49" s="484"/>
      <c r="B49" s="485"/>
      <c r="C49" s="485"/>
      <c r="D49" s="485"/>
      <c r="E49" s="485"/>
      <c r="F49" s="486"/>
      <c r="G49" s="485"/>
      <c r="H49" s="485"/>
      <c r="I49" s="485"/>
      <c r="J49" s="485"/>
    </row>
    <row r="50" spans="1:11" s="491" customFormat="1" ht="15" customHeight="1" x14ac:dyDescent="0.35">
      <c r="A50" s="792" t="s">
        <v>803</v>
      </c>
      <c r="B50" s="792"/>
      <c r="C50" s="792"/>
      <c r="D50" s="487"/>
      <c r="E50" s="487"/>
      <c r="F50" s="488"/>
      <c r="G50" s="487"/>
      <c r="H50" s="489" t="s">
        <v>720</v>
      </c>
      <c r="I50" s="490"/>
      <c r="J50" s="490"/>
    </row>
    <row r="51" spans="1:11" s="491" customFormat="1" ht="15" customHeight="1" x14ac:dyDescent="0.35">
      <c r="A51" s="554"/>
      <c r="B51" s="554"/>
      <c r="C51" s="554"/>
      <c r="D51" s="803" t="s">
        <v>279</v>
      </c>
      <c r="E51" s="803"/>
      <c r="F51" s="803"/>
      <c r="G51" s="803"/>
      <c r="H51" s="492" t="s">
        <v>280</v>
      </c>
      <c r="I51" s="492"/>
      <c r="J51" s="492"/>
    </row>
    <row r="52" spans="1:11" s="491" customFormat="1" ht="15" customHeight="1" x14ac:dyDescent="0.35">
      <c r="A52" s="792" t="s">
        <v>262</v>
      </c>
      <c r="B52" s="792"/>
      <c r="C52" s="792"/>
      <c r="D52" s="487"/>
      <c r="E52" s="487"/>
      <c r="F52" s="488"/>
      <c r="G52" s="487"/>
      <c r="H52" s="489" t="s">
        <v>471</v>
      </c>
      <c r="I52" s="489"/>
      <c r="J52" s="489"/>
    </row>
    <row r="53" spans="1:11" s="491" customFormat="1" ht="15" customHeight="1" x14ac:dyDescent="0.35">
      <c r="A53" s="554"/>
      <c r="B53" s="554"/>
      <c r="C53" s="554"/>
      <c r="D53" s="791" t="s">
        <v>279</v>
      </c>
      <c r="E53" s="791"/>
      <c r="F53" s="791"/>
      <c r="G53" s="791"/>
      <c r="H53" s="493" t="s">
        <v>280</v>
      </c>
      <c r="I53" s="493"/>
      <c r="J53" s="493"/>
    </row>
    <row r="54" spans="1:11" s="491" customFormat="1" ht="15" customHeight="1" x14ac:dyDescent="0.35">
      <c r="A54" s="792" t="s">
        <v>265</v>
      </c>
      <c r="B54" s="792"/>
      <c r="C54" s="792"/>
      <c r="D54" s="487"/>
      <c r="E54" s="487"/>
      <c r="F54" s="488"/>
      <c r="G54" s="487"/>
      <c r="H54" s="489" t="s">
        <v>472</v>
      </c>
      <c r="I54" s="489"/>
      <c r="J54" s="489"/>
    </row>
    <row r="55" spans="1:11" s="491" customFormat="1" x14ac:dyDescent="0.35">
      <c r="A55" s="559"/>
      <c r="B55" s="559"/>
      <c r="C55" s="559"/>
      <c r="D55" s="791" t="s">
        <v>279</v>
      </c>
      <c r="E55" s="791"/>
      <c r="F55" s="791"/>
      <c r="G55" s="791"/>
      <c r="H55" s="493" t="s">
        <v>280</v>
      </c>
      <c r="I55" s="493"/>
      <c r="J55" s="493"/>
    </row>
    <row r="56" spans="1:11" s="491" customFormat="1" x14ac:dyDescent="0.35">
      <c r="A56" s="792" t="s">
        <v>326</v>
      </c>
      <c r="B56" s="792"/>
      <c r="C56" s="792"/>
      <c r="D56" s="487"/>
      <c r="E56" s="487"/>
      <c r="F56" s="488"/>
      <c r="G56" s="487"/>
      <c r="H56" s="489" t="s">
        <v>721</v>
      </c>
      <c r="I56" s="489"/>
      <c r="J56" s="489"/>
    </row>
    <row r="57" spans="1:11" s="491" customFormat="1" x14ac:dyDescent="0.35">
      <c r="A57" s="559"/>
      <c r="B57" s="559"/>
      <c r="C57" s="559"/>
      <c r="D57" s="791" t="s">
        <v>279</v>
      </c>
      <c r="E57" s="791"/>
      <c r="F57" s="791"/>
      <c r="G57" s="791"/>
      <c r="H57" s="493" t="s">
        <v>280</v>
      </c>
      <c r="I57" s="493"/>
      <c r="J57" s="493"/>
    </row>
    <row r="58" spans="1:11" s="495" customFormat="1" x14ac:dyDescent="0.35">
      <c r="A58" s="559"/>
      <c r="B58" s="559"/>
      <c r="C58" s="559"/>
      <c r="D58" s="559"/>
      <c r="E58" s="559"/>
      <c r="F58" s="494"/>
      <c r="G58" s="559"/>
      <c r="H58" s="559"/>
      <c r="I58" s="491"/>
      <c r="J58" s="491"/>
      <c r="K58" s="491"/>
    </row>
    <row r="59" spans="1:11" s="495" customFormat="1" x14ac:dyDescent="0.35">
      <c r="A59" s="793"/>
      <c r="B59" s="793"/>
      <c r="C59" s="559"/>
      <c r="D59" s="559"/>
      <c r="E59" s="559"/>
      <c r="F59" s="494"/>
      <c r="G59" s="559"/>
      <c r="H59" s="559"/>
      <c r="I59" s="491"/>
      <c r="J59" s="491"/>
      <c r="K59" s="491"/>
    </row>
  </sheetData>
  <mergeCells count="80">
    <mergeCell ref="F7:F8"/>
    <mergeCell ref="D51:G51"/>
    <mergeCell ref="A19:A20"/>
    <mergeCell ref="C19:C20"/>
    <mergeCell ref="A23:A25"/>
    <mergeCell ref="C23:C24"/>
    <mergeCell ref="A50:C50"/>
    <mergeCell ref="D19:D20"/>
    <mergeCell ref="G19:G20"/>
    <mergeCell ref="A27:A28"/>
    <mergeCell ref="A31:A32"/>
    <mergeCell ref="C31:C32"/>
    <mergeCell ref="D31:D32"/>
    <mergeCell ref="G31:G32"/>
    <mergeCell ref="A48:J48"/>
    <mergeCell ref="E11:E12"/>
    <mergeCell ref="A1:J1"/>
    <mergeCell ref="A3:A4"/>
    <mergeCell ref="B3:B4"/>
    <mergeCell ref="C3:C4"/>
    <mergeCell ref="D3:D4"/>
    <mergeCell ref="E3:E4"/>
    <mergeCell ref="G3:J3"/>
    <mergeCell ref="F3:F4"/>
    <mergeCell ref="J7:J8"/>
    <mergeCell ref="A11:A12"/>
    <mergeCell ref="A17:A18"/>
    <mergeCell ref="C17:C18"/>
    <mergeCell ref="D17:D18"/>
    <mergeCell ref="G17:G18"/>
    <mergeCell ref="H17:H18"/>
    <mergeCell ref="I17:I18"/>
    <mergeCell ref="J17:J18"/>
    <mergeCell ref="A7:A8"/>
    <mergeCell ref="C7:C8"/>
    <mergeCell ref="D7:D8"/>
    <mergeCell ref="G7:G8"/>
    <mergeCell ref="H7:H8"/>
    <mergeCell ref="I7:I8"/>
    <mergeCell ref="E7:E8"/>
    <mergeCell ref="H19:H20"/>
    <mergeCell ref="I19:I20"/>
    <mergeCell ref="J19:J20"/>
    <mergeCell ref="D23:D24"/>
    <mergeCell ref="G23:G24"/>
    <mergeCell ref="H23:H24"/>
    <mergeCell ref="I23:I24"/>
    <mergeCell ref="J23:J24"/>
    <mergeCell ref="A59:B59"/>
    <mergeCell ref="H31:H32"/>
    <mergeCell ref="I31:I32"/>
    <mergeCell ref="J31:J32"/>
    <mergeCell ref="A35:A36"/>
    <mergeCell ref="C35:C36"/>
    <mergeCell ref="D35:D36"/>
    <mergeCell ref="G35:G36"/>
    <mergeCell ref="H35:H36"/>
    <mergeCell ref="I35:I36"/>
    <mergeCell ref="J35:J36"/>
    <mergeCell ref="E31:E32"/>
    <mergeCell ref="F31:F32"/>
    <mergeCell ref="E35:E36"/>
    <mergeCell ref="F35:F36"/>
    <mergeCell ref="A52:C52"/>
    <mergeCell ref="D53:G53"/>
    <mergeCell ref="A56:C56"/>
    <mergeCell ref="D57:G57"/>
    <mergeCell ref="A54:C54"/>
    <mergeCell ref="D55:G55"/>
    <mergeCell ref="F11:F12"/>
    <mergeCell ref="G11:G12"/>
    <mergeCell ref="H11:H12"/>
    <mergeCell ref="I11:I12"/>
    <mergeCell ref="J11:J12"/>
    <mergeCell ref="E17:E18"/>
    <mergeCell ref="F17:F18"/>
    <mergeCell ref="E19:E20"/>
    <mergeCell ref="F19:F20"/>
    <mergeCell ref="E23:E24"/>
    <mergeCell ref="F23:F24"/>
  </mergeCells>
  <hyperlinks>
    <hyperlink ref="B17" r:id="rId1" display="consultantplus://offline/ref=27B9299060B2EBE5EA3756DDAFB3F19A107080DD5F92214C9BE3AED76819C889372256AD84852DB0F78B91B3A7H5LDJ"/>
    <hyperlink ref="B18" r:id="rId2" display="consultantplus://offline/ref=27B9299060B2EBE5EA3756DDAFB3F19A107184D9539E214C9BE3AED76819C889372256AD84852DB0F78B91B3A7H5LDJ"/>
    <hyperlink ref="B19" r:id="rId3" display="consultantplus://offline/ref=27B9299060B2EBE5EA3756DDAFB3F19A107184DA5999214C9BE3AED76819C88925220EA3848235BAA2C4D7E6AB55A617ACF07EC3765FH7LCJ"/>
    <hyperlink ref="B21" r:id="rId4" display="consultantplus://offline/ref=27B9299060B2EBE5EA3756DDAFB3F19A107080DD5F92214C9BE3AED76819C889372256AD84852DB0F78B91B3A7H5LDJ"/>
    <hyperlink ref="B22" r:id="rId5" display="consultantplus://offline/ref=27B9299060B2EBE5EA3756DDAFB3F19A107184D9539E214C9BE3AED76819C889372256AD84852DB0F78B91B3A7H5LDJ"/>
    <hyperlink ref="B26" r:id="rId6" display="consultantplus://offline/ref=27B9299060B2EBE5EA3756DDAFB3F19A107080DD5F92214C9BE3AED76819C889372256AD84852DB0F78B91B3A7H5LDJ"/>
    <hyperlink ref="B27" r:id="rId7" display="consultantplus://offline/ref=27B9299060B2EBE5EA3756DDAFB3F19A107184D9539E214C9BE3AED76819C889372256AD84852DB0F78B91B3A7H5LDJ"/>
    <hyperlink ref="B31" r:id="rId8" display="consultantplus://offline/ref=27B9299060B2EBE5EA3756DDAFB3F19A107080DD5F92214C9BE3AED76819C889372256AD84852DB0F78B91B3A7H5LDJ"/>
    <hyperlink ref="B32" r:id="rId9" display="consultantplus://offline/ref=27B9299060B2EBE5EA3756DDAFB3F19A107184D9539E214C9BE3AED76819C889372256AD84852DB0F78B91B3A7H5LDJ"/>
    <hyperlink ref="B33" r:id="rId10" display="consultantplus://offline/ref=27B9299060B2EBE5EA3756DDAFB3F19A107080DD5F92214C9BE3AED76819C889372256AD84852DB0F78B91B3A7H5LDJ"/>
    <hyperlink ref="B36" r:id="rId11" display="consultantplus://offline/ref=27B9299060B2EBE5EA3756DDAFB3F19A107184D9539E214C9BE3AED76819C889372256AD84852DB0F78B91B3A7H5LDJ"/>
  </hyperlinks>
  <pageMargins left="0.70866141732283472" right="0.15748031496062992" top="0.27559055118110237" bottom="0.27559055118110237" header="0.31496062992125984" footer="0.31496062992125984"/>
  <pageSetup paperSize="9" scale="40" orientation="portrait" horizontalDpi="300" verticalDpi="300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Q487"/>
  <sheetViews>
    <sheetView topLeftCell="A290" zoomScaleSheetLayoutView="100" workbookViewId="0">
      <selection activeCell="J314" sqref="J314"/>
    </sheetView>
  </sheetViews>
  <sheetFormatPr defaultColWidth="9.109375" defaultRowHeight="15.6" x14ac:dyDescent="0.3"/>
  <cols>
    <col min="1" max="1" width="5.109375" style="173" customWidth="1"/>
    <col min="2" max="2" width="25" style="173" customWidth="1"/>
    <col min="3" max="3" width="9.109375" style="173"/>
    <col min="4" max="4" width="12.109375" style="173" customWidth="1"/>
    <col min="5" max="5" width="24.6640625" style="173" customWidth="1"/>
    <col min="6" max="6" width="10.6640625" style="173" customWidth="1"/>
    <col min="7" max="7" width="12.33203125" style="173" customWidth="1"/>
    <col min="8" max="8" width="10.6640625" style="173" customWidth="1"/>
    <col min="9" max="9" width="16.33203125" style="173" customWidth="1"/>
    <col min="10" max="10" width="24" style="750" customWidth="1"/>
    <col min="11" max="11" width="25.6640625" style="334" customWidth="1"/>
    <col min="12" max="12" width="13.88671875" style="173" customWidth="1"/>
    <col min="13" max="13" width="0.109375" style="173" hidden="1" customWidth="1"/>
    <col min="14" max="14" width="22.88671875" style="173" customWidth="1"/>
    <col min="15" max="16" width="9.109375" style="173"/>
    <col min="17" max="17" width="9.5546875" style="173" bestFit="1" customWidth="1"/>
    <col min="18" max="16384" width="9.109375" style="173"/>
  </cols>
  <sheetData>
    <row r="1" spans="1:11" ht="26.25" customHeight="1" x14ac:dyDescent="0.3">
      <c r="A1" s="947" t="s">
        <v>68</v>
      </c>
      <c r="B1" s="947"/>
      <c r="C1" s="947"/>
      <c r="D1" s="947"/>
      <c r="E1" s="947"/>
      <c r="F1" s="947"/>
      <c r="G1" s="947"/>
      <c r="H1" s="947"/>
      <c r="I1" s="947"/>
      <c r="J1" s="947"/>
    </row>
    <row r="2" spans="1:11" ht="17.25" customHeight="1" x14ac:dyDescent="0.3">
      <c r="A2" s="947" t="s">
        <v>474</v>
      </c>
      <c r="B2" s="947"/>
      <c r="C2" s="947"/>
      <c r="D2" s="947"/>
      <c r="E2" s="947"/>
      <c r="F2" s="947"/>
      <c r="G2" s="947"/>
      <c r="H2" s="947"/>
      <c r="I2" s="947"/>
      <c r="J2" s="947"/>
    </row>
    <row r="3" spans="1:11" ht="47.25" customHeight="1" x14ac:dyDescent="0.3">
      <c r="A3" s="947" t="s">
        <v>372</v>
      </c>
      <c r="B3" s="947"/>
      <c r="C3" s="947"/>
      <c r="D3" s="947"/>
      <c r="E3" s="947"/>
      <c r="F3" s="947"/>
      <c r="G3" s="947"/>
      <c r="H3" s="947"/>
      <c r="I3" s="947"/>
      <c r="J3" s="947"/>
    </row>
    <row r="4" spans="1:11" x14ac:dyDescent="0.3">
      <c r="A4" s="372"/>
      <c r="B4" s="373"/>
      <c r="C4" s="373"/>
      <c r="D4" s="374" t="s">
        <v>267</v>
      </c>
      <c r="E4" s="375">
        <v>2023</v>
      </c>
      <c r="F4" s="376" t="s">
        <v>656</v>
      </c>
      <c r="G4" s="373"/>
      <c r="H4" s="373"/>
      <c r="I4" s="373"/>
      <c r="J4" s="727"/>
    </row>
    <row r="5" spans="1:11" x14ac:dyDescent="0.3">
      <c r="A5" s="893" t="s">
        <v>0</v>
      </c>
      <c r="B5" s="893"/>
      <c r="C5" s="893"/>
      <c r="D5" s="893"/>
      <c r="E5" s="893"/>
      <c r="F5" s="893"/>
      <c r="G5" s="893"/>
      <c r="H5" s="893"/>
      <c r="I5" s="893"/>
      <c r="J5" s="893"/>
    </row>
    <row r="6" spans="1:11" ht="19.5" customHeight="1" x14ac:dyDescent="0.3">
      <c r="A6" s="372" t="s">
        <v>80</v>
      </c>
      <c r="B6" s="373"/>
      <c r="C6" s="377">
        <v>111</v>
      </c>
      <c r="D6" s="377">
        <v>112</v>
      </c>
      <c r="E6" s="377">
        <v>119</v>
      </c>
      <c r="F6" s="378"/>
      <c r="G6" s="378"/>
      <c r="H6" s="378"/>
      <c r="I6" s="378"/>
      <c r="J6" s="728"/>
    </row>
    <row r="7" spans="1:11" ht="22.5" customHeight="1" x14ac:dyDescent="0.3">
      <c r="A7" s="372" t="s">
        <v>81</v>
      </c>
      <c r="B7" s="373"/>
      <c r="C7" s="373"/>
      <c r="D7" s="373"/>
      <c r="E7" s="379" t="s">
        <v>82</v>
      </c>
      <c r="F7" s="380"/>
      <c r="G7" s="379" t="s">
        <v>195</v>
      </c>
      <c r="H7" s="380"/>
      <c r="I7" s="379"/>
      <c r="J7" s="729"/>
    </row>
    <row r="8" spans="1:11" ht="21" customHeight="1" x14ac:dyDescent="0.3">
      <c r="A8" s="871" t="s">
        <v>357</v>
      </c>
      <c r="B8" s="871"/>
      <c r="C8" s="871"/>
      <c r="D8" s="871"/>
      <c r="E8" s="871"/>
      <c r="F8" s="871"/>
      <c r="G8" s="871"/>
      <c r="H8" s="871"/>
      <c r="I8" s="871"/>
      <c r="J8" s="871"/>
    </row>
    <row r="9" spans="1:11" x14ac:dyDescent="0.3">
      <c r="A9" s="948" t="s">
        <v>1</v>
      </c>
      <c r="B9" s="949" t="s">
        <v>2</v>
      </c>
      <c r="C9" s="949" t="s">
        <v>3</v>
      </c>
      <c r="D9" s="948" t="s">
        <v>4</v>
      </c>
      <c r="E9" s="948"/>
      <c r="F9" s="948"/>
      <c r="G9" s="948"/>
      <c r="H9" s="948" t="s">
        <v>5</v>
      </c>
      <c r="I9" s="949" t="s">
        <v>6</v>
      </c>
      <c r="J9" s="950" t="s">
        <v>312</v>
      </c>
    </row>
    <row r="10" spans="1:11" ht="33" customHeight="1" x14ac:dyDescent="0.3">
      <c r="A10" s="948"/>
      <c r="B10" s="949"/>
      <c r="C10" s="949"/>
      <c r="D10" s="949" t="s">
        <v>8</v>
      </c>
      <c r="E10" s="949" t="s">
        <v>9</v>
      </c>
      <c r="F10" s="949"/>
      <c r="G10" s="949"/>
      <c r="H10" s="948"/>
      <c r="I10" s="949"/>
      <c r="J10" s="950"/>
      <c r="K10" s="334">
        <v>1.0389999999999999</v>
      </c>
    </row>
    <row r="11" spans="1:11" ht="69" x14ac:dyDescent="0.3">
      <c r="A11" s="948"/>
      <c r="B11" s="949"/>
      <c r="C11" s="949"/>
      <c r="D11" s="949"/>
      <c r="E11" s="233" t="s">
        <v>10</v>
      </c>
      <c r="F11" s="233" t="s">
        <v>11</v>
      </c>
      <c r="G11" s="233" t="s">
        <v>12</v>
      </c>
      <c r="H11" s="948"/>
      <c r="I11" s="949"/>
      <c r="J11" s="950"/>
    </row>
    <row r="12" spans="1:11" ht="14.25" customHeight="1" x14ac:dyDescent="0.3">
      <c r="A12" s="381">
        <v>1</v>
      </c>
      <c r="B12" s="381">
        <v>2</v>
      </c>
      <c r="C12" s="381">
        <v>3</v>
      </c>
      <c r="D12" s="381">
        <v>4</v>
      </c>
      <c r="E12" s="381">
        <v>5</v>
      </c>
      <c r="F12" s="381">
        <v>6</v>
      </c>
      <c r="G12" s="381">
        <v>7</v>
      </c>
      <c r="H12" s="381">
        <v>8</v>
      </c>
      <c r="I12" s="381">
        <v>9</v>
      </c>
      <c r="J12" s="730">
        <v>10</v>
      </c>
    </row>
    <row r="13" spans="1:11" s="317" customFormat="1" ht="15.75" customHeight="1" x14ac:dyDescent="0.3">
      <c r="A13" s="951" t="s">
        <v>358</v>
      </c>
      <c r="B13" s="949"/>
      <c r="C13" s="949"/>
      <c r="D13" s="949"/>
      <c r="E13" s="949"/>
      <c r="F13" s="949"/>
      <c r="G13" s="949"/>
      <c r="H13" s="949"/>
      <c r="I13" s="949"/>
      <c r="J13" s="949"/>
      <c r="K13" s="334"/>
    </row>
    <row r="14" spans="1:11" s="317" customFormat="1" ht="15.75" customHeight="1" x14ac:dyDescent="0.3">
      <c r="A14" s="957" t="s">
        <v>475</v>
      </c>
      <c r="B14" s="953"/>
      <c r="C14" s="953"/>
      <c r="D14" s="953"/>
      <c r="E14" s="953"/>
      <c r="F14" s="953"/>
      <c r="G14" s="953"/>
      <c r="H14" s="953"/>
      <c r="I14" s="953"/>
      <c r="J14" s="953"/>
      <c r="K14" s="334"/>
    </row>
    <row r="15" spans="1:11" ht="20.25" customHeight="1" x14ac:dyDescent="0.3">
      <c r="A15" s="531">
        <v>1</v>
      </c>
      <c r="B15" s="383" t="s">
        <v>261</v>
      </c>
      <c r="C15" s="531">
        <v>1</v>
      </c>
      <c r="D15" s="384">
        <f>E15+F15+G15</f>
        <v>71296.510090909083</v>
      </c>
      <c r="E15" s="384">
        <f>7107*1.5*(1.3+1.085)+50</f>
        <v>25475.292499999996</v>
      </c>
      <c r="F15" s="384">
        <v>0</v>
      </c>
      <c r="G15" s="384">
        <f>(E15+F15)*20%+(26353+63244.55)/2.2</f>
        <v>45821.217590909087</v>
      </c>
      <c r="H15" s="385">
        <v>50</v>
      </c>
      <c r="I15" s="531">
        <v>1.7</v>
      </c>
      <c r="J15" s="398">
        <f>((C15*D15*(H15/100+I15))*12)</f>
        <v>1882227.8663999999</v>
      </c>
      <c r="K15" s="337" t="s">
        <v>940</v>
      </c>
    </row>
    <row r="16" spans="1:11" ht="45" customHeight="1" x14ac:dyDescent="0.3">
      <c r="A16" s="531">
        <v>2</v>
      </c>
      <c r="B16" s="383" t="s">
        <v>476</v>
      </c>
      <c r="C16" s="531">
        <v>4</v>
      </c>
      <c r="D16" s="384">
        <f>E16+F16+G16</f>
        <v>119620.54320000001</v>
      </c>
      <c r="E16" s="384">
        <f>7107*4*1.5*(0.15+1.3+0.883)+(50*4)</f>
        <v>99683.786000000007</v>
      </c>
      <c r="F16" s="384">
        <v>0</v>
      </c>
      <c r="G16" s="384">
        <f t="shared" ref="G16:G20" si="0">(E16+F16)*20%</f>
        <v>19936.757200000004</v>
      </c>
      <c r="H16" s="385">
        <v>50</v>
      </c>
      <c r="I16" s="531">
        <v>1.7</v>
      </c>
      <c r="J16" s="398">
        <f>((D16*(H16/100+I16))*12)</f>
        <v>3157982.3404800007</v>
      </c>
    </row>
    <row r="17" spans="1:11" ht="45" customHeight="1" x14ac:dyDescent="0.3">
      <c r="A17" s="531">
        <v>3</v>
      </c>
      <c r="B17" s="383" t="s">
        <v>477</v>
      </c>
      <c r="C17" s="531">
        <v>1</v>
      </c>
      <c r="D17" s="384">
        <f>E17+F17+G17</f>
        <v>27986.245799999997</v>
      </c>
      <c r="E17" s="384">
        <f>7107*1.5*(1.3+0.883)+50</f>
        <v>23321.871499999997</v>
      </c>
      <c r="F17" s="384">
        <v>0</v>
      </c>
      <c r="G17" s="384">
        <f>(E17+F17)*20%</f>
        <v>4664.3742999999995</v>
      </c>
      <c r="H17" s="385">
        <v>50</v>
      </c>
      <c r="I17" s="531">
        <v>1.7</v>
      </c>
      <c r="J17" s="398">
        <f t="shared" ref="J17:J20" si="1">((C17*D17*(H17/100+I17))*12)</f>
        <v>738836.88911999995</v>
      </c>
    </row>
    <row r="18" spans="1:11" ht="45" customHeight="1" x14ac:dyDescent="0.3">
      <c r="A18" s="531">
        <v>4</v>
      </c>
      <c r="B18" s="383" t="s">
        <v>478</v>
      </c>
      <c r="C18" s="531">
        <v>1</v>
      </c>
      <c r="D18" s="384">
        <f t="shared" ref="D18:D64" si="2">E18+F18+G18</f>
        <v>27986.245799999997</v>
      </c>
      <c r="E18" s="384">
        <f t="shared" ref="E18:E20" si="3">7107*1.5*(1.3+0.883)+50</f>
        <v>23321.871499999997</v>
      </c>
      <c r="F18" s="384">
        <v>0</v>
      </c>
      <c r="G18" s="384">
        <f t="shared" si="0"/>
        <v>4664.3742999999995</v>
      </c>
      <c r="H18" s="385">
        <v>50</v>
      </c>
      <c r="I18" s="531">
        <v>1.7</v>
      </c>
      <c r="J18" s="398">
        <f t="shared" si="1"/>
        <v>738836.88911999995</v>
      </c>
    </row>
    <row r="19" spans="1:11" ht="49.5" customHeight="1" x14ac:dyDescent="0.3">
      <c r="A19" s="531">
        <v>5</v>
      </c>
      <c r="B19" s="383" t="s">
        <v>479</v>
      </c>
      <c r="C19" s="531">
        <v>1</v>
      </c>
      <c r="D19" s="384">
        <f t="shared" si="2"/>
        <v>27986.245799999997</v>
      </c>
      <c r="E19" s="384">
        <f t="shared" si="3"/>
        <v>23321.871499999997</v>
      </c>
      <c r="F19" s="384">
        <v>0</v>
      </c>
      <c r="G19" s="384">
        <f t="shared" si="0"/>
        <v>4664.3742999999995</v>
      </c>
      <c r="H19" s="385">
        <v>50</v>
      </c>
      <c r="I19" s="531">
        <v>1.7</v>
      </c>
      <c r="J19" s="398">
        <f t="shared" si="1"/>
        <v>738836.88911999995</v>
      </c>
    </row>
    <row r="20" spans="1:11" x14ac:dyDescent="0.3">
      <c r="A20" s="531">
        <v>6</v>
      </c>
      <c r="B20" s="383" t="s">
        <v>262</v>
      </c>
      <c r="C20" s="531">
        <v>1</v>
      </c>
      <c r="D20" s="384">
        <f t="shared" si="2"/>
        <v>27986.245799999997</v>
      </c>
      <c r="E20" s="384">
        <f t="shared" si="3"/>
        <v>23321.871499999997</v>
      </c>
      <c r="F20" s="384">
        <v>0</v>
      </c>
      <c r="G20" s="384">
        <f t="shared" si="0"/>
        <v>4664.3742999999995</v>
      </c>
      <c r="H20" s="385">
        <v>50</v>
      </c>
      <c r="I20" s="531">
        <v>1.7</v>
      </c>
      <c r="J20" s="398">
        <f t="shared" si="1"/>
        <v>738836.88911999995</v>
      </c>
    </row>
    <row r="21" spans="1:11" ht="27.6" x14ac:dyDescent="0.3">
      <c r="A21" s="531"/>
      <c r="B21" s="532" t="s">
        <v>480</v>
      </c>
      <c r="C21" s="387">
        <f>SUM(C15:C20)</f>
        <v>9</v>
      </c>
      <c r="D21" s="388">
        <f>SUM(D15:D20)</f>
        <v>302862.03649090906</v>
      </c>
      <c r="E21" s="387" t="s">
        <v>14</v>
      </c>
      <c r="F21" s="387">
        <v>0</v>
      </c>
      <c r="G21" s="387" t="s">
        <v>14</v>
      </c>
      <c r="H21" s="387" t="s">
        <v>14</v>
      </c>
      <c r="I21" s="387" t="s">
        <v>14</v>
      </c>
      <c r="J21" s="731">
        <f>SUM(J15:J20)</f>
        <v>7995557.7633599993</v>
      </c>
      <c r="K21" s="338"/>
    </row>
    <row r="22" spans="1:11" ht="15.75" customHeight="1" x14ac:dyDescent="0.3">
      <c r="A22" s="952" t="s">
        <v>481</v>
      </c>
      <c r="B22" s="958"/>
      <c r="C22" s="958"/>
      <c r="D22" s="958"/>
      <c r="E22" s="958"/>
      <c r="F22" s="958"/>
      <c r="G22" s="958"/>
      <c r="H22" s="958"/>
      <c r="I22" s="958"/>
      <c r="J22" s="958"/>
    </row>
    <row r="23" spans="1:11" ht="18.75" customHeight="1" x14ac:dyDescent="0.3">
      <c r="A23" s="959" t="s">
        <v>482</v>
      </c>
      <c r="B23" s="960"/>
      <c r="C23" s="960"/>
      <c r="D23" s="960"/>
      <c r="E23" s="960"/>
      <c r="F23" s="960"/>
      <c r="G23" s="960"/>
      <c r="H23" s="960"/>
      <c r="I23" s="960"/>
      <c r="J23" s="961"/>
    </row>
    <row r="24" spans="1:11" x14ac:dyDescent="0.3">
      <c r="A24" s="531">
        <v>1</v>
      </c>
      <c r="B24" s="383" t="s">
        <v>483</v>
      </c>
      <c r="C24" s="751">
        <v>7.5</v>
      </c>
      <c r="D24" s="384">
        <f>E24+F24+G24</f>
        <v>14131.86</v>
      </c>
      <c r="E24" s="384">
        <f>7107*1.5*1.1+50</f>
        <v>11776.550000000001</v>
      </c>
      <c r="F24" s="384">
        <v>0</v>
      </c>
      <c r="G24" s="384">
        <f t="shared" ref="G24:G35" si="4">(E24+F24)*20%</f>
        <v>2355.3100000000004</v>
      </c>
      <c r="H24" s="385">
        <v>50</v>
      </c>
      <c r="I24" s="531">
        <v>1.7</v>
      </c>
      <c r="J24" s="398">
        <f>((C24*D24*(H24/100+I24))*12)</f>
        <v>2798108.2800000003</v>
      </c>
    </row>
    <row r="25" spans="1:11" ht="69" x14ac:dyDescent="0.3">
      <c r="A25" s="531">
        <v>2</v>
      </c>
      <c r="B25" s="383" t="s">
        <v>484</v>
      </c>
      <c r="C25" s="751">
        <v>1</v>
      </c>
      <c r="D25" s="384">
        <f t="shared" si="2"/>
        <v>19888.8</v>
      </c>
      <c r="E25" s="384">
        <v>16574</v>
      </c>
      <c r="F25" s="384">
        <v>0</v>
      </c>
      <c r="G25" s="384">
        <f t="shared" si="4"/>
        <v>3314.8</v>
      </c>
      <c r="H25" s="385">
        <v>50</v>
      </c>
      <c r="I25" s="531">
        <v>1.7</v>
      </c>
      <c r="J25" s="398">
        <f t="shared" ref="J25:J35" si="5">((C25*D25*(H25/100+I25))*12)</f>
        <v>525064.32000000007</v>
      </c>
    </row>
    <row r="26" spans="1:11" x14ac:dyDescent="0.3">
      <c r="A26" s="531">
        <v>3</v>
      </c>
      <c r="B26" s="383" t="s">
        <v>323</v>
      </c>
      <c r="C26" s="751">
        <v>7.5</v>
      </c>
      <c r="D26" s="384">
        <f t="shared" si="2"/>
        <v>19888.8</v>
      </c>
      <c r="E26" s="384">
        <v>16574</v>
      </c>
      <c r="F26" s="384">
        <v>0</v>
      </c>
      <c r="G26" s="384">
        <f t="shared" si="4"/>
        <v>3314.8</v>
      </c>
      <c r="H26" s="385">
        <v>50</v>
      </c>
      <c r="I26" s="531">
        <v>1.7</v>
      </c>
      <c r="J26" s="398">
        <f>((C26*D26*(H26/100+I26))*12)</f>
        <v>3937982.4000000004</v>
      </c>
    </row>
    <row r="27" spans="1:11" x14ac:dyDescent="0.3">
      <c r="A27" s="531">
        <v>4</v>
      </c>
      <c r="B27" s="383" t="s">
        <v>718</v>
      </c>
      <c r="C27" s="751">
        <v>1</v>
      </c>
      <c r="D27" s="384">
        <f t="shared" si="2"/>
        <v>14131.86</v>
      </c>
      <c r="E27" s="384">
        <f t="shared" ref="E27:E33" si="6">7107*1.5*1.1+50</f>
        <v>11776.550000000001</v>
      </c>
      <c r="F27" s="384">
        <v>0</v>
      </c>
      <c r="G27" s="384">
        <f t="shared" si="4"/>
        <v>2355.3100000000004</v>
      </c>
      <c r="H27" s="385">
        <v>50</v>
      </c>
      <c r="I27" s="531">
        <v>1.7</v>
      </c>
      <c r="J27" s="398">
        <f t="shared" si="5"/>
        <v>373081.10400000005</v>
      </c>
      <c r="K27" s="338">
        <f>J36-J34</f>
        <v>17457987.626640007</v>
      </c>
    </row>
    <row r="28" spans="1:11" x14ac:dyDescent="0.3">
      <c r="A28" s="531">
        <v>5</v>
      </c>
      <c r="B28" s="383" t="s">
        <v>485</v>
      </c>
      <c r="C28" s="751">
        <v>2</v>
      </c>
      <c r="D28" s="384">
        <f t="shared" si="2"/>
        <v>11146.8</v>
      </c>
      <c r="E28" s="384">
        <f>9289</f>
        <v>9289</v>
      </c>
      <c r="F28" s="384">
        <v>0</v>
      </c>
      <c r="G28" s="384">
        <f t="shared" si="4"/>
        <v>1857.8000000000002</v>
      </c>
      <c r="H28" s="385">
        <v>50</v>
      </c>
      <c r="I28" s="531">
        <v>1.7</v>
      </c>
      <c r="J28" s="398">
        <f t="shared" si="5"/>
        <v>588551.04</v>
      </c>
    </row>
    <row r="29" spans="1:11" x14ac:dyDescent="0.3">
      <c r="A29" s="531">
        <v>6</v>
      </c>
      <c r="B29" s="383" t="s">
        <v>324</v>
      </c>
      <c r="C29" s="751">
        <v>2</v>
      </c>
      <c r="D29" s="384">
        <f t="shared" si="2"/>
        <v>16050.75</v>
      </c>
      <c r="E29" s="384">
        <f>7107*1.5*1.25+50</f>
        <v>13375.625</v>
      </c>
      <c r="F29" s="384">
        <v>0</v>
      </c>
      <c r="G29" s="384">
        <f t="shared" si="4"/>
        <v>2675.125</v>
      </c>
      <c r="H29" s="385">
        <v>50</v>
      </c>
      <c r="I29" s="531">
        <v>1.7</v>
      </c>
      <c r="J29" s="398">
        <f t="shared" si="5"/>
        <v>847479.60000000009</v>
      </c>
    </row>
    <row r="30" spans="1:11" x14ac:dyDescent="0.3">
      <c r="A30" s="531">
        <v>7</v>
      </c>
      <c r="B30" s="383" t="s">
        <v>322</v>
      </c>
      <c r="C30" s="751">
        <v>4.75</v>
      </c>
      <c r="D30" s="384">
        <f t="shared" si="2"/>
        <v>16050.75</v>
      </c>
      <c r="E30" s="384">
        <f>7107*1.5*1.25+50</f>
        <v>13375.625</v>
      </c>
      <c r="F30" s="384">
        <v>0</v>
      </c>
      <c r="G30" s="384">
        <f t="shared" si="4"/>
        <v>2675.125</v>
      </c>
      <c r="H30" s="385">
        <v>50</v>
      </c>
      <c r="I30" s="531">
        <v>1.7</v>
      </c>
      <c r="J30" s="398">
        <f t="shared" si="5"/>
        <v>2012764.0500000003</v>
      </c>
    </row>
    <row r="31" spans="1:11" x14ac:dyDescent="0.3">
      <c r="A31" s="531">
        <v>8</v>
      </c>
      <c r="B31" s="383" t="s">
        <v>321</v>
      </c>
      <c r="C31" s="531">
        <v>5</v>
      </c>
      <c r="D31" s="384">
        <f t="shared" si="2"/>
        <v>60703.199999999997</v>
      </c>
      <c r="E31" s="384">
        <f>(9289+9520+11244+11244+9289)</f>
        <v>50586</v>
      </c>
      <c r="F31" s="384">
        <v>0</v>
      </c>
      <c r="G31" s="384">
        <f t="shared" si="4"/>
        <v>10117.200000000001</v>
      </c>
      <c r="H31" s="385">
        <v>50</v>
      </c>
      <c r="I31" s="531">
        <v>1.7</v>
      </c>
      <c r="J31" s="398">
        <f>((D31*(H31/100+I31))*12)</f>
        <v>1602564.48</v>
      </c>
    </row>
    <row r="32" spans="1:11" ht="29.25" customHeight="1" x14ac:dyDescent="0.3">
      <c r="A32" s="531">
        <v>9</v>
      </c>
      <c r="B32" s="383" t="s">
        <v>486</v>
      </c>
      <c r="C32" s="531">
        <v>10.73</v>
      </c>
      <c r="D32" s="384">
        <f t="shared" si="2"/>
        <v>15411.12</v>
      </c>
      <c r="E32" s="384">
        <f>7107*1.5*1.2+50</f>
        <v>12842.6</v>
      </c>
      <c r="F32" s="384">
        <v>0</v>
      </c>
      <c r="G32" s="384">
        <f>(E32+F32)*20%</f>
        <v>2568.5200000000004</v>
      </c>
      <c r="H32" s="385">
        <v>50</v>
      </c>
      <c r="I32" s="531">
        <v>1.7</v>
      </c>
      <c r="J32" s="398">
        <f>((C32*D32*(H32/100+I32))*12)</f>
        <v>4365538.7846400011</v>
      </c>
    </row>
    <row r="33" spans="1:17" hidden="1" x14ac:dyDescent="0.3">
      <c r="A33" s="531">
        <v>14</v>
      </c>
      <c r="B33" s="383" t="s">
        <v>324</v>
      </c>
      <c r="C33" s="531">
        <v>0</v>
      </c>
      <c r="D33" s="384">
        <f t="shared" si="2"/>
        <v>14131.86</v>
      </c>
      <c r="E33" s="384">
        <f t="shared" si="6"/>
        <v>11776.550000000001</v>
      </c>
      <c r="F33" s="384"/>
      <c r="G33" s="384">
        <f t="shared" ref="G33:G34" si="7">(E33+F33)*20%</f>
        <v>2355.3100000000004</v>
      </c>
      <c r="H33" s="385">
        <v>50</v>
      </c>
      <c r="I33" s="531">
        <v>1.7</v>
      </c>
      <c r="J33" s="398">
        <f t="shared" si="5"/>
        <v>0</v>
      </c>
    </row>
    <row r="34" spans="1:17" x14ac:dyDescent="0.3">
      <c r="A34" s="531">
        <v>10</v>
      </c>
      <c r="B34" s="383" t="s">
        <v>487</v>
      </c>
      <c r="C34" s="531">
        <v>81.56</v>
      </c>
      <c r="D34" s="384">
        <f t="shared" si="2"/>
        <v>19878</v>
      </c>
      <c r="E34" s="384">
        <v>16565</v>
      </c>
      <c r="F34" s="384">
        <v>0</v>
      </c>
      <c r="G34" s="384">
        <f t="shared" si="7"/>
        <v>3313</v>
      </c>
      <c r="H34" s="385">
        <v>50</v>
      </c>
      <c r="I34" s="531">
        <v>1.7</v>
      </c>
      <c r="J34" s="398">
        <f>((C34*D34*(H34/100+I34))*12)</f>
        <v>42800991.552000001</v>
      </c>
      <c r="K34" s="334">
        <v>74500</v>
      </c>
      <c r="L34" s="173">
        <f>K34*12*53</f>
        <v>47382000</v>
      </c>
    </row>
    <row r="35" spans="1:17" x14ac:dyDescent="0.3">
      <c r="A35" s="531">
        <v>11</v>
      </c>
      <c r="B35" s="383" t="s">
        <v>808</v>
      </c>
      <c r="C35" s="531">
        <v>1</v>
      </c>
      <c r="D35" s="384">
        <f t="shared" si="2"/>
        <v>15411.12</v>
      </c>
      <c r="E35" s="384">
        <f>7107*1.5*1.2+50</f>
        <v>12842.6</v>
      </c>
      <c r="F35" s="384">
        <v>0</v>
      </c>
      <c r="G35" s="384">
        <f t="shared" si="4"/>
        <v>2568.5200000000004</v>
      </c>
      <c r="H35" s="385">
        <v>50</v>
      </c>
      <c r="I35" s="531">
        <v>1.7</v>
      </c>
      <c r="J35" s="398">
        <f t="shared" si="5"/>
        <v>406853.56800000009</v>
      </c>
    </row>
    <row r="36" spans="1:17" s="319" customFormat="1" x14ac:dyDescent="0.3">
      <c r="A36" s="389"/>
      <c r="B36" s="390" t="s">
        <v>489</v>
      </c>
      <c r="C36" s="389">
        <f>SUM(C24:C35)</f>
        <v>124.04</v>
      </c>
      <c r="D36" s="389">
        <f t="shared" ref="D36:J36" si="8">SUM(D24:D35)</f>
        <v>236824.91999999998</v>
      </c>
      <c r="E36" s="389">
        <f t="shared" si="8"/>
        <v>197354.1</v>
      </c>
      <c r="F36" s="389">
        <f t="shared" si="8"/>
        <v>0</v>
      </c>
      <c r="G36" s="389">
        <f t="shared" si="8"/>
        <v>39470.820000000007</v>
      </c>
      <c r="H36" s="389">
        <v>0</v>
      </c>
      <c r="I36" s="389">
        <v>0</v>
      </c>
      <c r="J36" s="732">
        <f t="shared" si="8"/>
        <v>60258979.178640008</v>
      </c>
      <c r="K36" s="340">
        <v>73253</v>
      </c>
      <c r="L36" s="319">
        <f>K36*12*68</f>
        <v>59774448</v>
      </c>
      <c r="N36" s="319">
        <v>72</v>
      </c>
      <c r="O36" s="319">
        <v>12</v>
      </c>
      <c r="P36" s="319">
        <v>1.1000000000000001</v>
      </c>
      <c r="Q36" s="319">
        <f>K36*O36*N36*P36</f>
        <v>69619651.200000003</v>
      </c>
    </row>
    <row r="37" spans="1:17" ht="15.75" customHeight="1" x14ac:dyDescent="0.3">
      <c r="A37" s="959" t="s">
        <v>490</v>
      </c>
      <c r="B37" s="960"/>
      <c r="C37" s="960"/>
      <c r="D37" s="960"/>
      <c r="E37" s="960"/>
      <c r="F37" s="960"/>
      <c r="G37" s="960"/>
      <c r="H37" s="960"/>
      <c r="I37" s="960"/>
      <c r="J37" s="961"/>
      <c r="K37" s="339"/>
    </row>
    <row r="38" spans="1:17" x14ac:dyDescent="0.3">
      <c r="A38" s="531">
        <v>1</v>
      </c>
      <c r="B38" s="383" t="s">
        <v>496</v>
      </c>
      <c r="C38" s="531">
        <v>2</v>
      </c>
      <c r="D38" s="384">
        <f t="shared" ref="D38:D45" si="9">E38+F38+G38</f>
        <v>15743.426399999998</v>
      </c>
      <c r="E38" s="384">
        <f>7107*1.3*1.42</f>
        <v>13119.521999999999</v>
      </c>
      <c r="F38" s="384">
        <v>0</v>
      </c>
      <c r="G38" s="384">
        <f t="shared" ref="G38:G49" si="10">(E38+F38)*20%</f>
        <v>2623.9043999999999</v>
      </c>
      <c r="H38" s="385">
        <v>50</v>
      </c>
      <c r="I38" s="531">
        <v>1.7</v>
      </c>
      <c r="J38" s="398">
        <f t="shared" ref="J38:J49" si="11">((C38*D38*(H38/100+I38))*12)</f>
        <v>831252.91391999996</v>
      </c>
      <c r="K38" s="339"/>
    </row>
    <row r="39" spans="1:17" x14ac:dyDescent="0.3">
      <c r="A39" s="531">
        <v>2</v>
      </c>
      <c r="B39" s="383" t="s">
        <v>495</v>
      </c>
      <c r="C39" s="531">
        <v>1.5</v>
      </c>
      <c r="D39" s="384">
        <f t="shared" si="9"/>
        <v>18805.121999999999</v>
      </c>
      <c r="E39" s="384">
        <f>7107*1.5*1.47</f>
        <v>15670.934999999999</v>
      </c>
      <c r="F39" s="384">
        <v>0</v>
      </c>
      <c r="G39" s="384">
        <f t="shared" si="10"/>
        <v>3134.1869999999999</v>
      </c>
      <c r="H39" s="385">
        <v>50</v>
      </c>
      <c r="I39" s="531">
        <v>1.7</v>
      </c>
      <c r="J39" s="398">
        <f t="shared" si="11"/>
        <v>744682.83120000002</v>
      </c>
      <c r="K39" s="339"/>
    </row>
    <row r="40" spans="1:17" x14ac:dyDescent="0.3">
      <c r="A40" s="531">
        <v>3</v>
      </c>
      <c r="B40" s="383" t="s">
        <v>494</v>
      </c>
      <c r="C40" s="531">
        <v>1.25</v>
      </c>
      <c r="D40" s="384">
        <f t="shared" si="9"/>
        <v>17525.862000000001</v>
      </c>
      <c r="E40" s="384">
        <f>7107*1.5*1.37</f>
        <v>14604.885000000002</v>
      </c>
      <c r="F40" s="384">
        <v>0</v>
      </c>
      <c r="G40" s="384">
        <f t="shared" si="10"/>
        <v>2920.9770000000008</v>
      </c>
      <c r="H40" s="385">
        <v>50</v>
      </c>
      <c r="I40" s="531">
        <v>1.7</v>
      </c>
      <c r="J40" s="398">
        <f t="shared" si="11"/>
        <v>578353.446</v>
      </c>
      <c r="K40" s="339"/>
    </row>
    <row r="41" spans="1:17" x14ac:dyDescent="0.3">
      <c r="A41" s="531">
        <v>4</v>
      </c>
      <c r="B41" s="383" t="s">
        <v>326</v>
      </c>
      <c r="C41" s="531">
        <v>1.25</v>
      </c>
      <c r="D41" s="384">
        <f t="shared" si="9"/>
        <v>15189.080400000001</v>
      </c>
      <c r="E41" s="384">
        <f>7107*1.3*1.37</f>
        <v>12657.567000000001</v>
      </c>
      <c r="F41" s="384">
        <v>0</v>
      </c>
      <c r="G41" s="384">
        <f t="shared" si="10"/>
        <v>2531.5134000000003</v>
      </c>
      <c r="H41" s="385">
        <v>50</v>
      </c>
      <c r="I41" s="531">
        <v>1.7</v>
      </c>
      <c r="J41" s="398">
        <f t="shared" si="11"/>
        <v>501239.65320000006</v>
      </c>
      <c r="K41" s="339"/>
    </row>
    <row r="42" spans="1:17" x14ac:dyDescent="0.3">
      <c r="A42" s="531">
        <v>5</v>
      </c>
      <c r="B42" s="383" t="s">
        <v>327</v>
      </c>
      <c r="C42" s="531">
        <v>1</v>
      </c>
      <c r="D42" s="384">
        <f t="shared" si="9"/>
        <v>17525.862000000001</v>
      </c>
      <c r="E42" s="384">
        <f t="shared" ref="E42:E49" si="12">7107*1.5*1.37</f>
        <v>14604.885000000002</v>
      </c>
      <c r="F42" s="384">
        <v>0</v>
      </c>
      <c r="G42" s="384">
        <f t="shared" si="10"/>
        <v>2920.9770000000008</v>
      </c>
      <c r="H42" s="385">
        <v>50</v>
      </c>
      <c r="I42" s="531">
        <v>1.7</v>
      </c>
      <c r="J42" s="398">
        <f t="shared" si="11"/>
        <v>462682.75680000009</v>
      </c>
      <c r="K42" s="339"/>
    </row>
    <row r="43" spans="1:17" x14ac:dyDescent="0.3">
      <c r="A43" s="531">
        <v>6</v>
      </c>
      <c r="B43" s="383" t="s">
        <v>493</v>
      </c>
      <c r="C43" s="531">
        <v>1</v>
      </c>
      <c r="D43" s="384">
        <f t="shared" si="9"/>
        <v>15189.080400000001</v>
      </c>
      <c r="E43" s="384">
        <f>7107*1.3*1.37</f>
        <v>12657.567000000001</v>
      </c>
      <c r="F43" s="384">
        <v>0</v>
      </c>
      <c r="G43" s="384">
        <f t="shared" si="10"/>
        <v>2531.5134000000003</v>
      </c>
      <c r="H43" s="385">
        <v>50</v>
      </c>
      <c r="I43" s="531">
        <v>1.7</v>
      </c>
      <c r="J43" s="398">
        <f t="shared" si="11"/>
        <v>400991.72256000002</v>
      </c>
      <c r="K43" s="339"/>
    </row>
    <row r="44" spans="1:17" ht="27.6" x14ac:dyDescent="0.3">
      <c r="A44" s="531">
        <v>7</v>
      </c>
      <c r="B44" s="383" t="s">
        <v>492</v>
      </c>
      <c r="C44" s="531">
        <v>1</v>
      </c>
      <c r="D44" s="384">
        <f t="shared" si="9"/>
        <v>17525.862000000001</v>
      </c>
      <c r="E44" s="384">
        <f t="shared" si="12"/>
        <v>14604.885000000002</v>
      </c>
      <c r="F44" s="384">
        <v>0</v>
      </c>
      <c r="G44" s="384">
        <f t="shared" si="10"/>
        <v>2920.9770000000008</v>
      </c>
      <c r="H44" s="385">
        <v>50</v>
      </c>
      <c r="I44" s="531">
        <v>1.7</v>
      </c>
      <c r="J44" s="398">
        <f t="shared" si="11"/>
        <v>462682.75680000009</v>
      </c>
      <c r="K44" s="339"/>
    </row>
    <row r="45" spans="1:17" ht="27.6" x14ac:dyDescent="0.3">
      <c r="A45" s="531">
        <v>8</v>
      </c>
      <c r="B45" s="383" t="s">
        <v>491</v>
      </c>
      <c r="C45" s="531">
        <v>1</v>
      </c>
      <c r="D45" s="384">
        <f t="shared" si="9"/>
        <v>17525.862000000001</v>
      </c>
      <c r="E45" s="384">
        <f t="shared" si="12"/>
        <v>14604.885000000002</v>
      </c>
      <c r="F45" s="384">
        <v>0</v>
      </c>
      <c r="G45" s="384">
        <f t="shared" si="10"/>
        <v>2920.9770000000008</v>
      </c>
      <c r="H45" s="385">
        <v>50</v>
      </c>
      <c r="I45" s="531">
        <v>1.7</v>
      </c>
      <c r="J45" s="398">
        <f t="shared" si="11"/>
        <v>462682.75680000009</v>
      </c>
      <c r="K45" s="339"/>
    </row>
    <row r="46" spans="1:17" ht="27.6" x14ac:dyDescent="0.3">
      <c r="A46" s="531">
        <v>9</v>
      </c>
      <c r="B46" s="383" t="s">
        <v>325</v>
      </c>
      <c r="C46" s="531">
        <v>1</v>
      </c>
      <c r="D46" s="384">
        <f t="shared" si="2"/>
        <v>17525.862000000001</v>
      </c>
      <c r="E46" s="384">
        <f t="shared" si="12"/>
        <v>14604.885000000002</v>
      </c>
      <c r="F46" s="384">
        <v>0</v>
      </c>
      <c r="G46" s="384">
        <f t="shared" si="10"/>
        <v>2920.9770000000008</v>
      </c>
      <c r="H46" s="385">
        <v>50</v>
      </c>
      <c r="I46" s="531">
        <v>1.7</v>
      </c>
      <c r="J46" s="398">
        <f t="shared" si="11"/>
        <v>462682.75680000009</v>
      </c>
      <c r="K46" s="337"/>
    </row>
    <row r="47" spans="1:17" x14ac:dyDescent="0.3">
      <c r="A47" s="531">
        <v>10</v>
      </c>
      <c r="B47" s="383" t="s">
        <v>497</v>
      </c>
      <c r="C47" s="531">
        <v>1</v>
      </c>
      <c r="D47" s="384">
        <f t="shared" si="2"/>
        <v>17525.862000000001</v>
      </c>
      <c r="E47" s="384">
        <f t="shared" si="12"/>
        <v>14604.885000000002</v>
      </c>
      <c r="F47" s="384">
        <v>0</v>
      </c>
      <c r="G47" s="384">
        <f t="shared" si="10"/>
        <v>2920.9770000000008</v>
      </c>
      <c r="H47" s="385">
        <v>50</v>
      </c>
      <c r="I47" s="531">
        <v>1.7</v>
      </c>
      <c r="J47" s="398">
        <f t="shared" si="11"/>
        <v>462682.75680000009</v>
      </c>
    </row>
    <row r="48" spans="1:17" x14ac:dyDescent="0.3">
      <c r="A48" s="531">
        <v>11</v>
      </c>
      <c r="B48" s="383" t="s">
        <v>498</v>
      </c>
      <c r="C48" s="531">
        <v>1</v>
      </c>
      <c r="D48" s="384">
        <f t="shared" si="2"/>
        <v>15189.080400000001</v>
      </c>
      <c r="E48" s="384">
        <f>7107*1.3*1.37</f>
        <v>12657.567000000001</v>
      </c>
      <c r="F48" s="384">
        <v>0</v>
      </c>
      <c r="G48" s="384">
        <f t="shared" si="10"/>
        <v>2531.5134000000003</v>
      </c>
      <c r="H48" s="385">
        <v>50</v>
      </c>
      <c r="I48" s="531">
        <v>1.7</v>
      </c>
      <c r="J48" s="398">
        <f t="shared" si="11"/>
        <v>400991.72256000002</v>
      </c>
    </row>
    <row r="49" spans="1:11" x14ac:dyDescent="0.3">
      <c r="A49" s="531">
        <v>12</v>
      </c>
      <c r="B49" s="383" t="s">
        <v>499</v>
      </c>
      <c r="C49" s="531">
        <v>2</v>
      </c>
      <c r="D49" s="384">
        <f t="shared" si="2"/>
        <v>17525.862000000001</v>
      </c>
      <c r="E49" s="384">
        <f t="shared" si="12"/>
        <v>14604.885000000002</v>
      </c>
      <c r="F49" s="384">
        <v>0</v>
      </c>
      <c r="G49" s="384">
        <f t="shared" si="10"/>
        <v>2920.9770000000008</v>
      </c>
      <c r="H49" s="385">
        <v>50</v>
      </c>
      <c r="I49" s="531">
        <v>1.7</v>
      </c>
      <c r="J49" s="398">
        <f t="shared" si="11"/>
        <v>925365.51360000018</v>
      </c>
    </row>
    <row r="50" spans="1:11" s="319" customFormat="1" x14ac:dyDescent="0.3">
      <c r="A50" s="389"/>
      <c r="B50" s="390" t="s">
        <v>500</v>
      </c>
      <c r="C50" s="389">
        <f>SUM(C38:C49)</f>
        <v>15</v>
      </c>
      <c r="D50" s="389">
        <f t="shared" ref="D50:J50" si="13">SUM(D38:D49)</f>
        <v>202796.82359999997</v>
      </c>
      <c r="E50" s="389">
        <f t="shared" si="13"/>
        <v>168997.35300000006</v>
      </c>
      <c r="F50" s="389">
        <f t="shared" si="13"/>
        <v>0</v>
      </c>
      <c r="G50" s="389">
        <f t="shared" si="13"/>
        <v>33799.470600000001</v>
      </c>
      <c r="H50" s="389">
        <v>0</v>
      </c>
      <c r="I50" s="389">
        <v>0</v>
      </c>
      <c r="J50" s="732">
        <f t="shared" si="13"/>
        <v>6696291.5870400006</v>
      </c>
      <c r="K50" s="341">
        <f>66*12*71500</f>
        <v>56628000</v>
      </c>
    </row>
    <row r="51" spans="1:11" ht="27.6" x14ac:dyDescent="0.3">
      <c r="A51" s="531"/>
      <c r="B51" s="532" t="s">
        <v>501</v>
      </c>
      <c r="C51" s="387">
        <f>C36+C50</f>
        <v>139.04000000000002</v>
      </c>
      <c r="D51" s="387">
        <f>D36+D50</f>
        <v>439621.74359999993</v>
      </c>
      <c r="E51" s="387" t="s">
        <v>14</v>
      </c>
      <c r="F51" s="387" t="s">
        <v>14</v>
      </c>
      <c r="G51" s="387" t="s">
        <v>14</v>
      </c>
      <c r="H51" s="387" t="s">
        <v>14</v>
      </c>
      <c r="I51" s="387" t="s">
        <v>14</v>
      </c>
      <c r="J51" s="731">
        <f>J36+J50</f>
        <v>66955270.765680008</v>
      </c>
    </row>
    <row r="52" spans="1:11" ht="15.75" customHeight="1" x14ac:dyDescent="0.3">
      <c r="A52" s="952" t="s">
        <v>505</v>
      </c>
      <c r="B52" s="958"/>
      <c r="C52" s="958"/>
      <c r="D52" s="958"/>
      <c r="E52" s="958"/>
      <c r="F52" s="958"/>
      <c r="G52" s="958"/>
      <c r="H52" s="958"/>
      <c r="I52" s="958"/>
      <c r="J52" s="958"/>
    </row>
    <row r="53" spans="1:11" x14ac:dyDescent="0.3">
      <c r="A53" s="531">
        <v>1</v>
      </c>
      <c r="B53" s="383" t="s">
        <v>328</v>
      </c>
      <c r="C53" s="531">
        <v>1</v>
      </c>
      <c r="D53" s="384">
        <f t="shared" si="2"/>
        <v>14634.734400000001</v>
      </c>
      <c r="E53" s="384">
        <f>7107*1.3*1.32</f>
        <v>12195.612000000001</v>
      </c>
      <c r="F53" s="384">
        <v>0</v>
      </c>
      <c r="G53" s="384">
        <f>E53*20%</f>
        <v>2439.1224000000002</v>
      </c>
      <c r="H53" s="385">
        <v>50</v>
      </c>
      <c r="I53" s="531">
        <v>1.7</v>
      </c>
      <c r="J53" s="398">
        <f t="shared" ref="J53:J55" si="14">((C53*D53*(H53/100+I53))*12)</f>
        <v>386356.98816000007</v>
      </c>
      <c r="K53" s="337"/>
    </row>
    <row r="54" spans="1:11" x14ac:dyDescent="0.3">
      <c r="A54" s="531">
        <v>2</v>
      </c>
      <c r="B54" s="383" t="s">
        <v>503</v>
      </c>
      <c r="C54" s="531">
        <v>1</v>
      </c>
      <c r="D54" s="384">
        <f t="shared" si="2"/>
        <v>14634.734400000001</v>
      </c>
      <c r="E54" s="384">
        <f t="shared" ref="E54:E55" si="15">7107*1.3*1.32</f>
        <v>12195.612000000001</v>
      </c>
      <c r="F54" s="384">
        <v>0</v>
      </c>
      <c r="G54" s="384">
        <f>E54*20%</f>
        <v>2439.1224000000002</v>
      </c>
      <c r="H54" s="385">
        <v>50</v>
      </c>
      <c r="I54" s="531">
        <v>1.7</v>
      </c>
      <c r="J54" s="398">
        <f t="shared" si="14"/>
        <v>386356.98816000007</v>
      </c>
      <c r="K54" s="337"/>
    </row>
    <row r="55" spans="1:11" ht="27.6" x14ac:dyDescent="0.3">
      <c r="A55" s="531">
        <v>3</v>
      </c>
      <c r="B55" s="383" t="s">
        <v>504</v>
      </c>
      <c r="C55" s="531">
        <v>0.17</v>
      </c>
      <c r="D55" s="384">
        <f t="shared" si="2"/>
        <v>14634.734400000001</v>
      </c>
      <c r="E55" s="384">
        <f t="shared" si="15"/>
        <v>12195.612000000001</v>
      </c>
      <c r="F55" s="384">
        <v>0</v>
      </c>
      <c r="G55" s="384">
        <f>E55*20%</f>
        <v>2439.1224000000002</v>
      </c>
      <c r="H55" s="385">
        <v>50</v>
      </c>
      <c r="I55" s="531">
        <v>1.7</v>
      </c>
      <c r="J55" s="398">
        <f t="shared" si="14"/>
        <v>65680.687987200014</v>
      </c>
    </row>
    <row r="56" spans="1:11" ht="27.6" x14ac:dyDescent="0.3">
      <c r="A56" s="531"/>
      <c r="B56" s="532" t="s">
        <v>502</v>
      </c>
      <c r="C56" s="387">
        <f>SUM(C53:C55)</f>
        <v>2.17</v>
      </c>
      <c r="D56" s="391">
        <f>SUM(D53:D55)</f>
        <v>43904.203200000004</v>
      </c>
      <c r="E56" s="387" t="s">
        <v>14</v>
      </c>
      <c r="F56" s="387" t="s">
        <v>14</v>
      </c>
      <c r="G56" s="387" t="s">
        <v>14</v>
      </c>
      <c r="H56" s="387" t="s">
        <v>14</v>
      </c>
      <c r="I56" s="387" t="s">
        <v>14</v>
      </c>
      <c r="J56" s="401">
        <f>SUM(J53:J55)</f>
        <v>838394.66430720012</v>
      </c>
    </row>
    <row r="57" spans="1:11" ht="15.75" customHeight="1" x14ac:dyDescent="0.3">
      <c r="A57" s="952" t="s">
        <v>506</v>
      </c>
      <c r="B57" s="953"/>
      <c r="C57" s="953"/>
      <c r="D57" s="953"/>
      <c r="E57" s="953"/>
      <c r="F57" s="953"/>
      <c r="G57" s="953"/>
      <c r="H57" s="953"/>
      <c r="I57" s="953"/>
      <c r="J57" s="953"/>
    </row>
    <row r="58" spans="1:11" ht="27.6" x14ac:dyDescent="0.3">
      <c r="A58" s="531">
        <v>1</v>
      </c>
      <c r="B58" s="383" t="s">
        <v>316</v>
      </c>
      <c r="C58" s="531">
        <v>14</v>
      </c>
      <c r="D58" s="384">
        <f t="shared" si="2"/>
        <v>12468.520799999998</v>
      </c>
      <c r="E58" s="384">
        <f>7107*1.462</f>
        <v>10390.433999999999</v>
      </c>
      <c r="F58" s="384">
        <v>0</v>
      </c>
      <c r="G58" s="384">
        <f>(E58+F58)*20%</f>
        <v>2078.0868</v>
      </c>
      <c r="H58" s="385">
        <v>50</v>
      </c>
      <c r="I58" s="531">
        <v>1.7</v>
      </c>
      <c r="J58" s="398">
        <f>((C58*D58*(H58/100+I58))*12)</f>
        <v>4608365.2876800001</v>
      </c>
      <c r="K58" s="337"/>
    </row>
    <row r="59" spans="1:11" x14ac:dyDescent="0.3">
      <c r="A59" s="531">
        <v>2</v>
      </c>
      <c r="B59" s="383" t="s">
        <v>507</v>
      </c>
      <c r="C59" s="531">
        <v>1</v>
      </c>
      <c r="D59" s="384">
        <f>E59+F59+G59</f>
        <v>12647.617200000001</v>
      </c>
      <c r="E59" s="384">
        <f>7107*1.483</f>
        <v>10539.681</v>
      </c>
      <c r="F59" s="384">
        <v>0</v>
      </c>
      <c r="G59" s="384">
        <f t="shared" ref="G59:G63" si="16">(E59+F59)*20%</f>
        <v>2107.9362000000001</v>
      </c>
      <c r="H59" s="385">
        <v>50</v>
      </c>
      <c r="I59" s="531">
        <v>1.7</v>
      </c>
      <c r="J59" s="398">
        <f t="shared" ref="J59:J64" si="17">((C59*D59*(H59/100+I59))*12)</f>
        <v>333897.09408000001</v>
      </c>
      <c r="K59" s="337"/>
    </row>
    <row r="60" spans="1:11" ht="41.4" x14ac:dyDescent="0.3">
      <c r="A60" s="531">
        <v>3</v>
      </c>
      <c r="B60" s="383" t="s">
        <v>314</v>
      </c>
      <c r="C60" s="531">
        <v>1.5</v>
      </c>
      <c r="D60" s="384">
        <f t="shared" si="2"/>
        <v>12570.861599999998</v>
      </c>
      <c r="E60" s="384">
        <f>7107*1.474</f>
        <v>10475.717999999999</v>
      </c>
      <c r="F60" s="384">
        <v>0</v>
      </c>
      <c r="G60" s="384">
        <f t="shared" si="16"/>
        <v>2095.1435999999999</v>
      </c>
      <c r="H60" s="385">
        <v>50</v>
      </c>
      <c r="I60" s="531">
        <v>1.7</v>
      </c>
      <c r="J60" s="398">
        <f t="shared" si="17"/>
        <v>497806.11936000001</v>
      </c>
    </row>
    <row r="61" spans="1:11" x14ac:dyDescent="0.3">
      <c r="A61" s="531">
        <v>4</v>
      </c>
      <c r="B61" s="383" t="s">
        <v>317</v>
      </c>
      <c r="C61" s="531">
        <v>4</v>
      </c>
      <c r="D61" s="384">
        <f t="shared" si="2"/>
        <v>12468.520799999998</v>
      </c>
      <c r="E61" s="384">
        <f t="shared" ref="E61:E64" si="18">7107*1.462</f>
        <v>10390.433999999999</v>
      </c>
      <c r="F61" s="384">
        <v>0</v>
      </c>
      <c r="G61" s="384">
        <f t="shared" si="16"/>
        <v>2078.0868</v>
      </c>
      <c r="H61" s="385">
        <v>50</v>
      </c>
      <c r="I61" s="531">
        <v>1.7</v>
      </c>
      <c r="J61" s="398">
        <f t="shared" si="17"/>
        <v>1316675.79648</v>
      </c>
    </row>
    <row r="62" spans="1:11" x14ac:dyDescent="0.3">
      <c r="A62" s="531">
        <v>5</v>
      </c>
      <c r="B62" s="383" t="s">
        <v>508</v>
      </c>
      <c r="C62" s="531">
        <v>0</v>
      </c>
      <c r="D62" s="384">
        <f t="shared" si="2"/>
        <v>12468.520799999998</v>
      </c>
      <c r="E62" s="384">
        <f t="shared" si="18"/>
        <v>10390.433999999999</v>
      </c>
      <c r="F62" s="384">
        <v>0</v>
      </c>
      <c r="G62" s="384">
        <f t="shared" si="16"/>
        <v>2078.0868</v>
      </c>
      <c r="H62" s="385">
        <v>50</v>
      </c>
      <c r="I62" s="531">
        <v>1.7</v>
      </c>
      <c r="J62" s="398">
        <f t="shared" si="17"/>
        <v>0</v>
      </c>
    </row>
    <row r="63" spans="1:11" x14ac:dyDescent="0.3">
      <c r="A63" s="531">
        <v>6</v>
      </c>
      <c r="B63" s="383" t="s">
        <v>315</v>
      </c>
      <c r="C63" s="531">
        <v>1</v>
      </c>
      <c r="D63" s="384">
        <f t="shared" si="2"/>
        <v>12519.691199999999</v>
      </c>
      <c r="E63" s="384">
        <f>7107*1.468</f>
        <v>10433.075999999999</v>
      </c>
      <c r="F63" s="384">
        <v>0</v>
      </c>
      <c r="G63" s="384">
        <f t="shared" si="16"/>
        <v>2086.6151999999997</v>
      </c>
      <c r="H63" s="385">
        <v>50</v>
      </c>
      <c r="I63" s="531">
        <v>1.7</v>
      </c>
      <c r="J63" s="398">
        <f t="shared" si="17"/>
        <v>330519.84768000001</v>
      </c>
    </row>
    <row r="64" spans="1:11" x14ac:dyDescent="0.3">
      <c r="A64" s="531">
        <v>7</v>
      </c>
      <c r="B64" s="383" t="s">
        <v>318</v>
      </c>
      <c r="C64" s="531">
        <v>2</v>
      </c>
      <c r="D64" s="384">
        <f t="shared" si="2"/>
        <v>12468.520799999998</v>
      </c>
      <c r="E64" s="384">
        <f t="shared" si="18"/>
        <v>10390.433999999999</v>
      </c>
      <c r="F64" s="384">
        <v>0</v>
      </c>
      <c r="G64" s="384">
        <f>(E64+F64)*20%</f>
        <v>2078.0868</v>
      </c>
      <c r="H64" s="385">
        <v>50</v>
      </c>
      <c r="I64" s="531">
        <v>1.7</v>
      </c>
      <c r="J64" s="398">
        <f t="shared" si="17"/>
        <v>658337.89824000001</v>
      </c>
    </row>
    <row r="65" spans="1:14" ht="27.6" x14ac:dyDescent="0.3">
      <c r="A65" s="531"/>
      <c r="B65" s="532" t="s">
        <v>509</v>
      </c>
      <c r="C65" s="387">
        <f>SUM(C58:C64)</f>
        <v>23.5</v>
      </c>
      <c r="D65" s="391">
        <f>SUM(D58:D64)</f>
        <v>87612.253199999992</v>
      </c>
      <c r="E65" s="387"/>
      <c r="F65" s="387" t="s">
        <v>14</v>
      </c>
      <c r="G65" s="387" t="s">
        <v>14</v>
      </c>
      <c r="H65" s="387" t="s">
        <v>14</v>
      </c>
      <c r="I65" s="387" t="s">
        <v>14</v>
      </c>
      <c r="J65" s="401">
        <f>SUM(J58:J64)</f>
        <v>7745602.0435199998</v>
      </c>
      <c r="K65" s="338"/>
    </row>
    <row r="66" spans="1:14" x14ac:dyDescent="0.3">
      <c r="A66" s="531"/>
      <c r="B66" s="532"/>
      <c r="C66" s="387"/>
      <c r="D66" s="391"/>
      <c r="E66" s="387"/>
      <c r="F66" s="387"/>
      <c r="G66" s="387"/>
      <c r="H66" s="387"/>
      <c r="I66" s="387"/>
      <c r="J66" s="401"/>
      <c r="K66" s="338"/>
    </row>
    <row r="67" spans="1:14" s="317" customFormat="1" x14ac:dyDescent="0.3">
      <c r="A67" s="964"/>
      <c r="B67" s="965"/>
      <c r="C67" s="965"/>
      <c r="D67" s="965"/>
      <c r="E67" s="965"/>
      <c r="F67" s="965"/>
      <c r="G67" s="965"/>
      <c r="H67" s="965"/>
      <c r="I67" s="965"/>
      <c r="J67" s="401">
        <v>0</v>
      </c>
      <c r="K67" s="334"/>
    </row>
    <row r="68" spans="1:14" ht="15.75" customHeight="1" x14ac:dyDescent="0.3">
      <c r="A68" s="921" t="s">
        <v>331</v>
      </c>
      <c r="B68" s="921"/>
      <c r="C68" s="387">
        <f>C21+C51+C56+C65</f>
        <v>173.71</v>
      </c>
      <c r="D68" s="391">
        <f>D21+D51+D56+D65</f>
        <v>874000.23649090901</v>
      </c>
      <c r="E68" s="387" t="s">
        <v>14</v>
      </c>
      <c r="F68" s="387" t="s">
        <v>14</v>
      </c>
      <c r="G68" s="387" t="s">
        <v>14</v>
      </c>
      <c r="H68" s="387" t="s">
        <v>14</v>
      </c>
      <c r="I68" s="387" t="s">
        <v>14</v>
      </c>
      <c r="J68" s="731">
        <f>J21+J51+J56+J65+J67</f>
        <v>83534825.236867219</v>
      </c>
      <c r="K68" s="334" t="s">
        <v>941</v>
      </c>
      <c r="L68" s="318"/>
    </row>
    <row r="69" spans="1:14" ht="21" customHeight="1" x14ac:dyDescent="0.3">
      <c r="A69" s="959" t="s">
        <v>335</v>
      </c>
      <c r="B69" s="962"/>
      <c r="C69" s="962"/>
      <c r="D69" s="962"/>
      <c r="E69" s="962"/>
      <c r="F69" s="962"/>
      <c r="G69" s="962"/>
      <c r="H69" s="962"/>
      <c r="I69" s="963"/>
      <c r="J69" s="398">
        <f>J68*10%</f>
        <v>8353482.5236867219</v>
      </c>
      <c r="K69" s="542"/>
      <c r="L69" s="318"/>
    </row>
    <row r="70" spans="1:14" ht="21" customHeight="1" x14ac:dyDescent="0.3">
      <c r="A70" s="1087" t="s">
        <v>320</v>
      </c>
      <c r="B70" s="1088"/>
      <c r="C70" s="1088"/>
      <c r="D70" s="1088"/>
      <c r="E70" s="1088"/>
      <c r="F70" s="1088"/>
      <c r="G70" s="1088"/>
      <c r="H70" s="1088"/>
      <c r="I70" s="1088"/>
      <c r="J70" s="398">
        <v>1990000</v>
      </c>
      <c r="K70" s="542"/>
      <c r="L70" s="318"/>
    </row>
    <row r="71" spans="1:14" ht="17.25" customHeight="1" x14ac:dyDescent="0.3">
      <c r="A71" s="959" t="s">
        <v>998</v>
      </c>
      <c r="B71" s="960"/>
      <c r="C71" s="960"/>
      <c r="D71" s="960"/>
      <c r="E71" s="960"/>
      <c r="F71" s="960"/>
      <c r="G71" s="960"/>
      <c r="H71" s="960"/>
      <c r="I71" s="961"/>
      <c r="J71" s="398">
        <v>1600000</v>
      </c>
      <c r="K71" s="542"/>
      <c r="L71" s="318"/>
    </row>
    <row r="72" spans="1:14" ht="21.75" customHeight="1" x14ac:dyDescent="0.3">
      <c r="A72" s="959" t="s">
        <v>331</v>
      </c>
      <c r="B72" s="960"/>
      <c r="C72" s="960"/>
      <c r="D72" s="960"/>
      <c r="E72" s="960"/>
      <c r="F72" s="960"/>
      <c r="G72" s="960"/>
      <c r="H72" s="960"/>
      <c r="I72" s="961"/>
      <c r="J72" s="401">
        <f>J68+J69+J67+J71+J70-307.7605539</f>
        <v>95478000.000000045</v>
      </c>
      <c r="L72" s="324">
        <v>84800000</v>
      </c>
      <c r="N72" s="394">
        <f>J72-L72</f>
        <v>10678000.000000045</v>
      </c>
    </row>
    <row r="73" spans="1:14" ht="65.25" hidden="1" customHeight="1" x14ac:dyDescent="0.3">
      <c r="A73" s="261"/>
      <c r="B73" s="261" t="s">
        <v>607</v>
      </c>
      <c r="C73" s="261"/>
      <c r="D73" s="261"/>
      <c r="E73" s="261"/>
      <c r="F73" s="261"/>
      <c r="G73" s="261"/>
      <c r="H73" s="261"/>
      <c r="I73" s="514"/>
      <c r="J73" s="398">
        <v>0</v>
      </c>
      <c r="L73" s="324"/>
    </row>
    <row r="74" spans="1:14" ht="20.25" hidden="1" customHeight="1" x14ac:dyDescent="0.3">
      <c r="A74" s="959" t="s">
        <v>631</v>
      </c>
      <c r="B74" s="960"/>
      <c r="C74" s="960"/>
      <c r="D74" s="960"/>
      <c r="E74" s="960"/>
      <c r="F74" s="960"/>
      <c r="G74" s="960"/>
      <c r="H74" s="960"/>
      <c r="I74" s="961"/>
      <c r="J74" s="398">
        <v>0</v>
      </c>
      <c r="L74" s="324"/>
    </row>
    <row r="75" spans="1:14" ht="39.75" hidden="1" customHeight="1" x14ac:dyDescent="0.3">
      <c r="A75" s="959" t="s">
        <v>599</v>
      </c>
      <c r="B75" s="960"/>
      <c r="C75" s="960"/>
      <c r="D75" s="960"/>
      <c r="E75" s="960"/>
      <c r="F75" s="960"/>
      <c r="G75" s="960"/>
      <c r="H75" s="960"/>
      <c r="I75" s="961"/>
      <c r="J75" s="398">
        <v>0</v>
      </c>
      <c r="L75" s="324"/>
    </row>
    <row r="76" spans="1:14" hidden="1" x14ac:dyDescent="0.3">
      <c r="A76" s="395"/>
      <c r="B76" s="395"/>
      <c r="C76" s="396"/>
      <c r="D76" s="397"/>
      <c r="E76" s="396"/>
      <c r="F76" s="396"/>
      <c r="G76" s="396"/>
      <c r="H76" s="396"/>
      <c r="I76" s="513"/>
      <c r="J76" s="733"/>
      <c r="L76" s="324"/>
    </row>
    <row r="77" spans="1:14" hidden="1" x14ac:dyDescent="0.3">
      <c r="A77" s="949" t="s">
        <v>1</v>
      </c>
      <c r="B77" s="949" t="s">
        <v>2</v>
      </c>
      <c r="C77" s="949" t="s">
        <v>3</v>
      </c>
      <c r="D77" s="948" t="s">
        <v>4</v>
      </c>
      <c r="E77" s="948"/>
      <c r="F77" s="948"/>
      <c r="G77" s="948"/>
      <c r="H77" s="949" t="s">
        <v>5</v>
      </c>
      <c r="I77" s="949" t="s">
        <v>6</v>
      </c>
      <c r="J77" s="950" t="s">
        <v>312</v>
      </c>
      <c r="L77" s="324"/>
    </row>
    <row r="78" spans="1:14" hidden="1" x14ac:dyDescent="0.3">
      <c r="A78" s="949"/>
      <c r="B78" s="949"/>
      <c r="C78" s="949"/>
      <c r="D78" s="949" t="s">
        <v>8</v>
      </c>
      <c r="E78" s="948" t="s">
        <v>9</v>
      </c>
      <c r="F78" s="948"/>
      <c r="G78" s="948"/>
      <c r="H78" s="949"/>
      <c r="I78" s="949"/>
      <c r="J78" s="950"/>
      <c r="L78" s="324"/>
    </row>
    <row r="79" spans="1:14" ht="69" hidden="1" x14ac:dyDescent="0.3">
      <c r="A79" s="949"/>
      <c r="B79" s="949"/>
      <c r="C79" s="949"/>
      <c r="D79" s="949"/>
      <c r="E79" s="233" t="s">
        <v>10</v>
      </c>
      <c r="F79" s="233" t="s">
        <v>11</v>
      </c>
      <c r="G79" s="233" t="s">
        <v>12</v>
      </c>
      <c r="H79" s="949"/>
      <c r="I79" s="949"/>
      <c r="J79" s="950"/>
      <c r="L79" s="324"/>
    </row>
    <row r="80" spans="1:14" hidden="1" x14ac:dyDescent="0.3">
      <c r="A80" s="382">
        <v>1</v>
      </c>
      <c r="B80" s="382">
        <v>2</v>
      </c>
      <c r="C80" s="382">
        <v>3</v>
      </c>
      <c r="D80" s="382">
        <v>4</v>
      </c>
      <c r="E80" s="382">
        <v>5</v>
      </c>
      <c r="F80" s="382">
        <v>6</v>
      </c>
      <c r="G80" s="382">
        <v>7</v>
      </c>
      <c r="H80" s="382">
        <v>8</v>
      </c>
      <c r="I80" s="512">
        <v>9</v>
      </c>
      <c r="J80" s="398">
        <v>10</v>
      </c>
      <c r="L80" s="324"/>
    </row>
    <row r="81" spans="1:14" hidden="1" x14ac:dyDescent="0.3">
      <c r="A81" s="952" t="s">
        <v>313</v>
      </c>
      <c r="B81" s="953"/>
      <c r="C81" s="953"/>
      <c r="D81" s="953"/>
      <c r="E81" s="953"/>
      <c r="F81" s="953"/>
      <c r="G81" s="953"/>
      <c r="H81" s="953"/>
      <c r="I81" s="953"/>
      <c r="J81" s="953"/>
      <c r="L81" s="324"/>
    </row>
    <row r="82" spans="1:14" ht="41.4" hidden="1" x14ac:dyDescent="0.3">
      <c r="A82" s="382">
        <v>1</v>
      </c>
      <c r="B82" s="383" t="s">
        <v>314</v>
      </c>
      <c r="C82" s="382"/>
      <c r="D82" s="398">
        <f>E82+F82+G82</f>
        <v>0</v>
      </c>
      <c r="E82" s="398"/>
      <c r="F82" s="398"/>
      <c r="G82" s="398">
        <f>(E82+F82)*20%</f>
        <v>0</v>
      </c>
      <c r="H82" s="385">
        <v>50</v>
      </c>
      <c r="I82" s="512">
        <v>1.7</v>
      </c>
      <c r="J82" s="398">
        <f>(C82*D82*(H82/100+I82))*12.5</f>
        <v>0</v>
      </c>
      <c r="L82" s="324"/>
    </row>
    <row r="83" spans="1:14" ht="15.75" hidden="1" customHeight="1" x14ac:dyDescent="0.3">
      <c r="A83" s="382">
        <v>2</v>
      </c>
      <c r="B83" s="383" t="s">
        <v>315</v>
      </c>
      <c r="C83" s="382"/>
      <c r="D83" s="398">
        <f t="shared" ref="D83:D84" si="19">E83+F83+G83</f>
        <v>0</v>
      </c>
      <c r="E83" s="398"/>
      <c r="F83" s="398"/>
      <c r="G83" s="398">
        <f>(E83+F83)*20%</f>
        <v>0</v>
      </c>
      <c r="H83" s="385">
        <v>50</v>
      </c>
      <c r="I83" s="512">
        <v>1.7</v>
      </c>
      <c r="J83" s="398">
        <f>(C83*D83*(H83/100+I83))*12.5</f>
        <v>0</v>
      </c>
      <c r="L83" s="324"/>
    </row>
    <row r="84" spans="1:14" ht="27.6" hidden="1" x14ac:dyDescent="0.3">
      <c r="A84" s="382">
        <v>3</v>
      </c>
      <c r="B84" s="383" t="s">
        <v>316</v>
      </c>
      <c r="C84" s="382"/>
      <c r="D84" s="398">
        <f t="shared" si="19"/>
        <v>0</v>
      </c>
      <c r="E84" s="398"/>
      <c r="F84" s="398"/>
      <c r="G84" s="398">
        <f>(E84+F84)*20%</f>
        <v>0</v>
      </c>
      <c r="H84" s="385">
        <v>50</v>
      </c>
      <c r="I84" s="512">
        <v>1.7</v>
      </c>
      <c r="J84" s="398">
        <f>(C84*D84*(H84/100+I84))*12.5</f>
        <v>0</v>
      </c>
      <c r="L84" s="324"/>
    </row>
    <row r="85" spans="1:14" hidden="1" x14ac:dyDescent="0.3">
      <c r="A85" s="382">
        <v>4</v>
      </c>
      <c r="B85" s="383" t="s">
        <v>317</v>
      </c>
      <c r="C85" s="382"/>
      <c r="D85" s="398">
        <f>E85+F85+G85</f>
        <v>0</v>
      </c>
      <c r="E85" s="398"/>
      <c r="F85" s="398"/>
      <c r="G85" s="398">
        <f>(E85+F85)*20%</f>
        <v>0</v>
      </c>
      <c r="H85" s="385">
        <v>50</v>
      </c>
      <c r="I85" s="512">
        <v>1.7</v>
      </c>
      <c r="J85" s="398">
        <f>(C85*D85*(H85/100+I85))*12.5</f>
        <v>0</v>
      </c>
      <c r="L85" s="324"/>
    </row>
    <row r="86" spans="1:14" ht="21.75" hidden="1" customHeight="1" x14ac:dyDescent="0.3">
      <c r="A86" s="382">
        <v>5</v>
      </c>
      <c r="B86" s="383" t="s">
        <v>318</v>
      </c>
      <c r="C86" s="382"/>
      <c r="D86" s="398">
        <f t="shared" ref="D86" si="20">E86+F86+G86</f>
        <v>0</v>
      </c>
      <c r="E86" s="398"/>
      <c r="F86" s="398"/>
      <c r="G86" s="398">
        <f t="shared" ref="G86" si="21">(E86+F86)*20%</f>
        <v>0</v>
      </c>
      <c r="H86" s="385">
        <v>50</v>
      </c>
      <c r="I86" s="512">
        <v>1.7</v>
      </c>
      <c r="J86" s="398">
        <f>(C86*D86*(H86/100+I86))*12.5</f>
        <v>0</v>
      </c>
      <c r="K86" s="339"/>
      <c r="L86" s="324"/>
    </row>
    <row r="87" spans="1:14" ht="16.5" hidden="1" customHeight="1" x14ac:dyDescent="0.3">
      <c r="A87" s="382"/>
      <c r="B87" s="261" t="s">
        <v>319</v>
      </c>
      <c r="C87" s="400">
        <f>SUM(C82:C86)</f>
        <v>0</v>
      </c>
      <c r="D87" s="401">
        <f>SUM(D82:D86)</f>
        <v>0</v>
      </c>
      <c r="E87" s="400" t="s">
        <v>14</v>
      </c>
      <c r="F87" s="400" t="s">
        <v>14</v>
      </c>
      <c r="G87" s="400" t="s">
        <v>14</v>
      </c>
      <c r="H87" s="400" t="s">
        <v>14</v>
      </c>
      <c r="I87" s="400" t="s">
        <v>14</v>
      </c>
      <c r="J87" s="398">
        <f>SUM(J82:J86)</f>
        <v>0</v>
      </c>
      <c r="L87" s="324"/>
    </row>
    <row r="88" spans="1:14" ht="15.75" hidden="1" customHeight="1" x14ac:dyDescent="0.3">
      <c r="A88" s="954" t="s">
        <v>343</v>
      </c>
      <c r="B88" s="955"/>
      <c r="C88" s="955"/>
      <c r="D88" s="955"/>
      <c r="E88" s="955"/>
      <c r="F88" s="955"/>
      <c r="G88" s="955"/>
      <c r="H88" s="955"/>
      <c r="I88" s="956"/>
      <c r="J88" s="398"/>
      <c r="L88" s="324"/>
    </row>
    <row r="89" spans="1:14" s="317" customFormat="1" hidden="1" x14ac:dyDescent="0.3">
      <c r="A89" s="954" t="s">
        <v>797</v>
      </c>
      <c r="B89" s="955"/>
      <c r="C89" s="955"/>
      <c r="D89" s="955"/>
      <c r="E89" s="955"/>
      <c r="F89" s="955"/>
      <c r="G89" s="955"/>
      <c r="H89" s="955"/>
      <c r="I89" s="956"/>
      <c r="J89" s="398">
        <v>0</v>
      </c>
      <c r="K89" s="334"/>
      <c r="L89" s="324"/>
    </row>
    <row r="90" spans="1:14" s="317" customFormat="1" x14ac:dyDescent="0.3">
      <c r="A90" s="984" t="s">
        <v>379</v>
      </c>
      <c r="B90" s="985"/>
      <c r="C90" s="985"/>
      <c r="D90" s="985"/>
      <c r="E90" s="985"/>
      <c r="F90" s="985"/>
      <c r="G90" s="985"/>
      <c r="H90" s="985"/>
      <c r="I90" s="986"/>
      <c r="J90" s="401">
        <v>192000</v>
      </c>
      <c r="K90" s="334"/>
      <c r="L90" s="324"/>
      <c r="N90" s="317">
        <v>98000</v>
      </c>
    </row>
    <row r="91" spans="1:14" s="317" customFormat="1" x14ac:dyDescent="0.3">
      <c r="A91" s="966" t="s">
        <v>511</v>
      </c>
      <c r="B91" s="967"/>
      <c r="C91" s="967"/>
      <c r="D91" s="967"/>
      <c r="E91" s="967"/>
      <c r="F91" s="967"/>
      <c r="G91" s="967"/>
      <c r="H91" s="967"/>
      <c r="I91" s="967"/>
      <c r="J91" s="968"/>
      <c r="K91" s="334"/>
      <c r="L91" s="324"/>
    </row>
    <row r="92" spans="1:14" ht="31.5" customHeight="1" x14ac:dyDescent="0.3">
      <c r="A92" s="922" t="s">
        <v>959</v>
      </c>
      <c r="B92" s="923"/>
      <c r="C92" s="594">
        <v>2</v>
      </c>
      <c r="D92" s="398">
        <f>D87</f>
        <v>0</v>
      </c>
      <c r="E92" s="382" t="s">
        <v>14</v>
      </c>
      <c r="F92" s="382" t="s">
        <v>14</v>
      </c>
      <c r="G92" s="382" t="s">
        <v>14</v>
      </c>
      <c r="H92" s="382" t="s">
        <v>14</v>
      </c>
      <c r="I92" s="512" t="s">
        <v>14</v>
      </c>
      <c r="J92" s="398">
        <f>J90</f>
        <v>192000</v>
      </c>
      <c r="K92" s="339"/>
      <c r="L92" s="324"/>
    </row>
    <row r="93" spans="1:14" ht="21" customHeight="1" x14ac:dyDescent="0.3">
      <c r="A93" s="934" t="s">
        <v>510</v>
      </c>
      <c r="B93" s="935"/>
      <c r="C93" s="935"/>
      <c r="D93" s="935"/>
      <c r="E93" s="935"/>
      <c r="F93" s="935"/>
      <c r="G93" s="935"/>
      <c r="H93" s="935"/>
      <c r="I93" s="935"/>
      <c r="J93" s="734">
        <f>J92+J72+J75+J73+J74</f>
        <v>95670000.000000045</v>
      </c>
      <c r="K93" s="339"/>
      <c r="L93" s="324">
        <f>J72+J73+J74+J75+J92</f>
        <v>95670000.000000045</v>
      </c>
    </row>
    <row r="94" spans="1:14" ht="21" customHeight="1" x14ac:dyDescent="0.3">
      <c r="A94" s="222"/>
      <c r="B94" s="223"/>
      <c r="C94" s="224"/>
      <c r="D94" s="225"/>
      <c r="E94" s="226"/>
      <c r="F94" s="226"/>
      <c r="G94" s="226"/>
      <c r="H94" s="226"/>
      <c r="I94" s="515"/>
      <c r="J94" s="735"/>
      <c r="K94" s="339"/>
      <c r="L94" s="318"/>
    </row>
    <row r="95" spans="1:14" ht="20.25" customHeight="1" x14ac:dyDescent="0.3">
      <c r="A95" s="812" t="s">
        <v>602</v>
      </c>
      <c r="B95" s="925"/>
      <c r="C95" s="925"/>
      <c r="D95" s="925"/>
      <c r="E95" s="925"/>
      <c r="F95" s="925"/>
      <c r="G95" s="925"/>
      <c r="H95" s="925"/>
      <c r="I95" s="925"/>
      <c r="J95" s="926"/>
    </row>
    <row r="96" spans="1:14" ht="30" customHeight="1" x14ac:dyDescent="0.3">
      <c r="A96" s="404" t="s">
        <v>1</v>
      </c>
      <c r="B96" s="924" t="s">
        <v>44</v>
      </c>
      <c r="C96" s="924"/>
      <c r="D96" s="924"/>
      <c r="E96" s="924" t="s">
        <v>45</v>
      </c>
      <c r="F96" s="924"/>
      <c r="G96" s="924" t="s">
        <v>46</v>
      </c>
      <c r="H96" s="924"/>
      <c r="I96" s="924" t="s">
        <v>102</v>
      </c>
      <c r="J96" s="924"/>
    </row>
    <row r="97" spans="1:14" ht="16.5" customHeight="1" x14ac:dyDescent="0.3">
      <c r="A97" s="368">
        <v>1</v>
      </c>
      <c r="B97" s="778">
        <v>2</v>
      </c>
      <c r="C97" s="778"/>
      <c r="D97" s="778"/>
      <c r="E97" s="778">
        <v>3</v>
      </c>
      <c r="F97" s="778"/>
      <c r="G97" s="778">
        <v>4</v>
      </c>
      <c r="H97" s="778"/>
      <c r="I97" s="778">
        <v>5</v>
      </c>
      <c r="J97" s="778"/>
    </row>
    <row r="98" spans="1:14" ht="30.75" hidden="1" customHeight="1" x14ac:dyDescent="0.3">
      <c r="A98" s="354">
        <v>1</v>
      </c>
      <c r="B98" s="927" t="s">
        <v>603</v>
      </c>
      <c r="C98" s="928"/>
      <c r="D98" s="929"/>
      <c r="E98" s="930">
        <v>0</v>
      </c>
      <c r="F98" s="930"/>
      <c r="G98" s="826">
        <v>0</v>
      </c>
      <c r="H98" s="826"/>
      <c r="I98" s="931">
        <v>0</v>
      </c>
      <c r="J98" s="931"/>
    </row>
    <row r="99" spans="1:14" ht="47.25" customHeight="1" x14ac:dyDescent="0.3">
      <c r="A99" s="354">
        <v>1</v>
      </c>
      <c r="B99" s="927" t="s">
        <v>604</v>
      </c>
      <c r="C99" s="928"/>
      <c r="D99" s="929"/>
      <c r="E99" s="930">
        <f>I99/G99</f>
        <v>8333.3333333333339</v>
      </c>
      <c r="F99" s="930"/>
      <c r="G99" s="826">
        <v>72</v>
      </c>
      <c r="H99" s="826"/>
      <c r="I99" s="931">
        <v>600000</v>
      </c>
      <c r="J99" s="931"/>
    </row>
    <row r="100" spans="1:14" ht="22.5" customHeight="1" x14ac:dyDescent="0.3">
      <c r="A100" s="402"/>
      <c r="B100" s="934" t="s">
        <v>331</v>
      </c>
      <c r="C100" s="935"/>
      <c r="D100" s="936"/>
      <c r="E100" s="937" t="s">
        <v>14</v>
      </c>
      <c r="F100" s="938"/>
      <c r="G100" s="937" t="s">
        <v>14</v>
      </c>
      <c r="H100" s="943"/>
      <c r="I100" s="932">
        <f>I99+I98</f>
        <v>600000</v>
      </c>
      <c r="J100" s="933"/>
    </row>
    <row r="101" spans="1:14" s="317" customFormat="1" ht="40.5" customHeight="1" x14ac:dyDescent="0.3">
      <c r="A101" s="972" t="s">
        <v>360</v>
      </c>
      <c r="B101" s="972"/>
      <c r="C101" s="972"/>
      <c r="D101" s="972"/>
      <c r="E101" s="972"/>
      <c r="F101" s="972"/>
      <c r="G101" s="972"/>
      <c r="H101" s="972"/>
      <c r="I101" s="972"/>
      <c r="J101" s="972"/>
      <c r="K101" s="334"/>
    </row>
    <row r="102" spans="1:14" ht="39.6" x14ac:dyDescent="0.3">
      <c r="A102" s="368" t="s">
        <v>1</v>
      </c>
      <c r="B102" s="778" t="s">
        <v>15</v>
      </c>
      <c r="C102" s="778"/>
      <c r="D102" s="778"/>
      <c r="E102" s="778" t="s">
        <v>16</v>
      </c>
      <c r="F102" s="778"/>
      <c r="G102" s="368" t="s">
        <v>17</v>
      </c>
      <c r="H102" s="368" t="s">
        <v>18</v>
      </c>
      <c r="I102" s="778" t="s">
        <v>104</v>
      </c>
      <c r="J102" s="778"/>
    </row>
    <row r="103" spans="1:14" x14ac:dyDescent="0.3">
      <c r="A103" s="368">
        <v>1</v>
      </c>
      <c r="B103" s="778">
        <v>2</v>
      </c>
      <c r="C103" s="778"/>
      <c r="D103" s="778"/>
      <c r="E103" s="778">
        <v>3</v>
      </c>
      <c r="F103" s="778"/>
      <c r="G103" s="368">
        <v>4</v>
      </c>
      <c r="H103" s="368">
        <v>5</v>
      </c>
      <c r="I103" s="778">
        <v>6</v>
      </c>
      <c r="J103" s="778"/>
    </row>
    <row r="104" spans="1:14" ht="16.5" hidden="1" customHeight="1" x14ac:dyDescent="0.3">
      <c r="A104" s="812" t="s">
        <v>361</v>
      </c>
      <c r="B104" s="925"/>
      <c r="C104" s="925"/>
      <c r="D104" s="925"/>
      <c r="E104" s="925"/>
      <c r="F104" s="925"/>
      <c r="G104" s="925"/>
      <c r="H104" s="925"/>
      <c r="I104" s="925"/>
      <c r="J104" s="926"/>
    </row>
    <row r="105" spans="1:14" ht="48.75" hidden="1" customHeight="1" x14ac:dyDescent="0.3">
      <c r="A105" s="360" t="s">
        <v>70</v>
      </c>
      <c r="B105" s="809" t="s">
        <v>362</v>
      </c>
      <c r="C105" s="810"/>
      <c r="D105" s="811"/>
      <c r="E105" s="941">
        <v>0</v>
      </c>
      <c r="F105" s="942"/>
      <c r="G105" s="360">
        <v>0</v>
      </c>
      <c r="H105" s="360">
        <v>0</v>
      </c>
      <c r="I105" s="825">
        <f>E105*G105*H105</f>
        <v>0</v>
      </c>
      <c r="J105" s="825"/>
    </row>
    <row r="106" spans="1:14" ht="15" customHeight="1" x14ac:dyDescent="0.3">
      <c r="A106" s="812" t="s">
        <v>363</v>
      </c>
      <c r="B106" s="925"/>
      <c r="C106" s="925"/>
      <c r="D106" s="925"/>
      <c r="E106" s="925"/>
      <c r="F106" s="925"/>
      <c r="G106" s="925"/>
      <c r="H106" s="925"/>
      <c r="I106" s="925"/>
      <c r="J106" s="926"/>
    </row>
    <row r="107" spans="1:14" ht="53.25" customHeight="1" x14ac:dyDescent="0.3">
      <c r="A107" s="357" t="s">
        <v>70</v>
      </c>
      <c r="B107" s="973" t="s">
        <v>513</v>
      </c>
      <c r="C107" s="974"/>
      <c r="D107" s="975"/>
      <c r="E107" s="944">
        <v>22866.58</v>
      </c>
      <c r="F107" s="944"/>
      <c r="G107" s="422">
        <v>31</v>
      </c>
      <c r="H107" s="422">
        <v>1</v>
      </c>
      <c r="I107" s="976">
        <f>E107*G107+136.02</f>
        <v>709000.00000000012</v>
      </c>
      <c r="J107" s="977"/>
      <c r="K107" s="346">
        <v>669000</v>
      </c>
      <c r="N107" s="173">
        <f>E107*G107</f>
        <v>708863.9800000001</v>
      </c>
    </row>
    <row r="108" spans="1:14" ht="48.75" customHeight="1" x14ac:dyDescent="0.3">
      <c r="A108" s="360" t="s">
        <v>75</v>
      </c>
      <c r="B108" s="973" t="s">
        <v>514</v>
      </c>
      <c r="C108" s="974"/>
      <c r="D108" s="975"/>
      <c r="E108" s="980">
        <v>17821.11</v>
      </c>
      <c r="F108" s="980"/>
      <c r="G108" s="403">
        <v>10</v>
      </c>
      <c r="H108" s="355">
        <v>1</v>
      </c>
      <c r="I108" s="981">
        <f>E108*G108-211.1</f>
        <v>178000</v>
      </c>
      <c r="J108" s="981"/>
      <c r="K108" s="346">
        <v>185500</v>
      </c>
      <c r="N108" s="173">
        <f>E108*G108</f>
        <v>178211.1</v>
      </c>
    </row>
    <row r="109" spans="1:14" x14ac:dyDescent="0.3">
      <c r="A109" s="812" t="s">
        <v>364</v>
      </c>
      <c r="B109" s="925"/>
      <c r="C109" s="925"/>
      <c r="D109" s="925"/>
      <c r="E109" s="925"/>
      <c r="F109" s="925"/>
      <c r="G109" s="925"/>
      <c r="H109" s="925"/>
      <c r="I109" s="925"/>
      <c r="J109" s="926"/>
    </row>
    <row r="110" spans="1:14" ht="35.25" customHeight="1" x14ac:dyDescent="0.3">
      <c r="A110" s="360">
        <v>3</v>
      </c>
      <c r="B110" s="809" t="s">
        <v>365</v>
      </c>
      <c r="C110" s="810"/>
      <c r="D110" s="811"/>
      <c r="E110" s="978">
        <v>6000</v>
      </c>
      <c r="F110" s="978"/>
      <c r="G110" s="360">
        <v>5</v>
      </c>
      <c r="H110" s="360">
        <v>1</v>
      </c>
      <c r="I110" s="979">
        <f>E110*G110</f>
        <v>30000</v>
      </c>
      <c r="J110" s="979"/>
      <c r="K110" s="346" t="s">
        <v>859</v>
      </c>
    </row>
    <row r="111" spans="1:14" ht="35.25" hidden="1" customHeight="1" x14ac:dyDescent="0.3">
      <c r="A111" s="812" t="s">
        <v>364</v>
      </c>
      <c r="B111" s="925"/>
      <c r="C111" s="925"/>
      <c r="D111" s="925"/>
      <c r="E111" s="925"/>
      <c r="F111" s="925"/>
      <c r="G111" s="925"/>
      <c r="H111" s="925"/>
      <c r="I111" s="925"/>
      <c r="J111" s="926"/>
    </row>
    <row r="112" spans="1:14" ht="35.25" hidden="1" customHeight="1" x14ac:dyDescent="0.3">
      <c r="A112" s="360">
        <v>4</v>
      </c>
      <c r="B112" s="820" t="s">
        <v>712</v>
      </c>
      <c r="C112" s="821"/>
      <c r="D112" s="822"/>
      <c r="E112" s="941"/>
      <c r="F112" s="942"/>
      <c r="G112" s="360"/>
      <c r="H112" s="360"/>
      <c r="I112" s="945">
        <v>0</v>
      </c>
      <c r="J112" s="946"/>
    </row>
    <row r="113" spans="1:13" ht="69" hidden="1" customHeight="1" x14ac:dyDescent="0.3">
      <c r="A113" s="360"/>
      <c r="B113" s="809" t="s">
        <v>534</v>
      </c>
      <c r="C113" s="810"/>
      <c r="D113" s="811"/>
      <c r="E113" s="858" t="s">
        <v>74</v>
      </c>
      <c r="F113" s="859"/>
      <c r="G113" s="233" t="s">
        <v>74</v>
      </c>
      <c r="H113" s="233" t="s">
        <v>74</v>
      </c>
      <c r="I113" s="939"/>
      <c r="J113" s="940"/>
    </row>
    <row r="114" spans="1:13" ht="35.25" hidden="1" customHeight="1" x14ac:dyDescent="0.3">
      <c r="A114" s="360">
        <v>5</v>
      </c>
      <c r="B114" s="809" t="s">
        <v>594</v>
      </c>
      <c r="C114" s="810"/>
      <c r="D114" s="811"/>
      <c r="E114" s="941"/>
      <c r="F114" s="942"/>
      <c r="G114" s="360"/>
      <c r="H114" s="360"/>
      <c r="I114" s="807">
        <v>0</v>
      </c>
      <c r="J114" s="808"/>
    </row>
    <row r="115" spans="1:13" ht="35.25" hidden="1" customHeight="1" x14ac:dyDescent="0.3">
      <c r="A115" s="360">
        <v>6</v>
      </c>
      <c r="B115" s="820" t="s">
        <v>706</v>
      </c>
      <c r="C115" s="821"/>
      <c r="D115" s="822"/>
      <c r="E115" s="941"/>
      <c r="F115" s="942"/>
      <c r="G115" s="360"/>
      <c r="H115" s="360"/>
      <c r="I115" s="807"/>
      <c r="J115" s="808"/>
    </row>
    <row r="116" spans="1:13" x14ac:dyDescent="0.3">
      <c r="A116" s="451"/>
      <c r="B116" s="847" t="s">
        <v>13</v>
      </c>
      <c r="C116" s="847"/>
      <c r="D116" s="847"/>
      <c r="E116" s="842" t="s">
        <v>14</v>
      </c>
      <c r="F116" s="842"/>
      <c r="G116" s="451" t="s">
        <v>14</v>
      </c>
      <c r="H116" s="451" t="s">
        <v>14</v>
      </c>
      <c r="I116" s="834">
        <f>I105+I108+I110+I107+I114+I115+I112</f>
        <v>917000.00000000012</v>
      </c>
      <c r="J116" s="834"/>
    </row>
    <row r="117" spans="1:13" ht="19.5" hidden="1" customHeight="1" x14ac:dyDescent="0.3">
      <c r="A117" s="915" t="s">
        <v>366</v>
      </c>
      <c r="B117" s="915"/>
      <c r="C117" s="915"/>
      <c r="D117" s="915"/>
      <c r="E117" s="915"/>
      <c r="F117" s="915"/>
      <c r="G117" s="915"/>
      <c r="H117" s="915"/>
      <c r="I117" s="915"/>
      <c r="J117" s="915"/>
    </row>
    <row r="118" spans="1:13" ht="52.8" hidden="1" x14ac:dyDescent="0.3">
      <c r="A118" s="368" t="s">
        <v>1</v>
      </c>
      <c r="B118" s="778" t="s">
        <v>15</v>
      </c>
      <c r="C118" s="778"/>
      <c r="D118" s="778"/>
      <c r="E118" s="855" t="s">
        <v>20</v>
      </c>
      <c r="F118" s="857"/>
      <c r="G118" s="368" t="s">
        <v>21</v>
      </c>
      <c r="H118" s="368" t="s">
        <v>22</v>
      </c>
      <c r="I118" s="778" t="s">
        <v>19</v>
      </c>
      <c r="J118" s="778"/>
    </row>
    <row r="119" spans="1:13" hidden="1" x14ac:dyDescent="0.3">
      <c r="A119" s="368">
        <v>1</v>
      </c>
      <c r="B119" s="778">
        <v>2</v>
      </c>
      <c r="C119" s="778"/>
      <c r="D119" s="778"/>
      <c r="E119" s="855">
        <v>3</v>
      </c>
      <c r="F119" s="857"/>
      <c r="G119" s="368">
        <v>4</v>
      </c>
      <c r="H119" s="368">
        <v>5</v>
      </c>
      <c r="I119" s="778">
        <v>6</v>
      </c>
      <c r="J119" s="778"/>
    </row>
    <row r="120" spans="1:13" ht="47.25" hidden="1" customHeight="1" x14ac:dyDescent="0.3">
      <c r="A120" s="382" t="s">
        <v>70</v>
      </c>
      <c r="B120" s="969" t="s">
        <v>79</v>
      </c>
      <c r="C120" s="970"/>
      <c r="D120" s="971"/>
      <c r="E120" s="849"/>
      <c r="F120" s="850"/>
      <c r="G120" s="387">
        <v>12</v>
      </c>
      <c r="H120" s="387">
        <v>85</v>
      </c>
      <c r="I120" s="987">
        <v>0</v>
      </c>
      <c r="J120" s="987"/>
    </row>
    <row r="121" spans="1:13" ht="17.25" hidden="1" customHeight="1" x14ac:dyDescent="0.3">
      <c r="A121" s="382"/>
      <c r="B121" s="988" t="s">
        <v>13</v>
      </c>
      <c r="C121" s="988"/>
      <c r="D121" s="988"/>
      <c r="E121" s="820" t="s">
        <v>14</v>
      </c>
      <c r="F121" s="822"/>
      <c r="G121" s="360" t="s">
        <v>14</v>
      </c>
      <c r="H121" s="360" t="s">
        <v>14</v>
      </c>
      <c r="I121" s="834">
        <f>SUM(I120)</f>
        <v>0</v>
      </c>
      <c r="J121" s="842"/>
    </row>
    <row r="122" spans="1:13" s="317" customFormat="1" ht="42" customHeight="1" x14ac:dyDescent="0.3">
      <c r="A122" s="972" t="s">
        <v>295</v>
      </c>
      <c r="B122" s="972"/>
      <c r="C122" s="972"/>
      <c r="D122" s="972"/>
      <c r="E122" s="972"/>
      <c r="F122" s="972"/>
      <c r="G122" s="972"/>
      <c r="H122" s="972"/>
      <c r="I122" s="972"/>
      <c r="J122" s="972"/>
      <c r="K122" s="334"/>
    </row>
    <row r="123" spans="1:13" ht="25.5" customHeight="1" x14ac:dyDescent="0.3">
      <c r="A123" s="404" t="s">
        <v>1</v>
      </c>
      <c r="B123" s="924" t="s">
        <v>23</v>
      </c>
      <c r="C123" s="924"/>
      <c r="D123" s="924"/>
      <c r="E123" s="924"/>
      <c r="F123" s="924"/>
      <c r="G123" s="924" t="s">
        <v>24</v>
      </c>
      <c r="H123" s="924"/>
      <c r="I123" s="924" t="s">
        <v>25</v>
      </c>
      <c r="J123" s="924"/>
    </row>
    <row r="124" spans="1:13" ht="12" customHeight="1" x14ac:dyDescent="0.3">
      <c r="A124" s="368">
        <v>1</v>
      </c>
      <c r="B124" s="778">
        <v>2</v>
      </c>
      <c r="C124" s="778"/>
      <c r="D124" s="778"/>
      <c r="E124" s="778"/>
      <c r="F124" s="778"/>
      <c r="G124" s="778">
        <v>3</v>
      </c>
      <c r="H124" s="778"/>
      <c r="I124" s="778">
        <v>4</v>
      </c>
      <c r="J124" s="778"/>
    </row>
    <row r="125" spans="1:13" ht="17.25" customHeight="1" x14ac:dyDescent="0.3">
      <c r="A125" s="360" t="s">
        <v>70</v>
      </c>
      <c r="B125" s="900" t="s">
        <v>26</v>
      </c>
      <c r="C125" s="900"/>
      <c r="D125" s="900"/>
      <c r="E125" s="900"/>
      <c r="F125" s="900"/>
      <c r="G125" s="826" t="s">
        <v>14</v>
      </c>
      <c r="H125" s="826"/>
      <c r="I125" s="982">
        <f>SUM(I127:J129)</f>
        <v>21005160.000000011</v>
      </c>
      <c r="J125" s="982"/>
    </row>
    <row r="126" spans="1:13" ht="16.5" customHeight="1" x14ac:dyDescent="0.3">
      <c r="A126" s="405"/>
      <c r="B126" s="820" t="s">
        <v>9</v>
      </c>
      <c r="C126" s="821"/>
      <c r="D126" s="821"/>
      <c r="E126" s="821"/>
      <c r="F126" s="822"/>
      <c r="G126" s="901"/>
      <c r="H126" s="901"/>
      <c r="I126" s="982"/>
      <c r="J126" s="982"/>
    </row>
    <row r="127" spans="1:13" ht="17.25" customHeight="1" x14ac:dyDescent="0.3">
      <c r="A127" s="360" t="s">
        <v>27</v>
      </c>
      <c r="B127" s="989" t="s">
        <v>28</v>
      </c>
      <c r="C127" s="989"/>
      <c r="D127" s="989"/>
      <c r="E127" s="989"/>
      <c r="F127" s="989"/>
      <c r="G127" s="983">
        <f>J72</f>
        <v>95478000.000000045</v>
      </c>
      <c r="H127" s="983"/>
      <c r="I127" s="982">
        <f>G127*22%</f>
        <v>21005160.000000011</v>
      </c>
      <c r="J127" s="982"/>
      <c r="L127" s="983"/>
      <c r="M127" s="983"/>
    </row>
    <row r="128" spans="1:13" ht="15" customHeight="1" x14ac:dyDescent="0.3">
      <c r="A128" s="360" t="s">
        <v>29</v>
      </c>
      <c r="B128" s="835" t="s">
        <v>30</v>
      </c>
      <c r="C128" s="835"/>
      <c r="D128" s="835"/>
      <c r="E128" s="835"/>
      <c r="F128" s="835"/>
      <c r="G128" s="901">
        <v>0</v>
      </c>
      <c r="H128" s="901"/>
      <c r="I128" s="982">
        <f>G128*10%</f>
        <v>0</v>
      </c>
      <c r="J128" s="982"/>
      <c r="L128" s="901"/>
      <c r="M128" s="901"/>
    </row>
    <row r="129" spans="1:11" ht="29.4" customHeight="1" x14ac:dyDescent="0.3">
      <c r="A129" s="360" t="s">
        <v>31</v>
      </c>
      <c r="B129" s="900" t="s">
        <v>32</v>
      </c>
      <c r="C129" s="900"/>
      <c r="D129" s="900"/>
      <c r="E129" s="900"/>
      <c r="F129" s="900"/>
      <c r="G129" s="901"/>
      <c r="H129" s="901"/>
      <c r="I129" s="982"/>
      <c r="J129" s="982"/>
    </row>
    <row r="130" spans="1:11" ht="29.25" customHeight="1" x14ac:dyDescent="0.3">
      <c r="A130" s="360" t="s">
        <v>75</v>
      </c>
      <c r="B130" s="900" t="s">
        <v>33</v>
      </c>
      <c r="C130" s="900"/>
      <c r="D130" s="900"/>
      <c r="E130" s="900"/>
      <c r="F130" s="900"/>
      <c r="G130" s="826" t="s">
        <v>14</v>
      </c>
      <c r="H130" s="826"/>
      <c r="I130" s="982">
        <f>SUM(I132:J136)</f>
        <v>2959462.0000000009</v>
      </c>
      <c r="J130" s="982"/>
    </row>
    <row r="131" spans="1:11" ht="15.75" customHeight="1" x14ac:dyDescent="0.3">
      <c r="A131" s="405"/>
      <c r="B131" s="820" t="s">
        <v>9</v>
      </c>
      <c r="C131" s="821"/>
      <c r="D131" s="821"/>
      <c r="E131" s="821"/>
      <c r="F131" s="822"/>
      <c r="G131" s="901"/>
      <c r="H131" s="901"/>
      <c r="I131" s="982"/>
      <c r="J131" s="982"/>
    </row>
    <row r="132" spans="1:11" ht="27.75" customHeight="1" x14ac:dyDescent="0.3">
      <c r="A132" s="360" t="s">
        <v>34</v>
      </c>
      <c r="B132" s="900" t="s">
        <v>35</v>
      </c>
      <c r="C132" s="900"/>
      <c r="D132" s="900"/>
      <c r="E132" s="900"/>
      <c r="F132" s="900"/>
      <c r="G132" s="983">
        <f>G127+G128</f>
        <v>95478000.000000045</v>
      </c>
      <c r="H132" s="983"/>
      <c r="I132" s="982">
        <f>G132*2.9%-356</f>
        <v>2768506.0000000009</v>
      </c>
      <c r="J132" s="982"/>
    </row>
    <row r="133" spans="1:11" ht="15" customHeight="1" x14ac:dyDescent="0.3">
      <c r="A133" s="360" t="s">
        <v>36</v>
      </c>
      <c r="B133" s="900" t="s">
        <v>37</v>
      </c>
      <c r="C133" s="900"/>
      <c r="D133" s="900"/>
      <c r="E133" s="900"/>
      <c r="F133" s="900"/>
      <c r="G133" s="901"/>
      <c r="H133" s="901"/>
      <c r="I133" s="982"/>
      <c r="J133" s="982"/>
    </row>
    <row r="134" spans="1:11" ht="35.25" customHeight="1" x14ac:dyDescent="0.3">
      <c r="A134" s="360" t="s">
        <v>38</v>
      </c>
      <c r="B134" s="900" t="s">
        <v>39</v>
      </c>
      <c r="C134" s="900"/>
      <c r="D134" s="900"/>
      <c r="E134" s="900"/>
      <c r="F134" s="900"/>
      <c r="G134" s="983">
        <f>G127+G128</f>
        <v>95478000.000000045</v>
      </c>
      <c r="H134" s="983"/>
      <c r="I134" s="982">
        <f>G134*0.2%</f>
        <v>190956.00000000009</v>
      </c>
      <c r="J134" s="982"/>
    </row>
    <row r="135" spans="1:11" s="317" customFormat="1" ht="15" customHeight="1" x14ac:dyDescent="0.3">
      <c r="A135" s="360" t="s">
        <v>40</v>
      </c>
      <c r="B135" s="900" t="s">
        <v>41</v>
      </c>
      <c r="C135" s="900"/>
      <c r="D135" s="900"/>
      <c r="E135" s="900"/>
      <c r="F135" s="900"/>
      <c r="G135" s="901"/>
      <c r="H135" s="901"/>
      <c r="I135" s="982"/>
      <c r="J135" s="982"/>
      <c r="K135" s="334"/>
    </row>
    <row r="136" spans="1:11" ht="15" customHeight="1" x14ac:dyDescent="0.3">
      <c r="A136" s="360" t="s">
        <v>42</v>
      </c>
      <c r="B136" s="900" t="s">
        <v>41</v>
      </c>
      <c r="C136" s="900"/>
      <c r="D136" s="900"/>
      <c r="E136" s="900"/>
      <c r="F136" s="900"/>
      <c r="G136" s="901"/>
      <c r="H136" s="901"/>
      <c r="I136" s="982"/>
      <c r="J136" s="982"/>
    </row>
    <row r="137" spans="1:11" ht="30" customHeight="1" x14ac:dyDescent="0.3">
      <c r="A137" s="360" t="s">
        <v>77</v>
      </c>
      <c r="B137" s="900" t="s">
        <v>43</v>
      </c>
      <c r="C137" s="900"/>
      <c r="D137" s="900"/>
      <c r="E137" s="900"/>
      <c r="F137" s="900"/>
      <c r="G137" s="983">
        <f>G127+G128</f>
        <v>95478000.000000045</v>
      </c>
      <c r="H137" s="983"/>
      <c r="I137" s="982">
        <f>G137*5.1%</f>
        <v>4869378.0000000019</v>
      </c>
      <c r="J137" s="982"/>
    </row>
    <row r="138" spans="1:11" ht="19.5" customHeight="1" x14ac:dyDescent="0.3">
      <c r="A138" s="360"/>
      <c r="B138" s="847" t="s">
        <v>331</v>
      </c>
      <c r="C138" s="847"/>
      <c r="D138" s="847"/>
      <c r="E138" s="847"/>
      <c r="F138" s="847"/>
      <c r="G138" s="842" t="s">
        <v>14</v>
      </c>
      <c r="H138" s="842"/>
      <c r="I138" s="920">
        <f>I125+I130+I137</f>
        <v>28834000.000000015</v>
      </c>
      <c r="J138" s="920"/>
    </row>
    <row r="139" spans="1:11" ht="36" customHeight="1" x14ac:dyDescent="0.3">
      <c r="A139" s="404" t="s">
        <v>1</v>
      </c>
      <c r="B139" s="1013" t="s">
        <v>23</v>
      </c>
      <c r="C139" s="1014"/>
      <c r="D139" s="1014"/>
      <c r="E139" s="1014"/>
      <c r="F139" s="1015"/>
      <c r="G139" s="1013" t="s">
        <v>24</v>
      </c>
      <c r="H139" s="1015"/>
      <c r="I139" s="1013" t="s">
        <v>25</v>
      </c>
      <c r="J139" s="1015"/>
    </row>
    <row r="140" spans="1:11" ht="11.25" customHeight="1" x14ac:dyDescent="0.3">
      <c r="A140" s="368">
        <v>1</v>
      </c>
      <c r="B140" s="855">
        <v>2</v>
      </c>
      <c r="C140" s="856"/>
      <c r="D140" s="856"/>
      <c r="E140" s="856"/>
      <c r="F140" s="857"/>
      <c r="G140" s="855">
        <v>3</v>
      </c>
      <c r="H140" s="857"/>
      <c r="I140" s="855">
        <v>4</v>
      </c>
      <c r="J140" s="857"/>
    </row>
    <row r="141" spans="1:11" ht="20.25" customHeight="1" x14ac:dyDescent="0.3">
      <c r="A141" s="360" t="s">
        <v>70</v>
      </c>
      <c r="B141" s="902" t="s">
        <v>26</v>
      </c>
      <c r="C141" s="903"/>
      <c r="D141" s="903"/>
      <c r="E141" s="903"/>
      <c r="F141" s="904"/>
      <c r="G141" s="820" t="s">
        <v>14</v>
      </c>
      <c r="H141" s="822"/>
      <c r="I141" s="916">
        <f>SUM(I143:J145)</f>
        <v>42256</v>
      </c>
      <c r="J141" s="917"/>
    </row>
    <row r="142" spans="1:11" ht="18" customHeight="1" x14ac:dyDescent="0.3">
      <c r="A142" s="405"/>
      <c r="B142" s="820" t="s">
        <v>9</v>
      </c>
      <c r="C142" s="821"/>
      <c r="D142" s="821"/>
      <c r="E142" s="821"/>
      <c r="F142" s="822"/>
      <c r="G142" s="908"/>
      <c r="H142" s="909"/>
      <c r="I142" s="916"/>
      <c r="J142" s="917"/>
    </row>
    <row r="143" spans="1:11" s="317" customFormat="1" ht="20.25" customHeight="1" x14ac:dyDescent="0.3">
      <c r="A143" s="360" t="s">
        <v>27</v>
      </c>
      <c r="B143" s="1016" t="s">
        <v>28</v>
      </c>
      <c r="C143" s="1017"/>
      <c r="D143" s="1017"/>
      <c r="E143" s="1017"/>
      <c r="F143" s="1018"/>
      <c r="G143" s="1019">
        <f>J92</f>
        <v>192000</v>
      </c>
      <c r="H143" s="1020"/>
      <c r="I143" s="916">
        <f>G143*22%+16</f>
        <v>42256</v>
      </c>
      <c r="J143" s="917"/>
      <c r="K143" s="334"/>
    </row>
    <row r="144" spans="1:11" x14ac:dyDescent="0.3">
      <c r="A144" s="360" t="s">
        <v>29</v>
      </c>
      <c r="B144" s="809" t="s">
        <v>30</v>
      </c>
      <c r="C144" s="810"/>
      <c r="D144" s="810"/>
      <c r="E144" s="810"/>
      <c r="F144" s="811"/>
      <c r="G144" s="908"/>
      <c r="H144" s="909"/>
      <c r="I144" s="916"/>
      <c r="J144" s="917"/>
    </row>
    <row r="145" spans="1:13" ht="15" customHeight="1" x14ac:dyDescent="0.3">
      <c r="A145" s="360" t="s">
        <v>31</v>
      </c>
      <c r="B145" s="902" t="s">
        <v>32</v>
      </c>
      <c r="C145" s="903"/>
      <c r="D145" s="903"/>
      <c r="E145" s="903"/>
      <c r="F145" s="904"/>
      <c r="G145" s="908"/>
      <c r="H145" s="909"/>
      <c r="I145" s="916"/>
      <c r="J145" s="917"/>
    </row>
    <row r="146" spans="1:13" ht="15" customHeight="1" x14ac:dyDescent="0.3">
      <c r="A146" s="360" t="s">
        <v>75</v>
      </c>
      <c r="B146" s="902" t="s">
        <v>33</v>
      </c>
      <c r="C146" s="903"/>
      <c r="D146" s="903"/>
      <c r="E146" s="903"/>
      <c r="F146" s="904"/>
      <c r="G146" s="820" t="s">
        <v>14</v>
      </c>
      <c r="H146" s="822"/>
      <c r="I146" s="916">
        <f>SUM(I148:J152)</f>
        <v>5952</v>
      </c>
      <c r="J146" s="917"/>
    </row>
    <row r="147" spans="1:13" ht="15" customHeight="1" x14ac:dyDescent="0.3">
      <c r="A147" s="405"/>
      <c r="B147" s="820" t="s">
        <v>9</v>
      </c>
      <c r="C147" s="821"/>
      <c r="D147" s="821"/>
      <c r="E147" s="821"/>
      <c r="F147" s="822"/>
      <c r="G147" s="908"/>
      <c r="H147" s="909"/>
      <c r="I147" s="916"/>
      <c r="J147" s="917"/>
    </row>
    <row r="148" spans="1:13" ht="26.25" customHeight="1" x14ac:dyDescent="0.3">
      <c r="A148" s="360" t="s">
        <v>34</v>
      </c>
      <c r="B148" s="902" t="s">
        <v>35</v>
      </c>
      <c r="C148" s="903"/>
      <c r="D148" s="903"/>
      <c r="E148" s="903"/>
      <c r="F148" s="904"/>
      <c r="G148" s="1019">
        <f>G143</f>
        <v>192000</v>
      </c>
      <c r="H148" s="1020"/>
      <c r="I148" s="916">
        <f>G148*2.9%</f>
        <v>5568</v>
      </c>
      <c r="J148" s="917"/>
    </row>
    <row r="149" spans="1:13" x14ac:dyDescent="0.3">
      <c r="A149" s="360" t="s">
        <v>36</v>
      </c>
      <c r="B149" s="902" t="s">
        <v>37</v>
      </c>
      <c r="C149" s="903"/>
      <c r="D149" s="903"/>
      <c r="E149" s="903"/>
      <c r="F149" s="904"/>
      <c r="G149" s="908"/>
      <c r="H149" s="909"/>
      <c r="I149" s="916"/>
      <c r="J149" s="917"/>
    </row>
    <row r="150" spans="1:13" ht="26.25" customHeight="1" x14ac:dyDescent="0.3">
      <c r="A150" s="360" t="s">
        <v>38</v>
      </c>
      <c r="B150" s="902" t="s">
        <v>39</v>
      </c>
      <c r="C150" s="903"/>
      <c r="D150" s="903"/>
      <c r="E150" s="903"/>
      <c r="F150" s="904"/>
      <c r="G150" s="1019">
        <f>G143</f>
        <v>192000</v>
      </c>
      <c r="H150" s="1020"/>
      <c r="I150" s="916">
        <f>G150*0.2%</f>
        <v>384</v>
      </c>
      <c r="J150" s="917"/>
    </row>
    <row r="151" spans="1:13" s="317" customFormat="1" ht="14.25" customHeight="1" x14ac:dyDescent="0.3">
      <c r="A151" s="360" t="s">
        <v>40</v>
      </c>
      <c r="B151" s="902" t="s">
        <v>41</v>
      </c>
      <c r="C151" s="903"/>
      <c r="D151" s="903"/>
      <c r="E151" s="903"/>
      <c r="F151" s="904"/>
      <c r="G151" s="908"/>
      <c r="H151" s="909"/>
      <c r="I151" s="916"/>
      <c r="J151" s="917"/>
      <c r="K151" s="334"/>
    </row>
    <row r="152" spans="1:13" ht="15" customHeight="1" x14ac:dyDescent="0.3">
      <c r="A152" s="360" t="s">
        <v>42</v>
      </c>
      <c r="B152" s="902" t="s">
        <v>41</v>
      </c>
      <c r="C152" s="903"/>
      <c r="D152" s="903"/>
      <c r="E152" s="903"/>
      <c r="F152" s="904"/>
      <c r="G152" s="908"/>
      <c r="H152" s="909"/>
      <c r="I152" s="916"/>
      <c r="J152" s="917"/>
    </row>
    <row r="153" spans="1:13" x14ac:dyDescent="0.3">
      <c r="A153" s="360" t="s">
        <v>77</v>
      </c>
      <c r="B153" s="902" t="s">
        <v>43</v>
      </c>
      <c r="C153" s="903"/>
      <c r="D153" s="903"/>
      <c r="E153" s="903"/>
      <c r="F153" s="904"/>
      <c r="G153" s="1019">
        <f>G143</f>
        <v>192000</v>
      </c>
      <c r="H153" s="1020"/>
      <c r="I153" s="916">
        <f>G153*5.1%</f>
        <v>9792</v>
      </c>
      <c r="J153" s="917"/>
    </row>
    <row r="154" spans="1:13" x14ac:dyDescent="0.3">
      <c r="A154" s="360"/>
      <c r="B154" s="905" t="s">
        <v>380</v>
      </c>
      <c r="C154" s="906"/>
      <c r="D154" s="906"/>
      <c r="E154" s="906"/>
      <c r="F154" s="907"/>
      <c r="G154" s="812" t="s">
        <v>14</v>
      </c>
      <c r="H154" s="814"/>
      <c r="I154" s="1036">
        <f>I141+I146+I153</f>
        <v>58000</v>
      </c>
      <c r="J154" s="1037"/>
    </row>
    <row r="155" spans="1:13" x14ac:dyDescent="0.3">
      <c r="A155" s="360"/>
      <c r="B155" s="905" t="s">
        <v>567</v>
      </c>
      <c r="C155" s="906"/>
      <c r="D155" s="906"/>
      <c r="E155" s="906"/>
      <c r="F155" s="907"/>
      <c r="G155" s="253"/>
      <c r="H155" s="406"/>
      <c r="I155" s="1036">
        <v>0</v>
      </c>
      <c r="J155" s="1037"/>
    </row>
    <row r="156" spans="1:13" x14ac:dyDescent="0.3">
      <c r="A156" s="360"/>
      <c r="B156" s="812" t="s">
        <v>606</v>
      </c>
      <c r="C156" s="813"/>
      <c r="D156" s="813"/>
      <c r="E156" s="813"/>
      <c r="F156" s="814"/>
      <c r="G156" s="253"/>
      <c r="H156" s="406"/>
      <c r="I156" s="1032">
        <v>0</v>
      </c>
      <c r="J156" s="1033"/>
    </row>
    <row r="157" spans="1:13" s="317" customFormat="1" ht="18" customHeight="1" x14ac:dyDescent="0.3">
      <c r="A157" s="360"/>
      <c r="B157" s="847" t="s">
        <v>332</v>
      </c>
      <c r="C157" s="847"/>
      <c r="D157" s="847"/>
      <c r="E157" s="847"/>
      <c r="F157" s="847"/>
      <c r="G157" s="842" t="s">
        <v>14</v>
      </c>
      <c r="H157" s="842"/>
      <c r="I157" s="920">
        <f>I138+I154+I155+I156</f>
        <v>28892000.000000015</v>
      </c>
      <c r="J157" s="920"/>
      <c r="K157" s="522"/>
      <c r="L157" s="522"/>
      <c r="M157" s="325"/>
    </row>
    <row r="158" spans="1:13" s="317" customFormat="1" ht="3" hidden="1" customHeight="1" x14ac:dyDescent="0.3">
      <c r="A158" s="914" t="s">
        <v>468</v>
      </c>
      <c r="B158" s="914"/>
      <c r="C158" s="914"/>
      <c r="D158" s="914"/>
      <c r="E158" s="914"/>
      <c r="F158" s="914"/>
      <c r="G158" s="914"/>
      <c r="H158" s="914"/>
      <c r="I158" s="914"/>
      <c r="J158" s="914"/>
      <c r="K158" s="334"/>
    </row>
    <row r="159" spans="1:13" ht="19.5" hidden="1" customHeight="1" x14ac:dyDescent="0.3">
      <c r="A159" s="915" t="s">
        <v>377</v>
      </c>
      <c r="B159" s="915"/>
      <c r="C159" s="915"/>
      <c r="D159" s="915"/>
      <c r="E159" s="915"/>
      <c r="F159" s="915"/>
      <c r="G159" s="915"/>
      <c r="H159" s="915"/>
      <c r="I159" s="915"/>
      <c r="J159" s="915"/>
      <c r="K159" s="342"/>
      <c r="L159" s="320"/>
    </row>
    <row r="160" spans="1:13" ht="15" hidden="1" customHeight="1" x14ac:dyDescent="0.3">
      <c r="A160" s="372" t="s">
        <v>80</v>
      </c>
      <c r="B160" s="373"/>
      <c r="C160" s="377">
        <v>321</v>
      </c>
      <c r="D160" s="377"/>
      <c r="E160" s="377"/>
      <c r="F160" s="378"/>
      <c r="G160" s="378"/>
      <c r="H160" s="378"/>
      <c r="I160" s="378"/>
      <c r="J160" s="728"/>
      <c r="K160" s="342"/>
      <c r="L160" s="320"/>
    </row>
    <row r="161" spans="1:12" ht="16.5" hidden="1" customHeight="1" x14ac:dyDescent="0.3">
      <c r="A161" s="372" t="s">
        <v>81</v>
      </c>
      <c r="B161" s="373"/>
      <c r="C161" s="373"/>
      <c r="D161" s="373"/>
      <c r="E161" s="379"/>
      <c r="F161" s="380"/>
      <c r="G161" s="380"/>
      <c r="H161" s="380"/>
      <c r="I161" s="380"/>
      <c r="J161" s="729"/>
      <c r="K161" s="342"/>
      <c r="L161" s="320"/>
    </row>
    <row r="162" spans="1:12" ht="36" hidden="1" customHeight="1" x14ac:dyDescent="0.3">
      <c r="A162" s="368" t="s">
        <v>1</v>
      </c>
      <c r="B162" s="855" t="s">
        <v>44</v>
      </c>
      <c r="C162" s="856"/>
      <c r="D162" s="857"/>
      <c r="E162" s="855" t="s">
        <v>45</v>
      </c>
      <c r="F162" s="857"/>
      <c r="G162" s="855" t="s">
        <v>46</v>
      </c>
      <c r="H162" s="857"/>
      <c r="I162" s="855" t="s">
        <v>102</v>
      </c>
      <c r="J162" s="857"/>
      <c r="K162" s="342"/>
      <c r="L162" s="320"/>
    </row>
    <row r="163" spans="1:12" ht="16.5" hidden="1" customHeight="1" x14ac:dyDescent="0.3">
      <c r="A163" s="368">
        <v>1</v>
      </c>
      <c r="B163" s="855">
        <v>2</v>
      </c>
      <c r="C163" s="856"/>
      <c r="D163" s="857"/>
      <c r="E163" s="855">
        <v>3</v>
      </c>
      <c r="F163" s="857"/>
      <c r="G163" s="855">
        <v>4</v>
      </c>
      <c r="H163" s="857"/>
      <c r="I163" s="855">
        <v>5</v>
      </c>
      <c r="J163" s="857"/>
      <c r="K163" s="342"/>
      <c r="L163" s="320"/>
    </row>
    <row r="164" spans="1:12" ht="89.25" hidden="1" customHeight="1" x14ac:dyDescent="0.3">
      <c r="A164" s="233" t="s">
        <v>70</v>
      </c>
      <c r="B164" s="809" t="s">
        <v>368</v>
      </c>
      <c r="C164" s="810"/>
      <c r="D164" s="811"/>
      <c r="E164" s="820"/>
      <c r="F164" s="822"/>
      <c r="G164" s="820"/>
      <c r="H164" s="822"/>
      <c r="I164" s="820"/>
      <c r="J164" s="822"/>
    </row>
    <row r="165" spans="1:12" ht="28.5" hidden="1" customHeight="1" x14ac:dyDescent="0.3">
      <c r="A165" s="360" t="s">
        <v>75</v>
      </c>
      <c r="B165" s="809" t="s">
        <v>367</v>
      </c>
      <c r="C165" s="810"/>
      <c r="D165" s="811"/>
      <c r="E165" s="820"/>
      <c r="F165" s="822"/>
      <c r="G165" s="820"/>
      <c r="H165" s="822"/>
      <c r="I165" s="820"/>
      <c r="J165" s="822"/>
    </row>
    <row r="166" spans="1:12" ht="28.5" hidden="1" customHeight="1" x14ac:dyDescent="0.3">
      <c r="A166" s="360" t="s">
        <v>70</v>
      </c>
      <c r="B166" s="969" t="s">
        <v>373</v>
      </c>
      <c r="C166" s="970"/>
      <c r="D166" s="971"/>
      <c r="E166" s="820"/>
      <c r="F166" s="874"/>
      <c r="G166" s="820"/>
      <c r="H166" s="874"/>
      <c r="I166" s="820"/>
      <c r="J166" s="874"/>
    </row>
    <row r="167" spans="1:12" hidden="1" x14ac:dyDescent="0.3">
      <c r="A167" s="370"/>
      <c r="B167" s="905" t="s">
        <v>13</v>
      </c>
      <c r="C167" s="906"/>
      <c r="D167" s="907"/>
      <c r="E167" s="812" t="s">
        <v>14</v>
      </c>
      <c r="F167" s="814"/>
      <c r="G167" s="812" t="s">
        <v>14</v>
      </c>
      <c r="H167" s="814"/>
      <c r="I167" s="812">
        <f>SUM(I166)</f>
        <v>0</v>
      </c>
      <c r="J167" s="814"/>
    </row>
    <row r="168" spans="1:12" s="317" customFormat="1" ht="19.5" customHeight="1" x14ac:dyDescent="0.3">
      <c r="A168" s="915" t="s">
        <v>601</v>
      </c>
      <c r="B168" s="915"/>
      <c r="C168" s="915"/>
      <c r="D168" s="915"/>
      <c r="E168" s="915"/>
      <c r="F168" s="915"/>
      <c r="G168" s="915"/>
      <c r="H168" s="915"/>
      <c r="I168" s="915"/>
      <c r="J168" s="915"/>
      <c r="K168" s="334"/>
    </row>
    <row r="169" spans="1:12" s="317" customFormat="1" ht="21.75" customHeight="1" x14ac:dyDescent="0.3">
      <c r="A169" s="372" t="s">
        <v>80</v>
      </c>
      <c r="B169" s="373"/>
      <c r="C169" s="377">
        <v>321</v>
      </c>
      <c r="D169" s="377"/>
      <c r="E169" s="377"/>
      <c r="F169" s="378"/>
      <c r="G169" s="378"/>
      <c r="H169" s="378"/>
      <c r="I169" s="378"/>
      <c r="J169" s="728"/>
      <c r="K169" s="334"/>
    </row>
    <row r="170" spans="1:12" s="317" customFormat="1" ht="23.25" customHeight="1" x14ac:dyDescent="0.3">
      <c r="A170" s="372" t="s">
        <v>81</v>
      </c>
      <c r="B170" s="373"/>
      <c r="C170" s="373"/>
      <c r="D170" s="913" t="s">
        <v>195</v>
      </c>
      <c r="E170" s="913"/>
      <c r="F170" s="913"/>
      <c r="G170" s="913"/>
      <c r="H170" s="913"/>
      <c r="I170" s="913"/>
      <c r="J170" s="913"/>
      <c r="K170" s="334"/>
    </row>
    <row r="171" spans="1:12" s="317" customFormat="1" ht="19.5" customHeight="1" x14ac:dyDescent="0.3">
      <c r="A171" s="368" t="s">
        <v>1</v>
      </c>
      <c r="B171" s="855" t="s">
        <v>44</v>
      </c>
      <c r="C171" s="856"/>
      <c r="D171" s="857"/>
      <c r="E171" s="855" t="s">
        <v>45</v>
      </c>
      <c r="F171" s="857"/>
      <c r="G171" s="855" t="s">
        <v>46</v>
      </c>
      <c r="H171" s="857"/>
      <c r="I171" s="855" t="s">
        <v>102</v>
      </c>
      <c r="J171" s="857"/>
      <c r="K171" s="334"/>
    </row>
    <row r="172" spans="1:12" s="317" customFormat="1" ht="14.25" customHeight="1" x14ac:dyDescent="0.3">
      <c r="A172" s="368">
        <v>1</v>
      </c>
      <c r="B172" s="855">
        <v>2</v>
      </c>
      <c r="C172" s="856"/>
      <c r="D172" s="857"/>
      <c r="E172" s="855">
        <v>3</v>
      </c>
      <c r="F172" s="857"/>
      <c r="G172" s="855">
        <v>4</v>
      </c>
      <c r="H172" s="857"/>
      <c r="I172" s="855">
        <v>5</v>
      </c>
      <c r="J172" s="857"/>
      <c r="K172" s="334"/>
    </row>
    <row r="173" spans="1:12" s="317" customFormat="1" ht="45.75" customHeight="1" x14ac:dyDescent="0.3">
      <c r="A173" s="233" t="s">
        <v>70</v>
      </c>
      <c r="B173" s="809" t="s">
        <v>932</v>
      </c>
      <c r="C173" s="810"/>
      <c r="D173" s="811"/>
      <c r="E173" s="820">
        <v>189</v>
      </c>
      <c r="F173" s="822"/>
      <c r="G173" s="820">
        <v>160</v>
      </c>
      <c r="H173" s="822"/>
      <c r="I173" s="911">
        <f>60000*9</f>
        <v>540000</v>
      </c>
      <c r="J173" s="912"/>
      <c r="K173" s="334"/>
    </row>
    <row r="174" spans="1:12" s="317" customFormat="1" ht="0.75" hidden="1" customHeight="1" x14ac:dyDescent="0.3">
      <c r="A174" s="360" t="s">
        <v>75</v>
      </c>
      <c r="B174" s="820" t="s">
        <v>367</v>
      </c>
      <c r="C174" s="821"/>
      <c r="D174" s="822"/>
      <c r="E174" s="357"/>
      <c r="F174" s="358"/>
      <c r="G174" s="357"/>
      <c r="H174" s="358"/>
      <c r="I174" s="516"/>
      <c r="J174" s="726"/>
      <c r="K174" s="334"/>
    </row>
    <row r="175" spans="1:12" s="317" customFormat="1" ht="38.25" hidden="1" customHeight="1" x14ac:dyDescent="0.3">
      <c r="A175" s="360" t="s">
        <v>75</v>
      </c>
      <c r="B175" s="969" t="s">
        <v>960</v>
      </c>
      <c r="C175" s="970"/>
      <c r="D175" s="971"/>
      <c r="E175" s="820"/>
      <c r="F175" s="822"/>
      <c r="G175" s="820"/>
      <c r="H175" s="822"/>
      <c r="I175" s="911"/>
      <c r="J175" s="912"/>
      <c r="K175" s="334"/>
    </row>
    <row r="176" spans="1:12" s="317" customFormat="1" ht="18" customHeight="1" x14ac:dyDescent="0.3">
      <c r="A176" s="370"/>
      <c r="B176" s="812" t="s">
        <v>13</v>
      </c>
      <c r="C176" s="813"/>
      <c r="D176" s="814"/>
      <c r="E176" s="812" t="s">
        <v>14</v>
      </c>
      <c r="F176" s="814"/>
      <c r="G176" s="812" t="s">
        <v>14</v>
      </c>
      <c r="H176" s="814"/>
      <c r="I176" s="918">
        <f>I173</f>
        <v>540000</v>
      </c>
      <c r="J176" s="919"/>
      <c r="K176" s="334"/>
    </row>
    <row r="177" spans="1:12" s="317" customFormat="1" ht="18" customHeight="1" x14ac:dyDescent="0.3">
      <c r="A177" s="915" t="s">
        <v>369</v>
      </c>
      <c r="B177" s="915"/>
      <c r="C177" s="915"/>
      <c r="D177" s="915"/>
      <c r="E177" s="915"/>
      <c r="F177" s="915"/>
      <c r="G177" s="915"/>
      <c r="H177" s="915"/>
      <c r="I177" s="915"/>
      <c r="J177" s="915"/>
      <c r="K177" s="334"/>
    </row>
    <row r="178" spans="1:12" s="317" customFormat="1" ht="18" customHeight="1" x14ac:dyDescent="0.3">
      <c r="A178" s="372" t="s">
        <v>80</v>
      </c>
      <c r="B178" s="373"/>
      <c r="C178" s="377">
        <v>851</v>
      </c>
      <c r="D178" s="377">
        <v>852</v>
      </c>
      <c r="E178" s="377">
        <v>853</v>
      </c>
      <c r="F178" s="378"/>
      <c r="G178" s="378"/>
      <c r="H178" s="378"/>
      <c r="I178" s="378"/>
      <c r="J178" s="728"/>
      <c r="K178" s="334"/>
    </row>
    <row r="179" spans="1:12" s="317" customFormat="1" ht="18" customHeight="1" x14ac:dyDescent="0.3">
      <c r="A179" s="372" t="s">
        <v>81</v>
      </c>
      <c r="B179" s="373"/>
      <c r="C179" s="373"/>
      <c r="D179" s="913" t="s">
        <v>82</v>
      </c>
      <c r="E179" s="913"/>
      <c r="F179" s="913"/>
      <c r="G179" s="913"/>
      <c r="H179" s="913"/>
      <c r="I179" s="380"/>
      <c r="J179" s="729"/>
      <c r="K179" s="334"/>
    </row>
    <row r="180" spans="1:12" s="317" customFormat="1" ht="30.75" customHeight="1" x14ac:dyDescent="0.3">
      <c r="A180" s="368" t="s">
        <v>1</v>
      </c>
      <c r="B180" s="778" t="s">
        <v>15</v>
      </c>
      <c r="C180" s="778"/>
      <c r="D180" s="778"/>
      <c r="E180" s="778" t="s">
        <v>47</v>
      </c>
      <c r="F180" s="778"/>
      <c r="G180" s="778" t="s">
        <v>48</v>
      </c>
      <c r="H180" s="778"/>
      <c r="I180" s="778" t="s">
        <v>103</v>
      </c>
      <c r="J180" s="778"/>
      <c r="K180" s="334"/>
    </row>
    <row r="181" spans="1:12" s="317" customFormat="1" ht="18" customHeight="1" x14ac:dyDescent="0.3">
      <c r="A181" s="368">
        <v>1</v>
      </c>
      <c r="B181" s="778">
        <v>2</v>
      </c>
      <c r="C181" s="778"/>
      <c r="D181" s="778"/>
      <c r="E181" s="778">
        <v>3</v>
      </c>
      <c r="F181" s="778"/>
      <c r="G181" s="778">
        <v>4</v>
      </c>
      <c r="H181" s="778"/>
      <c r="I181" s="778">
        <v>5</v>
      </c>
      <c r="J181" s="778"/>
      <c r="K181" s="346" t="s">
        <v>728</v>
      </c>
    </row>
    <row r="182" spans="1:12" s="317" customFormat="1" ht="29.25" customHeight="1" x14ac:dyDescent="0.3">
      <c r="A182" s="872" t="s">
        <v>70</v>
      </c>
      <c r="B182" s="1034" t="s">
        <v>296</v>
      </c>
      <c r="C182" s="1035"/>
      <c r="D182" s="407" t="s">
        <v>813</v>
      </c>
      <c r="E182" s="993"/>
      <c r="F182" s="993"/>
      <c r="G182" s="994">
        <v>2.1999999999999999E-2</v>
      </c>
      <c r="H182" s="994"/>
      <c r="I182" s="876">
        <v>72000</v>
      </c>
      <c r="J182" s="876"/>
      <c r="K182" s="990">
        <f>I183+I182</f>
        <v>283000</v>
      </c>
    </row>
    <row r="183" spans="1:12" s="317" customFormat="1" ht="36" customHeight="1" x14ac:dyDescent="0.3">
      <c r="A183" s="884"/>
      <c r="B183" s="1035"/>
      <c r="C183" s="1035"/>
      <c r="D183" s="423" t="s">
        <v>814</v>
      </c>
      <c r="E183" s="993"/>
      <c r="F183" s="993"/>
      <c r="G183" s="994">
        <v>2.1999999999999999E-2</v>
      </c>
      <c r="H183" s="994"/>
      <c r="I183" s="876">
        <v>211000</v>
      </c>
      <c r="J183" s="876"/>
      <c r="K183" s="990"/>
    </row>
    <row r="184" spans="1:12" s="317" customFormat="1" ht="31.5" hidden="1" customHeight="1" x14ac:dyDescent="0.3">
      <c r="A184" s="360" t="s">
        <v>75</v>
      </c>
      <c r="B184" s="809" t="s">
        <v>298</v>
      </c>
      <c r="C184" s="810"/>
      <c r="D184" s="811"/>
      <c r="E184" s="826">
        <v>0</v>
      </c>
      <c r="F184" s="826"/>
      <c r="G184" s="826">
        <v>0</v>
      </c>
      <c r="H184" s="826"/>
      <c r="I184" s="876">
        <v>0</v>
      </c>
      <c r="J184" s="876"/>
      <c r="K184" s="334"/>
    </row>
    <row r="185" spans="1:12" s="317" customFormat="1" ht="46.5" hidden="1" customHeight="1" x14ac:dyDescent="0.3">
      <c r="A185" s="360" t="s">
        <v>77</v>
      </c>
      <c r="B185" s="809" t="s">
        <v>299</v>
      </c>
      <c r="C185" s="810"/>
      <c r="D185" s="811"/>
      <c r="E185" s="826">
        <v>0</v>
      </c>
      <c r="F185" s="826"/>
      <c r="G185" s="826">
        <v>0</v>
      </c>
      <c r="H185" s="826"/>
      <c r="I185" s="876">
        <v>0</v>
      </c>
      <c r="J185" s="876"/>
      <c r="K185" s="334"/>
    </row>
    <row r="186" spans="1:12" s="317" customFormat="1" ht="18" customHeight="1" x14ac:dyDescent="0.3">
      <c r="A186" s="360" t="s">
        <v>75</v>
      </c>
      <c r="B186" s="809" t="s">
        <v>297</v>
      </c>
      <c r="C186" s="810"/>
      <c r="D186" s="811"/>
      <c r="E186" s="820">
        <v>0</v>
      </c>
      <c r="F186" s="822"/>
      <c r="G186" s="820">
        <v>0</v>
      </c>
      <c r="H186" s="822"/>
      <c r="I186" s="1052">
        <v>4500</v>
      </c>
      <c r="J186" s="1053"/>
      <c r="K186" s="334"/>
    </row>
    <row r="187" spans="1:12" s="317" customFormat="1" ht="18" customHeight="1" x14ac:dyDescent="0.3">
      <c r="A187" s="370"/>
      <c r="B187" s="847" t="s">
        <v>13</v>
      </c>
      <c r="C187" s="847"/>
      <c r="D187" s="847"/>
      <c r="E187" s="842" t="s">
        <v>74</v>
      </c>
      <c r="F187" s="842"/>
      <c r="G187" s="842" t="s">
        <v>14</v>
      </c>
      <c r="H187" s="842"/>
      <c r="I187" s="834">
        <f>SUM(I182:J186)</f>
        <v>287500</v>
      </c>
      <c r="J187" s="842"/>
      <c r="K187" s="334"/>
    </row>
    <row r="188" spans="1:12" s="317" customFormat="1" ht="18" hidden="1" customHeight="1" x14ac:dyDescent="0.3">
      <c r="A188" s="1054"/>
      <c r="B188" s="1054"/>
      <c r="C188" s="1054"/>
      <c r="D188" s="1054"/>
      <c r="E188" s="1054"/>
      <c r="F188" s="1054"/>
      <c r="G188" s="1054"/>
      <c r="H188" s="1054"/>
      <c r="I188" s="1054"/>
      <c r="J188" s="1054"/>
      <c r="K188" s="334"/>
    </row>
    <row r="189" spans="1:12" ht="27" hidden="1" customHeight="1" x14ac:dyDescent="0.3">
      <c r="A189" s="915" t="s">
        <v>85</v>
      </c>
      <c r="B189" s="915"/>
      <c r="C189" s="915"/>
      <c r="D189" s="915"/>
      <c r="E189" s="915"/>
      <c r="F189" s="915"/>
      <c r="G189" s="915"/>
      <c r="H189" s="915"/>
      <c r="I189" s="915"/>
      <c r="J189" s="915"/>
      <c r="K189" s="522"/>
      <c r="L189" s="522"/>
    </row>
    <row r="190" spans="1:12" s="317" customFormat="1" ht="15.75" hidden="1" customHeight="1" x14ac:dyDescent="0.3">
      <c r="A190" s="372" t="s">
        <v>80</v>
      </c>
      <c r="B190" s="373"/>
      <c r="C190" s="377"/>
      <c r="D190" s="377"/>
      <c r="E190" s="377"/>
      <c r="F190" s="378"/>
      <c r="G190" s="378"/>
      <c r="H190" s="378"/>
      <c r="I190" s="378"/>
      <c r="J190" s="728"/>
      <c r="K190" s="336"/>
      <c r="L190" s="326"/>
    </row>
    <row r="191" spans="1:12" s="317" customFormat="1" hidden="1" x14ac:dyDescent="0.3">
      <c r="A191" s="372" t="s">
        <v>81</v>
      </c>
      <c r="B191" s="373"/>
      <c r="C191" s="373"/>
      <c r="D191" s="373"/>
      <c r="E191" s="379"/>
      <c r="F191" s="380"/>
      <c r="G191" s="380"/>
      <c r="H191" s="380"/>
      <c r="I191" s="380"/>
      <c r="J191" s="729"/>
      <c r="K191" s="334"/>
    </row>
    <row r="192" spans="1:12" ht="24.75" hidden="1" customHeight="1" x14ac:dyDescent="0.3">
      <c r="A192" s="368" t="s">
        <v>1</v>
      </c>
      <c r="B192" s="778" t="s">
        <v>44</v>
      </c>
      <c r="C192" s="778"/>
      <c r="D192" s="778"/>
      <c r="E192" s="778" t="s">
        <v>45</v>
      </c>
      <c r="F192" s="778"/>
      <c r="G192" s="778" t="s">
        <v>46</v>
      </c>
      <c r="H192" s="778"/>
      <c r="I192" s="778" t="s">
        <v>102</v>
      </c>
      <c r="J192" s="778"/>
      <c r="K192" s="342"/>
      <c r="L192" s="320"/>
    </row>
    <row r="193" spans="1:13" ht="14.25" hidden="1" customHeight="1" x14ac:dyDescent="0.3">
      <c r="A193" s="368">
        <v>1</v>
      </c>
      <c r="B193" s="778">
        <v>2</v>
      </c>
      <c r="C193" s="778"/>
      <c r="D193" s="778"/>
      <c r="E193" s="778">
        <v>3</v>
      </c>
      <c r="F193" s="778"/>
      <c r="G193" s="778">
        <v>4</v>
      </c>
      <c r="H193" s="778"/>
      <c r="I193" s="778">
        <v>5</v>
      </c>
      <c r="J193" s="778"/>
      <c r="K193" s="343"/>
      <c r="L193" s="327"/>
    </row>
    <row r="194" spans="1:13" ht="15" hidden="1" customHeight="1" x14ac:dyDescent="0.3">
      <c r="A194" s="360"/>
      <c r="B194" s="820"/>
      <c r="C194" s="821"/>
      <c r="D194" s="822"/>
      <c r="E194" s="820"/>
      <c r="F194" s="822"/>
      <c r="G194" s="820"/>
      <c r="H194" s="822"/>
      <c r="I194" s="820"/>
      <c r="J194" s="822"/>
      <c r="K194" s="342"/>
      <c r="L194" s="320"/>
    </row>
    <row r="195" spans="1:13" ht="17.25" hidden="1" customHeight="1" x14ac:dyDescent="0.3">
      <c r="A195" s="370"/>
      <c r="B195" s="847" t="s">
        <v>13</v>
      </c>
      <c r="C195" s="847"/>
      <c r="D195" s="847"/>
      <c r="E195" s="842" t="s">
        <v>14</v>
      </c>
      <c r="F195" s="842"/>
      <c r="G195" s="842" t="s">
        <v>14</v>
      </c>
      <c r="H195" s="842"/>
      <c r="I195" s="842"/>
      <c r="J195" s="842"/>
      <c r="K195" s="342"/>
      <c r="L195" s="320"/>
    </row>
    <row r="196" spans="1:13" ht="16.5" customHeight="1" x14ac:dyDescent="0.3">
      <c r="A196" s="893" t="s">
        <v>91</v>
      </c>
      <c r="B196" s="893"/>
      <c r="C196" s="893"/>
      <c r="D196" s="893"/>
      <c r="E196" s="893"/>
      <c r="F196" s="893"/>
      <c r="G196" s="893"/>
      <c r="H196" s="893"/>
      <c r="I196" s="893"/>
      <c r="J196" s="893"/>
      <c r="K196" s="342"/>
      <c r="L196" s="320"/>
    </row>
    <row r="197" spans="1:13" ht="18" customHeight="1" x14ac:dyDescent="0.3">
      <c r="A197" s="372" t="s">
        <v>80</v>
      </c>
      <c r="B197" s="373"/>
      <c r="C197" s="377">
        <v>244</v>
      </c>
      <c r="D197" s="377"/>
      <c r="E197" s="377"/>
      <c r="F197" s="378"/>
      <c r="G197" s="378"/>
      <c r="H197" s="378"/>
      <c r="I197" s="378"/>
      <c r="J197" s="728"/>
      <c r="K197" s="342"/>
      <c r="L197" s="320"/>
    </row>
    <row r="198" spans="1:13" ht="18" customHeight="1" x14ac:dyDescent="0.3">
      <c r="A198" s="372" t="s">
        <v>81</v>
      </c>
      <c r="B198" s="373"/>
      <c r="C198" s="373"/>
      <c r="D198" s="373"/>
      <c r="E198" s="379" t="s">
        <v>82</v>
      </c>
      <c r="F198" s="380"/>
      <c r="G198" s="379"/>
      <c r="H198" s="380"/>
      <c r="I198" s="380"/>
      <c r="J198" s="729"/>
      <c r="K198" s="342"/>
      <c r="L198" s="320"/>
    </row>
    <row r="199" spans="1:13" ht="18" customHeight="1" x14ac:dyDescent="0.3">
      <c r="A199" s="871" t="s">
        <v>568</v>
      </c>
      <c r="B199" s="871"/>
      <c r="C199" s="871"/>
      <c r="D199" s="871"/>
      <c r="E199" s="871"/>
      <c r="F199" s="871"/>
      <c r="G199" s="871"/>
      <c r="H199" s="871"/>
      <c r="I199" s="871"/>
      <c r="J199" s="871"/>
      <c r="K199" s="342"/>
      <c r="L199" s="320"/>
    </row>
    <row r="200" spans="1:13" ht="15.75" customHeight="1" x14ac:dyDescent="0.3">
      <c r="A200" s="368" t="s">
        <v>1</v>
      </c>
      <c r="B200" s="778" t="s">
        <v>44</v>
      </c>
      <c r="C200" s="778"/>
      <c r="D200" s="778"/>
      <c r="E200" s="778" t="s">
        <v>45</v>
      </c>
      <c r="F200" s="778"/>
      <c r="G200" s="778" t="s">
        <v>46</v>
      </c>
      <c r="H200" s="778"/>
      <c r="I200" s="778" t="s">
        <v>102</v>
      </c>
      <c r="J200" s="778"/>
      <c r="K200" s="333"/>
      <c r="L200" s="320"/>
    </row>
    <row r="201" spans="1:13" ht="12.75" customHeight="1" x14ac:dyDescent="0.3">
      <c r="A201" s="368">
        <v>1</v>
      </c>
      <c r="B201" s="778">
        <v>2</v>
      </c>
      <c r="C201" s="778"/>
      <c r="D201" s="778"/>
      <c r="E201" s="778">
        <v>3</v>
      </c>
      <c r="F201" s="778"/>
      <c r="G201" s="778">
        <v>4</v>
      </c>
      <c r="H201" s="778"/>
      <c r="I201" s="778">
        <v>5</v>
      </c>
      <c r="J201" s="778"/>
      <c r="K201" s="342"/>
      <c r="L201" s="320"/>
    </row>
    <row r="202" spans="1:13" ht="21.75" customHeight="1" x14ac:dyDescent="0.3">
      <c r="A202" s="360" t="s">
        <v>70</v>
      </c>
      <c r="B202" s="809" t="s">
        <v>569</v>
      </c>
      <c r="C202" s="810"/>
      <c r="D202" s="811"/>
      <c r="E202" s="820">
        <v>8500</v>
      </c>
      <c r="F202" s="822"/>
      <c r="G202" s="820">
        <v>1</v>
      </c>
      <c r="H202" s="822"/>
      <c r="I202" s="897">
        <v>8500</v>
      </c>
      <c r="J202" s="898"/>
      <c r="K202" s="342"/>
      <c r="L202" s="328"/>
    </row>
    <row r="203" spans="1:13" ht="38.25" hidden="1" customHeight="1" x14ac:dyDescent="0.3">
      <c r="A203" s="360" t="s">
        <v>75</v>
      </c>
      <c r="B203" s="999" t="s">
        <v>542</v>
      </c>
      <c r="C203" s="1000"/>
      <c r="D203" s="1001"/>
      <c r="E203" s="820">
        <f>1625-1625</f>
        <v>0</v>
      </c>
      <c r="F203" s="822"/>
      <c r="G203" s="820">
        <v>2</v>
      </c>
      <c r="H203" s="822"/>
      <c r="I203" s="897">
        <f>E203*G203</f>
        <v>0</v>
      </c>
      <c r="J203" s="898"/>
      <c r="K203" s="342"/>
      <c r="L203" s="328"/>
    </row>
    <row r="204" spans="1:13" ht="15" customHeight="1" x14ac:dyDescent="0.3">
      <c r="A204" s="360"/>
      <c r="B204" s="847" t="s">
        <v>13</v>
      </c>
      <c r="C204" s="847"/>
      <c r="D204" s="847"/>
      <c r="E204" s="842" t="s">
        <v>14</v>
      </c>
      <c r="F204" s="842"/>
      <c r="G204" s="842" t="s">
        <v>14</v>
      </c>
      <c r="H204" s="842"/>
      <c r="I204" s="896">
        <f>I202+I203</f>
        <v>8500</v>
      </c>
      <c r="J204" s="896"/>
      <c r="K204" s="342"/>
      <c r="L204" s="320"/>
      <c r="M204" s="322"/>
    </row>
    <row r="205" spans="1:13" ht="29.25" customHeight="1" x14ac:dyDescent="0.3">
      <c r="A205" s="893" t="s">
        <v>49</v>
      </c>
      <c r="B205" s="893"/>
      <c r="C205" s="893"/>
      <c r="D205" s="893"/>
      <c r="E205" s="893"/>
      <c r="F205" s="893"/>
      <c r="G205" s="893"/>
      <c r="H205" s="893"/>
      <c r="I205" s="893"/>
      <c r="J205" s="893"/>
      <c r="K205" s="342"/>
      <c r="L205" s="320"/>
      <c r="M205" s="322"/>
    </row>
    <row r="206" spans="1:13" ht="19.5" customHeight="1" x14ac:dyDescent="0.3">
      <c r="A206" s="372" t="s">
        <v>80</v>
      </c>
      <c r="B206" s="373"/>
      <c r="C206" s="377" t="s">
        <v>997</v>
      </c>
      <c r="D206" s="377"/>
      <c r="E206" s="377"/>
      <c r="F206" s="378"/>
      <c r="G206" s="378"/>
      <c r="H206" s="378"/>
      <c r="I206" s="378"/>
      <c r="J206" s="728"/>
      <c r="K206" s="342"/>
      <c r="L206" s="320"/>
      <c r="M206" s="322"/>
    </row>
    <row r="207" spans="1:13" ht="17.25" customHeight="1" x14ac:dyDescent="0.3">
      <c r="A207" s="372" t="s">
        <v>81</v>
      </c>
      <c r="B207" s="373"/>
      <c r="C207" s="373"/>
      <c r="D207" s="373"/>
      <c r="E207" s="379" t="s">
        <v>82</v>
      </c>
      <c r="F207" s="380"/>
      <c r="G207" s="379" t="s">
        <v>195</v>
      </c>
      <c r="H207" s="380"/>
      <c r="I207" s="379" t="s">
        <v>989</v>
      </c>
      <c r="J207" s="729"/>
      <c r="K207" s="342"/>
      <c r="L207" s="320"/>
      <c r="M207" s="322"/>
    </row>
    <row r="208" spans="1:13" ht="17.25" customHeight="1" x14ac:dyDescent="0.3">
      <c r="A208" s="893" t="s">
        <v>301</v>
      </c>
      <c r="B208" s="893"/>
      <c r="C208" s="893"/>
      <c r="D208" s="893"/>
      <c r="E208" s="893"/>
      <c r="F208" s="893"/>
      <c r="G208" s="893"/>
      <c r="H208" s="893"/>
      <c r="I208" s="893"/>
      <c r="J208" s="893"/>
      <c r="K208" s="342"/>
      <c r="L208" s="320"/>
      <c r="M208" s="322"/>
    </row>
    <row r="209" spans="1:14" ht="38.25" customHeight="1" x14ac:dyDescent="0.3">
      <c r="A209" s="368" t="s">
        <v>1</v>
      </c>
      <c r="B209" s="778" t="s">
        <v>15</v>
      </c>
      <c r="C209" s="778"/>
      <c r="D209" s="778"/>
      <c r="E209" s="368" t="s">
        <v>50</v>
      </c>
      <c r="F209" s="368" t="s">
        <v>51</v>
      </c>
      <c r="G209" s="778" t="s">
        <v>52</v>
      </c>
      <c r="H209" s="778"/>
      <c r="I209" s="778" t="s">
        <v>104</v>
      </c>
      <c r="J209" s="778"/>
      <c r="K209" s="342"/>
      <c r="L209" s="320"/>
      <c r="M209" s="322"/>
    </row>
    <row r="210" spans="1:14" ht="15" customHeight="1" x14ac:dyDescent="0.3">
      <c r="A210" s="368">
        <v>1</v>
      </c>
      <c r="B210" s="778">
        <v>2</v>
      </c>
      <c r="C210" s="778"/>
      <c r="D210" s="778"/>
      <c r="E210" s="368">
        <v>3</v>
      </c>
      <c r="F210" s="368">
        <v>4</v>
      </c>
      <c r="G210" s="778">
        <v>5</v>
      </c>
      <c r="H210" s="778"/>
      <c r="I210" s="778">
        <v>6</v>
      </c>
      <c r="J210" s="778"/>
      <c r="K210" s="342"/>
      <c r="L210" s="320"/>
      <c r="M210" s="322"/>
    </row>
    <row r="211" spans="1:14" ht="14.25" customHeight="1" x14ac:dyDescent="0.3">
      <c r="A211" s="535">
        <v>1</v>
      </c>
      <c r="B211" s="827" t="s">
        <v>348</v>
      </c>
      <c r="C211" s="828"/>
      <c r="D211" s="829"/>
      <c r="E211" s="387" t="s">
        <v>74</v>
      </c>
      <c r="F211" s="387" t="s">
        <v>74</v>
      </c>
      <c r="G211" s="1043" t="s">
        <v>74</v>
      </c>
      <c r="H211" s="1043"/>
      <c r="I211" s="1044">
        <f>I212+I213+I214+I215</f>
        <v>49500</v>
      </c>
      <c r="J211" s="1044"/>
      <c r="K211" s="342"/>
      <c r="L211" s="320"/>
      <c r="M211" s="322"/>
    </row>
    <row r="212" spans="1:14" ht="15" customHeight="1" x14ac:dyDescent="0.3">
      <c r="A212" s="360" t="s">
        <v>349</v>
      </c>
      <c r="B212" s="835" t="s">
        <v>93</v>
      </c>
      <c r="C212" s="835"/>
      <c r="D212" s="835"/>
      <c r="E212" s="360">
        <v>6</v>
      </c>
      <c r="F212" s="360">
        <v>12</v>
      </c>
      <c r="G212" s="1050">
        <v>3867</v>
      </c>
      <c r="H212" s="1050"/>
      <c r="I212" s="876">
        <v>46000</v>
      </c>
      <c r="J212" s="876"/>
      <c r="K212" s="344"/>
      <c r="L212" s="321"/>
      <c r="M212" s="322"/>
    </row>
    <row r="213" spans="1:14" x14ac:dyDescent="0.3">
      <c r="A213" s="360" t="s">
        <v>350</v>
      </c>
      <c r="B213" s="835" t="s">
        <v>791</v>
      </c>
      <c r="C213" s="835"/>
      <c r="D213" s="835"/>
      <c r="E213" s="370"/>
      <c r="F213" s="370"/>
      <c r="G213" s="1051"/>
      <c r="H213" s="1051"/>
      <c r="I213" s="876">
        <v>2500</v>
      </c>
      <c r="J213" s="876"/>
      <c r="M213" s="322"/>
    </row>
    <row r="214" spans="1:14" ht="30" customHeight="1" x14ac:dyDescent="0.3">
      <c r="A214" s="360" t="s">
        <v>351</v>
      </c>
      <c r="B214" s="835" t="s">
        <v>96</v>
      </c>
      <c r="C214" s="835"/>
      <c r="D214" s="835"/>
      <c r="E214" s="360">
        <v>1</v>
      </c>
      <c r="F214" s="360">
        <v>1</v>
      </c>
      <c r="G214" s="875">
        <v>1000</v>
      </c>
      <c r="H214" s="875"/>
      <c r="I214" s="876">
        <v>1000</v>
      </c>
      <c r="J214" s="876"/>
      <c r="M214" s="322"/>
    </row>
    <row r="215" spans="1:14" hidden="1" x14ac:dyDescent="0.3">
      <c r="A215" s="360" t="s">
        <v>268</v>
      </c>
      <c r="B215" s="835" t="s">
        <v>199</v>
      </c>
      <c r="C215" s="835"/>
      <c r="D215" s="835"/>
      <c r="E215" s="360"/>
      <c r="F215" s="360"/>
      <c r="G215" s="875"/>
      <c r="H215" s="875"/>
      <c r="I215" s="876"/>
      <c r="J215" s="876"/>
      <c r="M215" s="322"/>
    </row>
    <row r="216" spans="1:14" hidden="1" x14ac:dyDescent="0.3">
      <c r="A216" s="535">
        <v>2</v>
      </c>
      <c r="B216" s="827" t="s">
        <v>352</v>
      </c>
      <c r="C216" s="828"/>
      <c r="D216" s="829"/>
      <c r="E216" s="387" t="s">
        <v>74</v>
      </c>
      <c r="F216" s="387" t="s">
        <v>74</v>
      </c>
      <c r="G216" s="1043" t="s">
        <v>74</v>
      </c>
      <c r="H216" s="1043"/>
      <c r="I216" s="1044">
        <f>I217</f>
        <v>0</v>
      </c>
      <c r="J216" s="1044"/>
      <c r="M216" s="322"/>
    </row>
    <row r="217" spans="1:14" s="317" customFormat="1" ht="19.5" hidden="1" customHeight="1" x14ac:dyDescent="0.3">
      <c r="A217" s="360" t="s">
        <v>353</v>
      </c>
      <c r="B217" s="835" t="s">
        <v>199</v>
      </c>
      <c r="C217" s="835"/>
      <c r="D217" s="835"/>
      <c r="E217" s="360">
        <v>1</v>
      </c>
      <c r="F217" s="360">
        <v>10</v>
      </c>
      <c r="G217" s="875">
        <v>0</v>
      </c>
      <c r="H217" s="875"/>
      <c r="I217" s="876">
        <v>0</v>
      </c>
      <c r="J217" s="876"/>
      <c r="K217" s="334"/>
    </row>
    <row r="218" spans="1:14" ht="16.5" customHeight="1" x14ac:dyDescent="0.3">
      <c r="A218" s="360"/>
      <c r="B218" s="847" t="s">
        <v>332</v>
      </c>
      <c r="C218" s="847"/>
      <c r="D218" s="847"/>
      <c r="E218" s="370" t="s">
        <v>14</v>
      </c>
      <c r="F218" s="370" t="s">
        <v>14</v>
      </c>
      <c r="G218" s="842" t="s">
        <v>14</v>
      </c>
      <c r="H218" s="842"/>
      <c r="I218" s="848">
        <f>I211+I216</f>
        <v>49500</v>
      </c>
      <c r="J218" s="1007"/>
      <c r="K218" s="345"/>
      <c r="N218" s="408"/>
    </row>
    <row r="219" spans="1:14" ht="12" hidden="1" customHeight="1" x14ac:dyDescent="0.3">
      <c r="A219" s="409"/>
      <c r="B219" s="373"/>
      <c r="C219" s="373"/>
      <c r="D219" s="373"/>
      <c r="E219" s="373"/>
      <c r="F219" s="373"/>
      <c r="G219" s="373"/>
      <c r="H219" s="373"/>
      <c r="I219" s="373"/>
      <c r="J219" s="727"/>
      <c r="M219" s="329"/>
    </row>
    <row r="220" spans="1:14" ht="18.75" hidden="1" customHeight="1" x14ac:dyDescent="0.3">
      <c r="A220" s="893" t="s">
        <v>285</v>
      </c>
      <c r="B220" s="893"/>
      <c r="C220" s="893"/>
      <c r="D220" s="893"/>
      <c r="E220" s="893"/>
      <c r="F220" s="893"/>
      <c r="G220" s="893"/>
      <c r="H220" s="893"/>
      <c r="I220" s="893"/>
      <c r="J220" s="893"/>
      <c r="M220" s="329"/>
    </row>
    <row r="221" spans="1:14" ht="12.75" hidden="1" customHeight="1" x14ac:dyDescent="0.3">
      <c r="A221" s="368" t="s">
        <v>1</v>
      </c>
      <c r="B221" s="778" t="s">
        <v>15</v>
      </c>
      <c r="C221" s="778"/>
      <c r="D221" s="778"/>
      <c r="E221" s="778" t="s">
        <v>53</v>
      </c>
      <c r="F221" s="778"/>
      <c r="G221" s="778" t="s">
        <v>54</v>
      </c>
      <c r="H221" s="778"/>
      <c r="I221" s="778" t="s">
        <v>264</v>
      </c>
      <c r="J221" s="778"/>
      <c r="M221" s="329"/>
    </row>
    <row r="222" spans="1:14" ht="15" hidden="1" customHeight="1" x14ac:dyDescent="0.3">
      <c r="A222" s="368">
        <v>1</v>
      </c>
      <c r="B222" s="778">
        <v>2</v>
      </c>
      <c r="C222" s="778"/>
      <c r="D222" s="778"/>
      <c r="E222" s="778">
        <v>3</v>
      </c>
      <c r="F222" s="778"/>
      <c r="G222" s="778">
        <v>4</v>
      </c>
      <c r="H222" s="778"/>
      <c r="I222" s="778">
        <v>5</v>
      </c>
      <c r="J222" s="778"/>
      <c r="M222" s="329"/>
    </row>
    <row r="223" spans="1:14" ht="16.5" hidden="1" customHeight="1" x14ac:dyDescent="0.3">
      <c r="A223" s="360">
        <v>1</v>
      </c>
      <c r="B223" s="927" t="s">
        <v>715</v>
      </c>
      <c r="C223" s="928"/>
      <c r="D223" s="929"/>
      <c r="E223" s="826"/>
      <c r="F223" s="826"/>
      <c r="G223" s="860"/>
      <c r="H223" s="860"/>
      <c r="I223" s="860">
        <f>E223*G223</f>
        <v>0</v>
      </c>
      <c r="J223" s="860"/>
      <c r="M223" s="329"/>
    </row>
    <row r="224" spans="1:14" hidden="1" x14ac:dyDescent="0.3">
      <c r="A224" s="360"/>
      <c r="B224" s="847" t="s">
        <v>13</v>
      </c>
      <c r="C224" s="847"/>
      <c r="D224" s="847"/>
      <c r="E224" s="842" t="s">
        <v>74</v>
      </c>
      <c r="F224" s="842"/>
      <c r="G224" s="842" t="s">
        <v>74</v>
      </c>
      <c r="H224" s="842"/>
      <c r="I224" s="1055">
        <f>I223</f>
        <v>0</v>
      </c>
      <c r="J224" s="842"/>
    </row>
    <row r="225" spans="1:17" ht="24" customHeight="1" x14ac:dyDescent="0.3">
      <c r="A225" s="410" t="s">
        <v>806</v>
      </c>
      <c r="B225" s="410"/>
      <c r="C225" s="410"/>
      <c r="D225" s="410"/>
      <c r="E225" s="410"/>
      <c r="F225" s="410"/>
      <c r="G225" s="410"/>
      <c r="H225" s="410"/>
      <c r="I225" s="410"/>
      <c r="J225" s="736"/>
    </row>
    <row r="226" spans="1:17" s="317" customFormat="1" ht="25.5" customHeight="1" x14ac:dyDescent="0.3">
      <c r="A226" s="438" t="s">
        <v>1</v>
      </c>
      <c r="B226" s="778" t="s">
        <v>44</v>
      </c>
      <c r="C226" s="778"/>
      <c r="D226" s="778"/>
      <c r="E226" s="438" t="s">
        <v>55</v>
      </c>
      <c r="F226" s="778" t="s">
        <v>56</v>
      </c>
      <c r="G226" s="778"/>
      <c r="H226" s="438" t="s">
        <v>57</v>
      </c>
      <c r="I226" s="778" t="s">
        <v>104</v>
      </c>
      <c r="J226" s="778"/>
      <c r="K226" s="867" t="s">
        <v>776</v>
      </c>
    </row>
    <row r="227" spans="1:17" s="317" customFormat="1" ht="15.75" customHeight="1" x14ac:dyDescent="0.3">
      <c r="A227" s="438">
        <v>1</v>
      </c>
      <c r="B227" s="778">
        <v>2</v>
      </c>
      <c r="C227" s="778"/>
      <c r="D227" s="778"/>
      <c r="E227" s="438">
        <v>3</v>
      </c>
      <c r="F227" s="778">
        <v>4</v>
      </c>
      <c r="G227" s="778"/>
      <c r="H227" s="438">
        <v>5</v>
      </c>
      <c r="I227" s="778">
        <v>6</v>
      </c>
      <c r="J227" s="778"/>
      <c r="K227" s="867"/>
    </row>
    <row r="228" spans="1:17" s="445" customFormat="1" ht="30" customHeight="1" x14ac:dyDescent="0.3">
      <c r="A228" s="437">
        <v>1</v>
      </c>
      <c r="B228" s="827" t="s">
        <v>588</v>
      </c>
      <c r="C228" s="828"/>
      <c r="D228" s="829"/>
      <c r="E228" s="444">
        <f>SUM(E229:E231)</f>
        <v>815</v>
      </c>
      <c r="F228" s="830"/>
      <c r="G228" s="831"/>
      <c r="H228" s="497">
        <f>F230/F229-100%</f>
        <v>0</v>
      </c>
      <c r="I228" s="834">
        <f>I229+I230+I231</f>
        <v>51051</v>
      </c>
      <c r="J228" s="834"/>
      <c r="K228" s="846" t="s">
        <v>848</v>
      </c>
      <c r="L228" s="541">
        <v>772</v>
      </c>
    </row>
    <row r="229" spans="1:17" ht="17.25" customHeight="1" x14ac:dyDescent="0.3">
      <c r="A229" s="817"/>
      <c r="B229" s="826" t="s">
        <v>945</v>
      </c>
      <c r="C229" s="826"/>
      <c r="D229" s="826"/>
      <c r="E229" s="577">
        <v>472</v>
      </c>
      <c r="F229" s="823">
        <v>62.75</v>
      </c>
      <c r="G229" s="824"/>
      <c r="H229" s="497">
        <f t="shared" ref="H229:H231" si="22">F231/F230-100%</f>
        <v>0</v>
      </c>
      <c r="I229" s="825">
        <f>E229*F229</f>
        <v>29618</v>
      </c>
      <c r="J229" s="825"/>
      <c r="K229" s="846"/>
      <c r="L229" s="323">
        <f>I229+I230+I233+I234</f>
        <v>127231.91</v>
      </c>
      <c r="O229" s="173">
        <v>57.21</v>
      </c>
      <c r="Q229" s="173">
        <v>55.33</v>
      </c>
    </row>
    <row r="230" spans="1:17" ht="17.25" customHeight="1" x14ac:dyDescent="0.3">
      <c r="A230" s="818"/>
      <c r="B230" s="826" t="s">
        <v>946</v>
      </c>
      <c r="C230" s="826"/>
      <c r="D230" s="826"/>
      <c r="E230" s="577">
        <v>273</v>
      </c>
      <c r="F230" s="823">
        <v>62.75</v>
      </c>
      <c r="G230" s="824"/>
      <c r="H230" s="497">
        <f t="shared" si="22"/>
        <v>-1</v>
      </c>
      <c r="I230" s="825">
        <f>E230*F230-0.25</f>
        <v>17130.5</v>
      </c>
      <c r="J230" s="825"/>
      <c r="K230" s="846"/>
      <c r="O230" s="173">
        <f>O229*E228</f>
        <v>46626.15</v>
      </c>
    </row>
    <row r="231" spans="1:17" ht="15.75" customHeight="1" x14ac:dyDescent="0.3">
      <c r="A231" s="819"/>
      <c r="B231" s="812" t="s">
        <v>719</v>
      </c>
      <c r="C231" s="813"/>
      <c r="D231" s="814"/>
      <c r="E231" s="577">
        <v>70</v>
      </c>
      <c r="F231" s="823">
        <v>62.75</v>
      </c>
      <c r="G231" s="824"/>
      <c r="H231" s="497" t="e">
        <f t="shared" si="22"/>
        <v>#DIV/0!</v>
      </c>
      <c r="I231" s="825">
        <f>E231*F231-90</f>
        <v>4302.5</v>
      </c>
      <c r="J231" s="825"/>
      <c r="K231" s="441"/>
    </row>
    <row r="232" spans="1:17" s="445" customFormat="1" ht="31.95" customHeight="1" x14ac:dyDescent="0.3">
      <c r="A232" s="437">
        <v>2</v>
      </c>
      <c r="B232" s="827" t="s">
        <v>589</v>
      </c>
      <c r="C232" s="828"/>
      <c r="D232" s="829"/>
      <c r="E232" s="444">
        <f>SUM(E233:E235)</f>
        <v>38</v>
      </c>
      <c r="F232" s="830"/>
      <c r="G232" s="831"/>
      <c r="H232" s="497">
        <f>F234/F233-100%</f>
        <v>0</v>
      </c>
      <c r="I232" s="832">
        <f>I233+I234+I235</f>
        <v>87382</v>
      </c>
      <c r="J232" s="833"/>
      <c r="K232" s="846" t="s">
        <v>849</v>
      </c>
      <c r="L232" s="539">
        <v>33</v>
      </c>
    </row>
    <row r="233" spans="1:17" ht="17.25" customHeight="1" x14ac:dyDescent="0.3">
      <c r="A233" s="817"/>
      <c r="B233" s="820" t="s">
        <v>947</v>
      </c>
      <c r="C233" s="821"/>
      <c r="D233" s="822"/>
      <c r="E233" s="577">
        <v>21</v>
      </c>
      <c r="F233" s="823">
        <v>2299.5300000000002</v>
      </c>
      <c r="G233" s="824"/>
      <c r="H233" s="498"/>
      <c r="I233" s="825">
        <f>E233*F233</f>
        <v>48290.130000000005</v>
      </c>
      <c r="J233" s="825"/>
      <c r="K233" s="846"/>
      <c r="O233" s="173">
        <v>2108.31</v>
      </c>
    </row>
    <row r="234" spans="1:17" ht="16.5" customHeight="1" x14ac:dyDescent="0.3">
      <c r="A234" s="818"/>
      <c r="B234" s="826" t="s">
        <v>948</v>
      </c>
      <c r="C234" s="826"/>
      <c r="D234" s="826"/>
      <c r="E234" s="577">
        <v>14</v>
      </c>
      <c r="F234" s="823">
        <v>2299.5300000000002</v>
      </c>
      <c r="G234" s="824"/>
      <c r="H234" s="498"/>
      <c r="I234" s="825">
        <f>E234*F234-0.14</f>
        <v>32193.280000000002</v>
      </c>
      <c r="J234" s="825"/>
      <c r="K234" s="846"/>
      <c r="O234" s="173">
        <f>O233*E232</f>
        <v>80115.78</v>
      </c>
    </row>
    <row r="235" spans="1:17" ht="19.5" customHeight="1" x14ac:dyDescent="0.3">
      <c r="A235" s="819"/>
      <c r="B235" s="812" t="s">
        <v>719</v>
      </c>
      <c r="C235" s="813"/>
      <c r="D235" s="814"/>
      <c r="E235" s="577">
        <v>3</v>
      </c>
      <c r="F235" s="823">
        <v>2299.5300000000002</v>
      </c>
      <c r="G235" s="824"/>
      <c r="H235" s="498"/>
      <c r="I235" s="825">
        <f>E235*F235</f>
        <v>6898.59</v>
      </c>
      <c r="J235" s="825"/>
      <c r="K235" s="441"/>
    </row>
    <row r="236" spans="1:17" s="445" customFormat="1" ht="22.5" customHeight="1" x14ac:dyDescent="0.3">
      <c r="A236" s="437">
        <v>3</v>
      </c>
      <c r="B236" s="827" t="s">
        <v>153</v>
      </c>
      <c r="C236" s="828"/>
      <c r="D236" s="829"/>
      <c r="E236" s="444">
        <f>SUM(E237:E239)</f>
        <v>1329</v>
      </c>
      <c r="F236" s="830"/>
      <c r="G236" s="831"/>
      <c r="H236" s="497">
        <f>F238/F237-100%</f>
        <v>0</v>
      </c>
      <c r="I236" s="834">
        <f>I237+I238+I239</f>
        <v>83394</v>
      </c>
      <c r="J236" s="834"/>
      <c r="K236" s="846" t="s">
        <v>850</v>
      </c>
      <c r="L236" s="540">
        <v>1068</v>
      </c>
      <c r="M236" s="447"/>
    </row>
    <row r="237" spans="1:17" ht="22.5" customHeight="1" x14ac:dyDescent="0.3">
      <c r="A237" s="817"/>
      <c r="B237" s="820" t="s">
        <v>955</v>
      </c>
      <c r="C237" s="821"/>
      <c r="D237" s="822"/>
      <c r="E237" s="577">
        <v>833</v>
      </c>
      <c r="F237" s="823">
        <v>62.75</v>
      </c>
      <c r="G237" s="824"/>
      <c r="H237" s="498"/>
      <c r="I237" s="825">
        <f>E237*F237</f>
        <v>52270.75</v>
      </c>
      <c r="J237" s="825"/>
      <c r="K237" s="846"/>
      <c r="L237" s="323">
        <f>I237+I238+I241+I242</f>
        <v>223635.15</v>
      </c>
      <c r="O237" s="173">
        <v>57.21</v>
      </c>
      <c r="Q237" s="173">
        <v>55.33</v>
      </c>
    </row>
    <row r="238" spans="1:17" ht="25.5" customHeight="1" x14ac:dyDescent="0.3">
      <c r="A238" s="818"/>
      <c r="B238" s="826" t="s">
        <v>949</v>
      </c>
      <c r="C238" s="826"/>
      <c r="D238" s="826"/>
      <c r="E238" s="577">
        <v>421</v>
      </c>
      <c r="F238" s="823">
        <v>62.75</v>
      </c>
      <c r="G238" s="824"/>
      <c r="H238" s="498"/>
      <c r="I238" s="825">
        <f>E238*F238-0.75</f>
        <v>26417</v>
      </c>
      <c r="J238" s="825"/>
      <c r="K238" s="846"/>
      <c r="O238" s="173">
        <f>O237*E236</f>
        <v>76032.09</v>
      </c>
    </row>
    <row r="239" spans="1:17" ht="16.5" customHeight="1" x14ac:dyDescent="0.3">
      <c r="A239" s="819"/>
      <c r="B239" s="812" t="s">
        <v>719</v>
      </c>
      <c r="C239" s="813"/>
      <c r="D239" s="814"/>
      <c r="E239" s="577">
        <v>75</v>
      </c>
      <c r="F239" s="823">
        <v>62.75</v>
      </c>
      <c r="G239" s="824"/>
      <c r="H239" s="498"/>
      <c r="I239" s="807">
        <f>E239*F239</f>
        <v>4706.25</v>
      </c>
      <c r="J239" s="808"/>
      <c r="K239" s="441"/>
    </row>
    <row r="240" spans="1:17" s="445" customFormat="1" ht="17.25" customHeight="1" x14ac:dyDescent="0.3">
      <c r="A240" s="437">
        <v>4</v>
      </c>
      <c r="B240" s="827" t="s">
        <v>154</v>
      </c>
      <c r="C240" s="828"/>
      <c r="D240" s="829"/>
      <c r="E240" s="444">
        <f>SUM(E241:E243)</f>
        <v>2116</v>
      </c>
      <c r="F240" s="830"/>
      <c r="G240" s="831"/>
      <c r="H240" s="497">
        <f>F242/F241-100%</f>
        <v>0</v>
      </c>
      <c r="I240" s="834">
        <f>I241+I242+I243</f>
        <v>158424</v>
      </c>
      <c r="J240" s="834"/>
      <c r="K240" s="846" t="s">
        <v>851</v>
      </c>
      <c r="L240" s="539">
        <v>1825</v>
      </c>
    </row>
    <row r="241" spans="1:17" ht="15.75" customHeight="1" x14ac:dyDescent="0.3">
      <c r="A241" s="817"/>
      <c r="B241" s="820" t="s">
        <v>956</v>
      </c>
      <c r="C241" s="821"/>
      <c r="D241" s="822"/>
      <c r="E241" s="577">
        <v>1269</v>
      </c>
      <c r="F241" s="823">
        <v>74.87</v>
      </c>
      <c r="G241" s="824"/>
      <c r="H241" s="498"/>
      <c r="I241" s="825">
        <f>E241*F241</f>
        <v>95010.03</v>
      </c>
      <c r="J241" s="825"/>
      <c r="K241" s="846"/>
      <c r="O241" s="173">
        <v>69.12</v>
      </c>
      <c r="Q241" s="173">
        <v>66.94</v>
      </c>
    </row>
    <row r="242" spans="1:17" ht="15" customHeight="1" x14ac:dyDescent="0.3">
      <c r="A242" s="818"/>
      <c r="B242" s="826" t="s">
        <v>950</v>
      </c>
      <c r="C242" s="826"/>
      <c r="D242" s="826"/>
      <c r="E242" s="577">
        <v>667</v>
      </c>
      <c r="F242" s="823">
        <v>74.87</v>
      </c>
      <c r="G242" s="824"/>
      <c r="H242" s="498"/>
      <c r="I242" s="825">
        <f>E242*F242-0.92</f>
        <v>49937.37</v>
      </c>
      <c r="J242" s="825"/>
      <c r="K242" s="846"/>
      <c r="O242" s="173">
        <f>O241*E240</f>
        <v>146257.92000000001</v>
      </c>
    </row>
    <row r="243" spans="1:17" ht="16.5" customHeight="1" x14ac:dyDescent="0.3">
      <c r="A243" s="819"/>
      <c r="B243" s="812" t="s">
        <v>719</v>
      </c>
      <c r="C243" s="813"/>
      <c r="D243" s="814"/>
      <c r="E243" s="577">
        <v>180</v>
      </c>
      <c r="F243" s="823">
        <v>74.87</v>
      </c>
      <c r="G243" s="824"/>
      <c r="H243" s="498"/>
      <c r="I243" s="868">
        <f>E243*F243</f>
        <v>13476.6</v>
      </c>
      <c r="J243" s="869"/>
      <c r="K243" s="441"/>
    </row>
    <row r="244" spans="1:17" ht="0.75" hidden="1" customHeight="1" x14ac:dyDescent="0.3">
      <c r="A244" s="439"/>
      <c r="B244" s="820"/>
      <c r="C244" s="821"/>
      <c r="D244" s="822"/>
      <c r="E244" s="564"/>
      <c r="F244" s="823"/>
      <c r="G244" s="824"/>
      <c r="H244" s="498"/>
      <c r="I244" s="870">
        <f>E244*F244</f>
        <v>0</v>
      </c>
      <c r="J244" s="870"/>
      <c r="K244" s="441"/>
    </row>
    <row r="245" spans="1:17" s="445" customFormat="1" ht="15" customHeight="1" x14ac:dyDescent="0.3">
      <c r="A245" s="437">
        <v>5</v>
      </c>
      <c r="B245" s="827" t="s">
        <v>378</v>
      </c>
      <c r="C245" s="828"/>
      <c r="D245" s="829"/>
      <c r="E245" s="570">
        <f>E246+E247+E248</f>
        <v>157</v>
      </c>
      <c r="F245" s="830"/>
      <c r="G245" s="831"/>
      <c r="H245" s="497">
        <v>0</v>
      </c>
      <c r="I245" s="834">
        <f>I246+I247+I248</f>
        <v>150749</v>
      </c>
      <c r="J245" s="834"/>
      <c r="K245" s="846" t="s">
        <v>852</v>
      </c>
      <c r="L245" s="539">
        <v>157</v>
      </c>
      <c r="N245" s="445">
        <v>121163.26</v>
      </c>
      <c r="O245" s="445">
        <v>735.9</v>
      </c>
    </row>
    <row r="246" spans="1:17" ht="15" customHeight="1" x14ac:dyDescent="0.3">
      <c r="A246" s="439"/>
      <c r="B246" s="820" t="s">
        <v>100</v>
      </c>
      <c r="C246" s="821"/>
      <c r="D246" s="822"/>
      <c r="E246" s="564">
        <v>78.5</v>
      </c>
      <c r="F246" s="823">
        <v>960.19</v>
      </c>
      <c r="G246" s="824"/>
      <c r="H246" s="498"/>
      <c r="I246" s="825">
        <f>E246*F246</f>
        <v>75374.915000000008</v>
      </c>
      <c r="J246" s="825"/>
      <c r="K246" s="846"/>
      <c r="O246" s="173">
        <f>O245*E245</f>
        <v>115536.3</v>
      </c>
    </row>
    <row r="247" spans="1:17" ht="15" customHeight="1" x14ac:dyDescent="0.3">
      <c r="A247" s="439"/>
      <c r="B247" s="826" t="s">
        <v>101</v>
      </c>
      <c r="C247" s="826"/>
      <c r="D247" s="826"/>
      <c r="E247" s="440">
        <f>78.5-15.75</f>
        <v>62.75</v>
      </c>
      <c r="F247" s="823">
        <v>960.19</v>
      </c>
      <c r="G247" s="824"/>
      <c r="H247" s="498"/>
      <c r="I247" s="825">
        <f>E247*F247-0.65</f>
        <v>60251.272499999999</v>
      </c>
      <c r="J247" s="825"/>
      <c r="K247" s="846"/>
    </row>
    <row r="248" spans="1:17" ht="15" customHeight="1" x14ac:dyDescent="0.3">
      <c r="A248" s="439"/>
      <c r="B248" s="812" t="s">
        <v>719</v>
      </c>
      <c r="C248" s="813"/>
      <c r="D248" s="814"/>
      <c r="E248" s="440">
        <v>15.75</v>
      </c>
      <c r="F248" s="823">
        <v>960.19</v>
      </c>
      <c r="G248" s="824"/>
      <c r="H248" s="439"/>
      <c r="I248" s="825">
        <f>E248*F248-0.18</f>
        <v>15122.8125</v>
      </c>
      <c r="J248" s="825"/>
    </row>
    <row r="249" spans="1:17" ht="15" customHeight="1" x14ac:dyDescent="0.3">
      <c r="A249" s="439"/>
      <c r="B249" s="847" t="s">
        <v>13</v>
      </c>
      <c r="C249" s="847"/>
      <c r="D249" s="847"/>
      <c r="E249" s="437" t="s">
        <v>14</v>
      </c>
      <c r="F249" s="842" t="s">
        <v>14</v>
      </c>
      <c r="G249" s="842"/>
      <c r="H249" s="437" t="s">
        <v>14</v>
      </c>
      <c r="I249" s="848">
        <f>I228+I232+I236+I240+I245</f>
        <v>531000</v>
      </c>
      <c r="J249" s="848"/>
      <c r="M249" s="323"/>
      <c r="O249" s="173" t="e">
        <f>#REF!+O230+O234+O238+O242+#REF!+O246</f>
        <v>#REF!</v>
      </c>
    </row>
    <row r="250" spans="1:17" ht="24" customHeight="1" x14ac:dyDescent="0.3">
      <c r="A250" s="410" t="s">
        <v>805</v>
      </c>
      <c r="B250" s="410"/>
      <c r="C250" s="410"/>
      <c r="D250" s="410"/>
      <c r="E250" s="410"/>
      <c r="F250" s="410"/>
      <c r="G250" s="410"/>
      <c r="H250" s="410"/>
      <c r="I250" s="410"/>
      <c r="J250" s="736"/>
    </row>
    <row r="251" spans="1:17" s="317" customFormat="1" ht="25.5" customHeight="1" x14ac:dyDescent="0.3">
      <c r="A251" s="368" t="s">
        <v>1</v>
      </c>
      <c r="B251" s="778" t="s">
        <v>44</v>
      </c>
      <c r="C251" s="778"/>
      <c r="D251" s="778"/>
      <c r="E251" s="368" t="s">
        <v>55</v>
      </c>
      <c r="F251" s="778" t="s">
        <v>56</v>
      </c>
      <c r="G251" s="778"/>
      <c r="H251" s="368" t="s">
        <v>57</v>
      </c>
      <c r="I251" s="778" t="s">
        <v>104</v>
      </c>
      <c r="J251" s="778"/>
      <c r="K251" s="867" t="s">
        <v>776</v>
      </c>
    </row>
    <row r="252" spans="1:17" s="317" customFormat="1" ht="15.75" customHeight="1" x14ac:dyDescent="0.3">
      <c r="A252" s="368">
        <v>1</v>
      </c>
      <c r="B252" s="778">
        <v>2</v>
      </c>
      <c r="C252" s="778"/>
      <c r="D252" s="778"/>
      <c r="E252" s="368">
        <v>3</v>
      </c>
      <c r="F252" s="778">
        <v>4</v>
      </c>
      <c r="G252" s="778"/>
      <c r="H252" s="368">
        <v>5</v>
      </c>
      <c r="I252" s="778">
        <v>6</v>
      </c>
      <c r="J252" s="778"/>
      <c r="K252" s="867"/>
    </row>
    <row r="253" spans="1:17" s="445" customFormat="1" ht="16.5" customHeight="1" x14ac:dyDescent="0.3">
      <c r="A253" s="437">
        <v>1</v>
      </c>
      <c r="B253" s="827" t="s">
        <v>151</v>
      </c>
      <c r="C253" s="828"/>
      <c r="D253" s="829"/>
      <c r="E253" s="444">
        <f>E254+E255+E256</f>
        <v>997</v>
      </c>
      <c r="F253" s="830"/>
      <c r="G253" s="831"/>
      <c r="H253" s="497">
        <f>F255/F254-100%</f>
        <v>0</v>
      </c>
      <c r="I253" s="834">
        <f>I254+I255+I256</f>
        <v>2295560</v>
      </c>
      <c r="J253" s="834"/>
      <c r="K253" s="846" t="s">
        <v>853</v>
      </c>
      <c r="L253" s="539">
        <v>1159.0999999999999</v>
      </c>
      <c r="O253" s="445">
        <v>2108.31</v>
      </c>
    </row>
    <row r="254" spans="1:17" ht="15" customHeight="1" x14ac:dyDescent="0.3">
      <c r="A254" s="817"/>
      <c r="B254" s="826" t="s">
        <v>951</v>
      </c>
      <c r="C254" s="826"/>
      <c r="D254" s="826"/>
      <c r="E254" s="168">
        <v>651</v>
      </c>
      <c r="F254" s="823">
        <v>2299.5300000000002</v>
      </c>
      <c r="G254" s="824"/>
      <c r="H254" s="498"/>
      <c r="I254" s="825">
        <f>E254*F254</f>
        <v>1496994.03</v>
      </c>
      <c r="J254" s="825"/>
      <c r="K254" s="846"/>
      <c r="M254" s="323">
        <f>I254/E254</f>
        <v>2299.5300000000002</v>
      </c>
      <c r="O254" s="173">
        <f>O253*E253</f>
        <v>2101985.0699999998</v>
      </c>
      <c r="Q254" s="173">
        <v>2039.6</v>
      </c>
    </row>
    <row r="255" spans="1:17" ht="15.75" customHeight="1" x14ac:dyDescent="0.3">
      <c r="A255" s="819"/>
      <c r="B255" s="826" t="s">
        <v>952</v>
      </c>
      <c r="C255" s="826"/>
      <c r="D255" s="826"/>
      <c r="E255" s="168">
        <v>284</v>
      </c>
      <c r="F255" s="823">
        <v>2299.5300000000002</v>
      </c>
      <c r="G255" s="824"/>
      <c r="H255" s="498"/>
      <c r="I255" s="825">
        <f>E255*F255-0.55</f>
        <v>653065.97</v>
      </c>
      <c r="J255" s="825"/>
      <c r="K255" s="846"/>
    </row>
    <row r="256" spans="1:17" ht="18" customHeight="1" x14ac:dyDescent="0.3">
      <c r="A256" s="543"/>
      <c r="B256" s="812" t="s">
        <v>719</v>
      </c>
      <c r="C256" s="813"/>
      <c r="D256" s="814"/>
      <c r="E256" s="546">
        <v>62</v>
      </c>
      <c r="F256" s="703"/>
      <c r="G256" s="704"/>
      <c r="H256" s="498"/>
      <c r="I256" s="807">
        <f>137000+7000-500+2000</f>
        <v>145500</v>
      </c>
      <c r="J256" s="808"/>
      <c r="K256" s="545"/>
    </row>
    <row r="257" spans="1:15" s="445" customFormat="1" ht="19.5" customHeight="1" x14ac:dyDescent="0.3">
      <c r="A257" s="437">
        <v>2</v>
      </c>
      <c r="B257" s="827" t="s">
        <v>155</v>
      </c>
      <c r="C257" s="828"/>
      <c r="D257" s="829"/>
      <c r="E257" s="446">
        <f>E258+E259+E260</f>
        <v>130903</v>
      </c>
      <c r="F257" s="830"/>
      <c r="G257" s="831"/>
      <c r="H257" s="497">
        <f>F259/F258-100%</f>
        <v>0</v>
      </c>
      <c r="I257" s="834">
        <f>I258+I259+I260</f>
        <v>1079940</v>
      </c>
      <c r="J257" s="834"/>
      <c r="K257" s="846" t="s">
        <v>854</v>
      </c>
      <c r="L257" s="539">
        <v>135301</v>
      </c>
      <c r="O257" s="445">
        <v>7.57</v>
      </c>
    </row>
    <row r="258" spans="1:15" ht="28.5" customHeight="1" x14ac:dyDescent="0.3">
      <c r="A258" s="360"/>
      <c r="B258" s="826" t="s">
        <v>953</v>
      </c>
      <c r="C258" s="826"/>
      <c r="D258" s="826"/>
      <c r="E258" s="361">
        <v>69373</v>
      </c>
      <c r="F258" s="823">
        <v>8.25</v>
      </c>
      <c r="G258" s="824"/>
      <c r="H258" s="498"/>
      <c r="I258" s="877">
        <f>E258*F258</f>
        <v>572327.25</v>
      </c>
      <c r="J258" s="877"/>
      <c r="K258" s="846"/>
      <c r="M258" s="173">
        <v>1088991.56</v>
      </c>
      <c r="O258" s="173">
        <f>O257*E257</f>
        <v>990935.71000000008</v>
      </c>
    </row>
    <row r="259" spans="1:15" ht="14.25" customHeight="1" x14ac:dyDescent="0.3">
      <c r="A259" s="360"/>
      <c r="B259" s="826" t="s">
        <v>954</v>
      </c>
      <c r="C259" s="826"/>
      <c r="D259" s="826"/>
      <c r="E259" s="361">
        <v>46219</v>
      </c>
      <c r="F259" s="823">
        <v>8.25</v>
      </c>
      <c r="G259" s="824"/>
      <c r="H259" s="360"/>
      <c r="I259" s="825">
        <f>E259*F259-0.75</f>
        <v>381306</v>
      </c>
      <c r="J259" s="825"/>
      <c r="K259" s="846"/>
    </row>
    <row r="260" spans="1:15" ht="18" customHeight="1" x14ac:dyDescent="0.3">
      <c r="A260" s="360"/>
      <c r="B260" s="812" t="s">
        <v>719</v>
      </c>
      <c r="C260" s="813"/>
      <c r="D260" s="814"/>
      <c r="E260" s="361">
        <v>15311</v>
      </c>
      <c r="F260" s="823">
        <v>8.25</v>
      </c>
      <c r="G260" s="824"/>
      <c r="H260" s="360"/>
      <c r="I260" s="825">
        <f>E260*F260-9</f>
        <v>126306.75</v>
      </c>
      <c r="J260" s="825"/>
      <c r="K260" s="846"/>
    </row>
    <row r="261" spans="1:15" ht="15" customHeight="1" x14ac:dyDescent="0.3">
      <c r="A261" s="439"/>
      <c r="B261" s="847" t="s">
        <v>13</v>
      </c>
      <c r="C261" s="847"/>
      <c r="D261" s="847"/>
      <c r="E261" s="437" t="s">
        <v>14</v>
      </c>
      <c r="F261" s="842" t="s">
        <v>14</v>
      </c>
      <c r="G261" s="842"/>
      <c r="H261" s="437" t="s">
        <v>14</v>
      </c>
      <c r="I261" s="848">
        <f>I253+I257</f>
        <v>3375500</v>
      </c>
      <c r="J261" s="848"/>
      <c r="K261" s="501"/>
      <c r="M261" s="323"/>
      <c r="O261" s="173" t="e">
        <f>O254+#REF!+#REF!+#REF!+#REF!+O258+#REF!</f>
        <v>#REF!</v>
      </c>
    </row>
    <row r="262" spans="1:15" ht="16.5" customHeight="1" x14ac:dyDescent="0.3">
      <c r="A262" s="439"/>
      <c r="B262" s="812" t="s">
        <v>807</v>
      </c>
      <c r="C262" s="813"/>
      <c r="D262" s="814"/>
      <c r="E262" s="437"/>
      <c r="F262" s="812"/>
      <c r="G262" s="814"/>
      <c r="H262" s="437"/>
      <c r="I262" s="865">
        <f>I261+I249</f>
        <v>3906500</v>
      </c>
      <c r="J262" s="866"/>
      <c r="M262" s="323"/>
    </row>
    <row r="263" spans="1:15" s="317" customFormat="1" ht="19.5" hidden="1" customHeight="1" x14ac:dyDescent="0.3">
      <c r="A263" s="893" t="s">
        <v>286</v>
      </c>
      <c r="B263" s="893"/>
      <c r="C263" s="893"/>
      <c r="D263" s="893"/>
      <c r="E263" s="893"/>
      <c r="F263" s="893"/>
      <c r="G263" s="893"/>
      <c r="H263" s="893"/>
      <c r="I263" s="893"/>
      <c r="J263" s="893"/>
      <c r="K263" s="334"/>
    </row>
    <row r="264" spans="1:15" s="317" customFormat="1" ht="15" hidden="1" customHeight="1" x14ac:dyDescent="0.3">
      <c r="A264" s="368" t="s">
        <v>1</v>
      </c>
      <c r="B264" s="778" t="s">
        <v>44</v>
      </c>
      <c r="C264" s="778"/>
      <c r="D264" s="778"/>
      <c r="E264" s="778" t="s">
        <v>58</v>
      </c>
      <c r="F264" s="778"/>
      <c r="G264" s="778" t="s">
        <v>59</v>
      </c>
      <c r="H264" s="778"/>
      <c r="I264" s="778" t="s">
        <v>60</v>
      </c>
      <c r="J264" s="778"/>
      <c r="K264" s="334"/>
    </row>
    <row r="265" spans="1:15" ht="15" hidden="1" customHeight="1" x14ac:dyDescent="0.3">
      <c r="A265" s="368">
        <v>1</v>
      </c>
      <c r="B265" s="778">
        <v>2</v>
      </c>
      <c r="C265" s="778"/>
      <c r="D265" s="778"/>
      <c r="E265" s="778">
        <v>3</v>
      </c>
      <c r="F265" s="778"/>
      <c r="G265" s="778">
        <v>4</v>
      </c>
      <c r="H265" s="778"/>
      <c r="I265" s="778">
        <v>5</v>
      </c>
      <c r="J265" s="778"/>
    </row>
    <row r="266" spans="1:15" ht="15" hidden="1" customHeight="1" x14ac:dyDescent="0.3">
      <c r="A266" s="360"/>
      <c r="B266" s="820"/>
      <c r="C266" s="821"/>
      <c r="D266" s="822"/>
      <c r="E266" s="826"/>
      <c r="F266" s="826"/>
      <c r="G266" s="826"/>
      <c r="H266" s="826"/>
      <c r="I266" s="826"/>
      <c r="J266" s="826"/>
    </row>
    <row r="267" spans="1:15" ht="15" hidden="1" customHeight="1" x14ac:dyDescent="0.3">
      <c r="A267" s="370"/>
      <c r="B267" s="847" t="s">
        <v>13</v>
      </c>
      <c r="C267" s="847"/>
      <c r="D267" s="847"/>
      <c r="E267" s="842" t="s">
        <v>14</v>
      </c>
      <c r="F267" s="842"/>
      <c r="G267" s="842" t="s">
        <v>14</v>
      </c>
      <c r="H267" s="842"/>
      <c r="I267" s="842"/>
      <c r="J267" s="842"/>
    </row>
    <row r="268" spans="1:15" ht="15" customHeight="1" x14ac:dyDescent="0.3">
      <c r="A268" s="443"/>
      <c r="B268" s="442"/>
      <c r="C268" s="442"/>
      <c r="D268" s="442"/>
      <c r="E268" s="443"/>
      <c r="F268" s="443"/>
      <c r="G268" s="443"/>
      <c r="H268" s="443"/>
      <c r="I268" s="443"/>
      <c r="J268" s="737"/>
    </row>
    <row r="269" spans="1:15" ht="16.5" customHeight="1" x14ac:dyDescent="0.3">
      <c r="A269" s="410" t="s">
        <v>282</v>
      </c>
      <c r="B269" s="410"/>
      <c r="C269" s="410"/>
      <c r="D269" s="410"/>
      <c r="E269" s="410"/>
      <c r="F269" s="410"/>
      <c r="G269" s="410"/>
      <c r="H269" s="410"/>
      <c r="I269" s="410"/>
      <c r="J269" s="736"/>
    </row>
    <row r="270" spans="1:15" ht="15" customHeight="1" x14ac:dyDescent="0.3">
      <c r="A270" s="894" t="s">
        <v>1</v>
      </c>
      <c r="B270" s="885" t="s">
        <v>15</v>
      </c>
      <c r="C270" s="886"/>
      <c r="D270" s="887"/>
      <c r="E270" s="894" t="s">
        <v>812</v>
      </c>
      <c r="F270" s="894" t="s">
        <v>62</v>
      </c>
      <c r="G270" s="778" t="s">
        <v>63</v>
      </c>
      <c r="H270" s="778"/>
      <c r="I270" s="778"/>
      <c r="J270" s="778"/>
      <c r="K270" s="867" t="s">
        <v>777</v>
      </c>
    </row>
    <row r="271" spans="1:15" ht="24" customHeight="1" x14ac:dyDescent="0.3">
      <c r="A271" s="895"/>
      <c r="B271" s="888"/>
      <c r="C271" s="889"/>
      <c r="D271" s="890"/>
      <c r="E271" s="895"/>
      <c r="F271" s="895"/>
      <c r="G271" s="368" t="s">
        <v>305</v>
      </c>
      <c r="H271" s="368" t="s">
        <v>302</v>
      </c>
      <c r="I271" s="511" t="s">
        <v>303</v>
      </c>
      <c r="J271" s="738" t="s">
        <v>304</v>
      </c>
      <c r="K271" s="867"/>
    </row>
    <row r="272" spans="1:15" ht="11.25" customHeight="1" x14ac:dyDescent="0.3">
      <c r="A272" s="368">
        <v>1</v>
      </c>
      <c r="B272" s="778">
        <v>2</v>
      </c>
      <c r="C272" s="778"/>
      <c r="D272" s="778"/>
      <c r="E272" s="368">
        <v>3</v>
      </c>
      <c r="F272" s="368">
        <v>4</v>
      </c>
      <c r="G272" s="855">
        <v>5</v>
      </c>
      <c r="H272" s="856"/>
      <c r="I272" s="856"/>
      <c r="J272" s="857"/>
      <c r="K272" s="867"/>
    </row>
    <row r="273" spans="1:15" ht="49.5" customHeight="1" x14ac:dyDescent="0.35">
      <c r="A273" s="360">
        <v>1</v>
      </c>
      <c r="B273" s="835" t="s">
        <v>339</v>
      </c>
      <c r="C273" s="835"/>
      <c r="D273" s="835"/>
      <c r="E273" s="360" t="s">
        <v>160</v>
      </c>
      <c r="F273" s="360">
        <v>12</v>
      </c>
      <c r="G273" s="360" t="s">
        <v>306</v>
      </c>
      <c r="H273" s="360">
        <v>12</v>
      </c>
      <c r="I273" s="172">
        <v>4000</v>
      </c>
      <c r="J273" s="739">
        <f>H273*I273</f>
        <v>48000</v>
      </c>
      <c r="K273" s="362" t="s">
        <v>860</v>
      </c>
      <c r="L273" s="411">
        <v>36000</v>
      </c>
    </row>
    <row r="274" spans="1:15" ht="28.5" hidden="1" customHeight="1" x14ac:dyDescent="0.3">
      <c r="A274" s="360"/>
      <c r="B274" s="835" t="s">
        <v>340</v>
      </c>
      <c r="C274" s="835"/>
      <c r="D274" s="835"/>
      <c r="E274" s="360" t="s">
        <v>160</v>
      </c>
      <c r="F274" s="360"/>
      <c r="G274" s="360"/>
      <c r="H274" s="360"/>
      <c r="I274" s="172"/>
      <c r="J274" s="739"/>
      <c r="K274" s="346"/>
    </row>
    <row r="275" spans="1:15" ht="19.5" customHeight="1" x14ac:dyDescent="0.3">
      <c r="A275" s="872">
        <v>2</v>
      </c>
      <c r="B275" s="878" t="s">
        <v>336</v>
      </c>
      <c r="C275" s="879"/>
      <c r="D275" s="880"/>
      <c r="E275" s="817" t="s">
        <v>160</v>
      </c>
      <c r="F275" s="817">
        <v>12</v>
      </c>
      <c r="G275" s="817" t="s">
        <v>306</v>
      </c>
      <c r="H275" s="817">
        <v>12</v>
      </c>
      <c r="I275" s="815">
        <v>8483</v>
      </c>
      <c r="J275" s="1056">
        <v>101800</v>
      </c>
      <c r="K275" s="1083" t="s">
        <v>861</v>
      </c>
    </row>
    <row r="276" spans="1:15" ht="17.25" customHeight="1" x14ac:dyDescent="0.4">
      <c r="A276" s="873"/>
      <c r="B276" s="881"/>
      <c r="C276" s="882"/>
      <c r="D276" s="883"/>
      <c r="E276" s="819"/>
      <c r="F276" s="819"/>
      <c r="G276" s="819"/>
      <c r="H276" s="819"/>
      <c r="I276" s="816"/>
      <c r="J276" s="1057"/>
      <c r="K276" s="1084"/>
      <c r="L276" s="352" t="s">
        <v>790</v>
      </c>
    </row>
    <row r="277" spans="1:15" ht="100.5" customHeight="1" x14ac:dyDescent="0.3">
      <c r="A277" s="360">
        <v>3</v>
      </c>
      <c r="B277" s="835" t="s">
        <v>337</v>
      </c>
      <c r="C277" s="835"/>
      <c r="D277" s="835"/>
      <c r="E277" s="360" t="s">
        <v>865</v>
      </c>
      <c r="F277" s="360">
        <v>12</v>
      </c>
      <c r="G277" s="360" t="s">
        <v>306</v>
      </c>
      <c r="H277" s="360">
        <v>12</v>
      </c>
      <c r="I277" s="172">
        <f>7801.6*5</f>
        <v>39008</v>
      </c>
      <c r="J277" s="739">
        <f>H277*I277</f>
        <v>468096</v>
      </c>
      <c r="K277" s="346" t="s">
        <v>931</v>
      </c>
      <c r="N277" s="173">
        <v>-18900</v>
      </c>
    </row>
    <row r="278" spans="1:15" ht="81.75" customHeight="1" x14ac:dyDescent="0.3">
      <c r="A278" s="360">
        <v>4</v>
      </c>
      <c r="B278" s="835" t="s">
        <v>105</v>
      </c>
      <c r="C278" s="835"/>
      <c r="D278" s="835"/>
      <c r="E278" s="360" t="s">
        <v>866</v>
      </c>
      <c r="F278" s="360">
        <v>12</v>
      </c>
      <c r="G278" s="360" t="s">
        <v>306</v>
      </c>
      <c r="H278" s="360">
        <v>12</v>
      </c>
      <c r="I278" s="172">
        <f>6464*3.2</f>
        <v>20684.800000000003</v>
      </c>
      <c r="J278" s="739">
        <f>I278*12</f>
        <v>248217.60000000003</v>
      </c>
      <c r="K278" s="346" t="s">
        <v>907</v>
      </c>
      <c r="L278" s="330"/>
      <c r="N278" s="173" t="s">
        <v>1010</v>
      </c>
    </row>
    <row r="279" spans="1:15" ht="64.5" customHeight="1" x14ac:dyDescent="0.3">
      <c r="A279" s="360">
        <v>5</v>
      </c>
      <c r="B279" s="835" t="s">
        <v>252</v>
      </c>
      <c r="C279" s="835"/>
      <c r="D279" s="835"/>
      <c r="E279" s="360" t="s">
        <v>160</v>
      </c>
      <c r="F279" s="360">
        <v>12</v>
      </c>
      <c r="G279" s="360" t="s">
        <v>306</v>
      </c>
      <c r="H279" s="360">
        <v>12</v>
      </c>
      <c r="I279" s="172">
        <v>4977.5</v>
      </c>
      <c r="J279" s="739">
        <f>H279*I279</f>
        <v>59730</v>
      </c>
      <c r="K279" s="369" t="s">
        <v>862</v>
      </c>
      <c r="L279" s="705">
        <v>59730</v>
      </c>
      <c r="N279" s="173">
        <v>12</v>
      </c>
      <c r="O279" s="173">
        <f>L279/N279</f>
        <v>4977.5</v>
      </c>
    </row>
    <row r="280" spans="1:15" ht="17.25" hidden="1" customHeight="1" x14ac:dyDescent="0.3">
      <c r="A280" s="817">
        <v>6</v>
      </c>
      <c r="B280" s="836" t="s">
        <v>115</v>
      </c>
      <c r="C280" s="837"/>
      <c r="D280" s="838"/>
      <c r="E280" s="817" t="s">
        <v>882</v>
      </c>
      <c r="F280" s="817">
        <v>1</v>
      </c>
      <c r="G280" s="817" t="s">
        <v>306</v>
      </c>
      <c r="H280" s="817">
        <v>1</v>
      </c>
      <c r="I280" s="815">
        <v>0</v>
      </c>
      <c r="J280" s="1060">
        <f>H280*I280</f>
        <v>0</v>
      </c>
      <c r="K280" s="1085" t="s">
        <v>879</v>
      </c>
    </row>
    <row r="281" spans="1:15" ht="15.75" hidden="1" customHeight="1" x14ac:dyDescent="0.3">
      <c r="A281" s="899"/>
      <c r="B281" s="839"/>
      <c r="C281" s="840"/>
      <c r="D281" s="841"/>
      <c r="E281" s="819"/>
      <c r="F281" s="819"/>
      <c r="G281" s="819"/>
      <c r="H281" s="819"/>
      <c r="I281" s="816"/>
      <c r="J281" s="1061"/>
      <c r="K281" s="1086"/>
    </row>
    <row r="282" spans="1:15" ht="24" customHeight="1" x14ac:dyDescent="0.3">
      <c r="A282" s="360">
        <v>6</v>
      </c>
      <c r="B282" s="835" t="s">
        <v>517</v>
      </c>
      <c r="C282" s="835"/>
      <c r="D282" s="835"/>
      <c r="E282" s="452" t="s">
        <v>160</v>
      </c>
      <c r="F282" s="360">
        <v>12</v>
      </c>
      <c r="G282" s="360" t="s">
        <v>306</v>
      </c>
      <c r="H282" s="360">
        <v>12</v>
      </c>
      <c r="I282" s="172">
        <v>1122</v>
      </c>
      <c r="J282" s="740">
        <f>H282*I282</f>
        <v>13464</v>
      </c>
      <c r="K282" s="508" t="s">
        <v>888</v>
      </c>
      <c r="L282" s="173" t="s">
        <v>789</v>
      </c>
    </row>
    <row r="283" spans="1:15" ht="19.5" customHeight="1" x14ac:dyDescent="0.3">
      <c r="A283" s="360">
        <v>7</v>
      </c>
      <c r="B283" s="809" t="s">
        <v>902</v>
      </c>
      <c r="C283" s="810"/>
      <c r="D283" s="811"/>
      <c r="E283" s="452" t="s">
        <v>811</v>
      </c>
      <c r="F283" s="360">
        <v>1</v>
      </c>
      <c r="G283" s="360" t="s">
        <v>751</v>
      </c>
      <c r="H283" s="360">
        <v>1</v>
      </c>
      <c r="I283" s="172">
        <f>70000+82+460</f>
        <v>70542</v>
      </c>
      <c r="J283" s="739">
        <f>H283*I283</f>
        <v>70542</v>
      </c>
      <c r="K283" s="347"/>
      <c r="L283" s="320"/>
    </row>
    <row r="284" spans="1:15" ht="22.5" hidden="1" customHeight="1" x14ac:dyDescent="0.3">
      <c r="A284" s="360">
        <v>8</v>
      </c>
      <c r="B284" s="835" t="s">
        <v>786</v>
      </c>
      <c r="C284" s="835"/>
      <c r="D284" s="835"/>
      <c r="E284" s="452" t="s">
        <v>811</v>
      </c>
      <c r="F284" s="360">
        <v>1</v>
      </c>
      <c r="G284" s="360" t="s">
        <v>787</v>
      </c>
      <c r="H284" s="360">
        <v>1</v>
      </c>
      <c r="I284" s="172">
        <v>0</v>
      </c>
      <c r="J284" s="739">
        <f>I284</f>
        <v>0</v>
      </c>
      <c r="K284" s="347" t="s">
        <v>957</v>
      </c>
      <c r="L284" s="320"/>
    </row>
    <row r="285" spans="1:15" ht="44.25" customHeight="1" x14ac:dyDescent="0.3">
      <c r="A285" s="360">
        <v>8</v>
      </c>
      <c r="B285" s="835" t="s">
        <v>128</v>
      </c>
      <c r="C285" s="835"/>
      <c r="D285" s="835"/>
      <c r="E285" s="360" t="s">
        <v>811</v>
      </c>
      <c r="F285" s="360">
        <v>1</v>
      </c>
      <c r="G285" s="360" t="s">
        <v>306</v>
      </c>
      <c r="H285" s="360">
        <v>1</v>
      </c>
      <c r="I285" s="172">
        <v>7000</v>
      </c>
      <c r="J285" s="739">
        <f>H285*I285</f>
        <v>7000</v>
      </c>
      <c r="K285" s="346" t="s">
        <v>885</v>
      </c>
      <c r="L285" s="320"/>
    </row>
    <row r="286" spans="1:15" ht="9" hidden="1" customHeight="1" x14ac:dyDescent="0.3">
      <c r="A286" s="360">
        <v>11</v>
      </c>
      <c r="B286" s="835" t="s">
        <v>344</v>
      </c>
      <c r="C286" s="835"/>
      <c r="D286" s="835"/>
      <c r="E286" s="360"/>
      <c r="F286" s="360">
        <v>0</v>
      </c>
      <c r="G286" s="360" t="s">
        <v>306</v>
      </c>
      <c r="H286" s="360">
        <v>0</v>
      </c>
      <c r="I286" s="172">
        <v>0</v>
      </c>
      <c r="J286" s="739">
        <v>0</v>
      </c>
      <c r="K286" s="346"/>
    </row>
    <row r="287" spans="1:15" ht="46.8" x14ac:dyDescent="0.3">
      <c r="A287" s="360">
        <v>9</v>
      </c>
      <c r="B287" s="809" t="s">
        <v>129</v>
      </c>
      <c r="C287" s="863"/>
      <c r="D287" s="864"/>
      <c r="E287" s="450" t="s">
        <v>811</v>
      </c>
      <c r="F287" s="360">
        <v>1</v>
      </c>
      <c r="G287" s="360" t="s">
        <v>306</v>
      </c>
      <c r="H287" s="360">
        <v>1</v>
      </c>
      <c r="I287" s="172">
        <v>15000</v>
      </c>
      <c r="J287" s="739">
        <f t="shared" ref="J287:J291" si="23">H287*I287</f>
        <v>15000</v>
      </c>
      <c r="K287" s="346" t="s">
        <v>885</v>
      </c>
    </row>
    <row r="288" spans="1:15" ht="36.75" customHeight="1" x14ac:dyDescent="0.3">
      <c r="A288" s="360">
        <v>10</v>
      </c>
      <c r="B288" s="835" t="s">
        <v>703</v>
      </c>
      <c r="C288" s="835"/>
      <c r="D288" s="835"/>
      <c r="E288" s="450" t="s">
        <v>811</v>
      </c>
      <c r="F288" s="360">
        <v>1</v>
      </c>
      <c r="G288" s="360" t="s">
        <v>306</v>
      </c>
      <c r="H288" s="360">
        <v>1</v>
      </c>
      <c r="I288" s="172">
        <v>10000</v>
      </c>
      <c r="J288" s="739">
        <f t="shared" si="23"/>
        <v>10000</v>
      </c>
      <c r="K288" s="346" t="s">
        <v>885</v>
      </c>
    </row>
    <row r="289" spans="1:14" ht="55.5" customHeight="1" x14ac:dyDescent="0.3">
      <c r="A289" s="360">
        <v>11</v>
      </c>
      <c r="B289" s="809" t="s">
        <v>958</v>
      </c>
      <c r="C289" s="810"/>
      <c r="D289" s="811"/>
      <c r="E289" s="503" t="s">
        <v>943</v>
      </c>
      <c r="F289" s="360">
        <v>1</v>
      </c>
      <c r="G289" s="360" t="s">
        <v>306</v>
      </c>
      <c r="H289" s="360">
        <v>1</v>
      </c>
      <c r="I289" s="172">
        <v>6000</v>
      </c>
      <c r="J289" s="739">
        <f>I289*12</f>
        <v>72000</v>
      </c>
      <c r="K289" s="346"/>
    </row>
    <row r="290" spans="1:14" ht="38.25" customHeight="1" x14ac:dyDescent="0.3">
      <c r="A290" s="360">
        <v>12</v>
      </c>
      <c r="B290" s="809" t="s">
        <v>518</v>
      </c>
      <c r="C290" s="810"/>
      <c r="D290" s="811"/>
      <c r="E290" s="450" t="s">
        <v>811</v>
      </c>
      <c r="F290" s="360">
        <v>1</v>
      </c>
      <c r="G290" s="360" t="s">
        <v>306</v>
      </c>
      <c r="H290" s="360">
        <v>1</v>
      </c>
      <c r="I290" s="172">
        <v>2000.4</v>
      </c>
      <c r="J290" s="739">
        <f t="shared" si="23"/>
        <v>2000.4</v>
      </c>
      <c r="K290" s="507" t="s">
        <v>881</v>
      </c>
    </row>
    <row r="291" spans="1:14" ht="38.25" hidden="1" customHeight="1" x14ac:dyDescent="0.3">
      <c r="A291" s="360">
        <v>14</v>
      </c>
      <c r="B291" s="809" t="s">
        <v>113</v>
      </c>
      <c r="C291" s="810"/>
      <c r="D291" s="811"/>
      <c r="E291" s="360" t="s">
        <v>811</v>
      </c>
      <c r="F291" s="360">
        <v>1</v>
      </c>
      <c r="G291" s="360" t="s">
        <v>306</v>
      </c>
      <c r="H291" s="360">
        <v>1</v>
      </c>
      <c r="I291" s="172">
        <v>0</v>
      </c>
      <c r="J291" s="739">
        <f t="shared" si="23"/>
        <v>0</v>
      </c>
      <c r="K291" s="507" t="s">
        <v>884</v>
      </c>
    </row>
    <row r="292" spans="1:14" ht="36" customHeight="1" x14ac:dyDescent="0.3">
      <c r="A292" s="360">
        <v>13</v>
      </c>
      <c r="B292" s="809" t="s">
        <v>711</v>
      </c>
      <c r="C292" s="810"/>
      <c r="D292" s="811"/>
      <c r="E292" s="360" t="s">
        <v>710</v>
      </c>
      <c r="F292" s="360">
        <v>4</v>
      </c>
      <c r="G292" s="360" t="s">
        <v>306</v>
      </c>
      <c r="H292" s="360">
        <v>4</v>
      </c>
      <c r="I292" s="172">
        <v>10000</v>
      </c>
      <c r="J292" s="739">
        <v>40000</v>
      </c>
      <c r="K292" s="369" t="s">
        <v>863</v>
      </c>
      <c r="N292" s="173" t="s">
        <v>708</v>
      </c>
    </row>
    <row r="293" spans="1:14" ht="47.25" hidden="1" customHeight="1" x14ac:dyDescent="0.3">
      <c r="A293" s="360">
        <v>18</v>
      </c>
      <c r="B293" s="809" t="s">
        <v>747</v>
      </c>
      <c r="C293" s="810"/>
      <c r="D293" s="811"/>
      <c r="E293" s="506" t="s">
        <v>160</v>
      </c>
      <c r="F293" s="360">
        <v>12</v>
      </c>
      <c r="G293" s="360" t="s">
        <v>306</v>
      </c>
      <c r="H293" s="360">
        <v>12</v>
      </c>
      <c r="I293" s="172">
        <v>0</v>
      </c>
      <c r="J293" s="739">
        <f t="shared" ref="J293:J298" si="24">H293*I293</f>
        <v>0</v>
      </c>
      <c r="K293" s="335"/>
      <c r="N293" s="173" t="s">
        <v>709</v>
      </c>
    </row>
    <row r="294" spans="1:14" ht="36.75" customHeight="1" x14ac:dyDescent="0.3">
      <c r="A294" s="360">
        <v>14</v>
      </c>
      <c r="B294" s="809" t="s">
        <v>748</v>
      </c>
      <c r="C294" s="810"/>
      <c r="D294" s="811"/>
      <c r="E294" s="360" t="s">
        <v>810</v>
      </c>
      <c r="F294" s="360">
        <v>2</v>
      </c>
      <c r="G294" s="360" t="s">
        <v>306</v>
      </c>
      <c r="H294" s="360">
        <v>3</v>
      </c>
      <c r="I294" s="172">
        <f>480*3</f>
        <v>1440</v>
      </c>
      <c r="J294" s="739">
        <f>I294*F294</f>
        <v>2880</v>
      </c>
      <c r="K294" s="504" t="s">
        <v>864</v>
      </c>
      <c r="L294" s="351"/>
      <c r="N294" s="173">
        <v>5760</v>
      </c>
    </row>
    <row r="295" spans="1:14" ht="53.25" hidden="1" customHeight="1" x14ac:dyDescent="0.3">
      <c r="A295" s="360">
        <v>20</v>
      </c>
      <c r="B295" s="809" t="s">
        <v>883</v>
      </c>
      <c r="C295" s="810"/>
      <c r="D295" s="811"/>
      <c r="E295" s="360" t="s">
        <v>887</v>
      </c>
      <c r="F295" s="360">
        <v>7</v>
      </c>
      <c r="G295" s="360" t="s">
        <v>306</v>
      </c>
      <c r="H295" s="360">
        <v>7</v>
      </c>
      <c r="I295" s="172">
        <v>0</v>
      </c>
      <c r="J295" s="739">
        <f t="shared" si="24"/>
        <v>0</v>
      </c>
      <c r="K295" s="369" t="s">
        <v>746</v>
      </c>
    </row>
    <row r="296" spans="1:14" ht="52.5" hidden="1" customHeight="1" x14ac:dyDescent="0.3">
      <c r="A296" s="360">
        <v>21</v>
      </c>
      <c r="B296" s="809" t="s">
        <v>749</v>
      </c>
      <c r="C296" s="810"/>
      <c r="D296" s="811"/>
      <c r="E296" s="506" t="s">
        <v>160</v>
      </c>
      <c r="F296" s="360">
        <v>12</v>
      </c>
      <c r="G296" s="360" t="s">
        <v>306</v>
      </c>
      <c r="H296" s="360">
        <v>12</v>
      </c>
      <c r="I296" s="172">
        <v>0</v>
      </c>
      <c r="J296" s="739">
        <f t="shared" si="24"/>
        <v>0</v>
      </c>
      <c r="K296" s="369"/>
    </row>
    <row r="297" spans="1:14" ht="48" hidden="1" customHeight="1" x14ac:dyDescent="0.3">
      <c r="A297" s="360">
        <v>22</v>
      </c>
      <c r="B297" s="809" t="s">
        <v>750</v>
      </c>
      <c r="C297" s="810"/>
      <c r="D297" s="811"/>
      <c r="E297" s="506" t="s">
        <v>160</v>
      </c>
      <c r="F297" s="360">
        <v>12</v>
      </c>
      <c r="G297" s="360" t="s">
        <v>306</v>
      </c>
      <c r="H297" s="360">
        <v>12</v>
      </c>
      <c r="I297" s="172">
        <v>0</v>
      </c>
      <c r="J297" s="739">
        <f t="shared" si="24"/>
        <v>0</v>
      </c>
      <c r="K297" s="369"/>
    </row>
    <row r="298" spans="1:14" ht="38.25" hidden="1" customHeight="1" x14ac:dyDescent="0.3">
      <c r="A298" s="360">
        <v>23</v>
      </c>
      <c r="B298" s="809" t="s">
        <v>892</v>
      </c>
      <c r="C298" s="810"/>
      <c r="D298" s="811"/>
      <c r="E298" s="360" t="s">
        <v>910</v>
      </c>
      <c r="F298" s="360">
        <v>1</v>
      </c>
      <c r="G298" s="360" t="s">
        <v>306</v>
      </c>
      <c r="H298" s="360">
        <v>1</v>
      </c>
      <c r="I298" s="172">
        <v>0</v>
      </c>
      <c r="J298" s="739">
        <f t="shared" si="24"/>
        <v>0</v>
      </c>
      <c r="K298" s="369" t="s">
        <v>911</v>
      </c>
    </row>
    <row r="299" spans="1:14" ht="38.25" hidden="1" customHeight="1" x14ac:dyDescent="0.3">
      <c r="A299" s="360">
        <v>24</v>
      </c>
      <c r="B299" s="364"/>
      <c r="C299" s="365"/>
      <c r="D299" s="366"/>
      <c r="E299" s="360"/>
      <c r="F299" s="360"/>
      <c r="G299" s="360"/>
      <c r="H299" s="360"/>
      <c r="I299" s="172"/>
      <c r="J299" s="739"/>
      <c r="K299" s="369"/>
    </row>
    <row r="300" spans="1:14" ht="38.25" hidden="1" customHeight="1" x14ac:dyDescent="0.3">
      <c r="A300" s="360">
        <v>25</v>
      </c>
      <c r="B300" s="809"/>
      <c r="C300" s="810"/>
      <c r="D300" s="811"/>
      <c r="E300" s="360"/>
      <c r="F300" s="360"/>
      <c r="G300" s="360"/>
      <c r="H300" s="360"/>
      <c r="I300" s="172"/>
      <c r="J300" s="739">
        <f>I300</f>
        <v>0</v>
      </c>
      <c r="K300" s="346"/>
    </row>
    <row r="301" spans="1:14" x14ac:dyDescent="0.3">
      <c r="A301" s="370"/>
      <c r="B301" s="847" t="s">
        <v>13</v>
      </c>
      <c r="C301" s="847"/>
      <c r="D301" s="847"/>
      <c r="E301" s="370" t="s">
        <v>14</v>
      </c>
      <c r="F301" s="370" t="s">
        <v>14</v>
      </c>
      <c r="G301" s="891">
        <f>SUM(J273:J300)</f>
        <v>1158730</v>
      </c>
      <c r="H301" s="892"/>
      <c r="I301" s="892"/>
      <c r="J301" s="892"/>
    </row>
    <row r="302" spans="1:14" ht="17.25" customHeight="1" x14ac:dyDescent="0.3">
      <c r="A302" s="410" t="s">
        <v>287</v>
      </c>
      <c r="B302" s="410"/>
      <c r="C302" s="410"/>
      <c r="D302" s="410"/>
      <c r="E302" s="410"/>
      <c r="F302" s="410"/>
      <c r="G302" s="410"/>
      <c r="H302" s="410"/>
      <c r="I302" s="410"/>
      <c r="J302" s="736"/>
    </row>
    <row r="303" spans="1:14" ht="17.25" customHeight="1" x14ac:dyDescent="0.3">
      <c r="A303" s="894" t="s">
        <v>1</v>
      </c>
      <c r="B303" s="885" t="s">
        <v>15</v>
      </c>
      <c r="C303" s="886"/>
      <c r="D303" s="887"/>
      <c r="E303" s="885" t="s">
        <v>64</v>
      </c>
      <c r="F303" s="887"/>
      <c r="G303" s="778" t="s">
        <v>65</v>
      </c>
      <c r="H303" s="778"/>
      <c r="I303" s="778"/>
      <c r="J303" s="778"/>
      <c r="K303" s="867" t="s">
        <v>778</v>
      </c>
    </row>
    <row r="304" spans="1:14" ht="27.75" customHeight="1" x14ac:dyDescent="0.3">
      <c r="A304" s="895"/>
      <c r="B304" s="888"/>
      <c r="C304" s="889"/>
      <c r="D304" s="890"/>
      <c r="E304" s="888"/>
      <c r="F304" s="890"/>
      <c r="G304" s="368" t="s">
        <v>305</v>
      </c>
      <c r="H304" s="368" t="s">
        <v>302</v>
      </c>
      <c r="I304" s="510" t="s">
        <v>303</v>
      </c>
      <c r="J304" s="738" t="s">
        <v>304</v>
      </c>
      <c r="K304" s="867"/>
    </row>
    <row r="305" spans="1:14" ht="14.25" customHeight="1" x14ac:dyDescent="0.3">
      <c r="A305" s="368">
        <v>1</v>
      </c>
      <c r="B305" s="778">
        <v>2</v>
      </c>
      <c r="C305" s="778"/>
      <c r="D305" s="778"/>
      <c r="E305" s="855">
        <v>3</v>
      </c>
      <c r="F305" s="857"/>
      <c r="G305" s="778">
        <v>4</v>
      </c>
      <c r="H305" s="778"/>
      <c r="I305" s="778"/>
      <c r="J305" s="778"/>
      <c r="K305" s="867"/>
    </row>
    <row r="306" spans="1:14" ht="30" customHeight="1" x14ac:dyDescent="0.3">
      <c r="A306" s="451" t="s">
        <v>70</v>
      </c>
      <c r="B306" s="827" t="s">
        <v>354</v>
      </c>
      <c r="C306" s="828"/>
      <c r="D306" s="829"/>
      <c r="E306" s="849" t="s">
        <v>74</v>
      </c>
      <c r="F306" s="850"/>
      <c r="G306" s="387" t="s">
        <v>74</v>
      </c>
      <c r="H306" s="387" t="s">
        <v>74</v>
      </c>
      <c r="I306" s="453" t="s">
        <v>74</v>
      </c>
      <c r="J306" s="741">
        <f>SUM(J307:J327)</f>
        <v>1469000</v>
      </c>
      <c r="K306" s="867"/>
    </row>
    <row r="307" spans="1:14" ht="21.75" customHeight="1" x14ac:dyDescent="0.3">
      <c r="A307" s="360" t="s">
        <v>27</v>
      </c>
      <c r="B307" s="835" t="s">
        <v>519</v>
      </c>
      <c r="C307" s="835"/>
      <c r="D307" s="835"/>
      <c r="E307" s="820">
        <v>1</v>
      </c>
      <c r="F307" s="822"/>
      <c r="G307" s="360" t="s">
        <v>306</v>
      </c>
      <c r="H307" s="360">
        <v>10</v>
      </c>
      <c r="I307" s="170">
        <v>54090</v>
      </c>
      <c r="J307" s="739">
        <f>540900+0.8</f>
        <v>540900.80000000005</v>
      </c>
      <c r="K307" s="346" t="s">
        <v>855</v>
      </c>
      <c r="L307" s="173">
        <v>482370</v>
      </c>
    </row>
    <row r="308" spans="1:14" s="317" customFormat="1" ht="30" customHeight="1" x14ac:dyDescent="0.45">
      <c r="A308" s="354" t="s">
        <v>29</v>
      </c>
      <c r="B308" s="809" t="s">
        <v>330</v>
      </c>
      <c r="C308" s="863"/>
      <c r="D308" s="864"/>
      <c r="E308" s="1058">
        <v>1</v>
      </c>
      <c r="F308" s="1059"/>
      <c r="G308" s="360" t="s">
        <v>306</v>
      </c>
      <c r="H308" s="360">
        <v>12</v>
      </c>
      <c r="I308" s="170">
        <v>6196</v>
      </c>
      <c r="J308" s="740">
        <f>H308*I308+0.2</f>
        <v>74352.2</v>
      </c>
      <c r="K308" s="508" t="s">
        <v>889</v>
      </c>
      <c r="L308" s="413">
        <v>77784.2</v>
      </c>
    </row>
    <row r="309" spans="1:14" ht="61.5" customHeight="1" x14ac:dyDescent="0.45">
      <c r="A309" s="360" t="s">
        <v>31</v>
      </c>
      <c r="B309" s="835" t="s">
        <v>961</v>
      </c>
      <c r="C309" s="835"/>
      <c r="D309" s="835"/>
      <c r="E309" s="820">
        <v>1</v>
      </c>
      <c r="F309" s="822"/>
      <c r="G309" s="360" t="s">
        <v>306</v>
      </c>
      <c r="H309" s="360">
        <v>12</v>
      </c>
      <c r="I309" s="170">
        <v>5683.33</v>
      </c>
      <c r="J309" s="740">
        <v>68200</v>
      </c>
      <c r="K309" s="346" t="s">
        <v>890</v>
      </c>
      <c r="L309" s="413">
        <v>68200</v>
      </c>
    </row>
    <row r="310" spans="1:14" ht="33" customHeight="1" x14ac:dyDescent="0.45">
      <c r="A310" s="360" t="s">
        <v>268</v>
      </c>
      <c r="B310" s="835" t="s">
        <v>962</v>
      </c>
      <c r="C310" s="835"/>
      <c r="D310" s="835"/>
      <c r="E310" s="820" t="s">
        <v>981</v>
      </c>
      <c r="F310" s="822"/>
      <c r="G310" s="360" t="s">
        <v>306</v>
      </c>
      <c r="H310" s="360">
        <v>12</v>
      </c>
      <c r="I310" s="170">
        <v>2500</v>
      </c>
      <c r="J310" s="740">
        <f>H310*I310</f>
        <v>30000</v>
      </c>
      <c r="K310" s="346" t="s">
        <v>891</v>
      </c>
      <c r="L310" s="413" t="s">
        <v>968</v>
      </c>
    </row>
    <row r="311" spans="1:14" ht="19.5" customHeight="1" x14ac:dyDescent="0.3">
      <c r="A311" s="360" t="s">
        <v>269</v>
      </c>
      <c r="B311" s="835" t="s">
        <v>137</v>
      </c>
      <c r="C311" s="835"/>
      <c r="D311" s="835"/>
      <c r="E311" s="820">
        <v>1</v>
      </c>
      <c r="F311" s="822"/>
      <c r="G311" s="360" t="s">
        <v>149</v>
      </c>
      <c r="H311" s="360">
        <v>110</v>
      </c>
      <c r="I311" s="170">
        <v>5550</v>
      </c>
      <c r="J311" s="739">
        <f>555000-107</f>
        <v>554893</v>
      </c>
      <c r="K311" s="346" t="s">
        <v>886</v>
      </c>
      <c r="L311" s="323"/>
      <c r="N311" s="173">
        <v>373</v>
      </c>
    </row>
    <row r="312" spans="1:14" ht="41.25" customHeight="1" x14ac:dyDescent="0.3">
      <c r="A312" s="360" t="s">
        <v>283</v>
      </c>
      <c r="B312" s="835" t="s">
        <v>520</v>
      </c>
      <c r="C312" s="835"/>
      <c r="D312" s="835"/>
      <c r="E312" s="820">
        <v>1</v>
      </c>
      <c r="F312" s="822"/>
      <c r="G312" s="360" t="s">
        <v>306</v>
      </c>
      <c r="H312" s="360">
        <v>11</v>
      </c>
      <c r="I312" s="170">
        <v>3370</v>
      </c>
      <c r="J312" s="739">
        <v>37080</v>
      </c>
      <c r="K312" s="346" t="s">
        <v>903</v>
      </c>
    </row>
    <row r="313" spans="1:14" ht="51.75" customHeight="1" x14ac:dyDescent="0.3">
      <c r="A313" s="360" t="s">
        <v>284</v>
      </c>
      <c r="B313" s="835" t="s">
        <v>333</v>
      </c>
      <c r="C313" s="835"/>
      <c r="D313" s="835"/>
      <c r="E313" s="820">
        <v>1</v>
      </c>
      <c r="F313" s="822"/>
      <c r="G313" s="360" t="s">
        <v>149</v>
      </c>
      <c r="H313" s="360">
        <v>100</v>
      </c>
      <c r="I313" s="170">
        <v>300</v>
      </c>
      <c r="J313" s="739">
        <f t="shared" ref="J313:J320" si="25">H313*I313</f>
        <v>30000</v>
      </c>
      <c r="K313" s="346" t="s">
        <v>877</v>
      </c>
    </row>
    <row r="314" spans="1:14" ht="41.25" customHeight="1" x14ac:dyDescent="0.3">
      <c r="A314" s="360" t="s">
        <v>341</v>
      </c>
      <c r="B314" s="835" t="s">
        <v>345</v>
      </c>
      <c r="C314" s="835"/>
      <c r="D314" s="835"/>
      <c r="E314" s="820">
        <v>1</v>
      </c>
      <c r="F314" s="822"/>
      <c r="G314" s="360" t="s">
        <v>149</v>
      </c>
      <c r="H314" s="360">
        <v>3</v>
      </c>
      <c r="I314" s="170">
        <v>0</v>
      </c>
      <c r="J314" s="739">
        <f t="shared" si="25"/>
        <v>0</v>
      </c>
      <c r="K314" s="346" t="s">
        <v>811</v>
      </c>
    </row>
    <row r="315" spans="1:14" ht="32.25" customHeight="1" x14ac:dyDescent="0.3">
      <c r="A315" s="360" t="s">
        <v>355</v>
      </c>
      <c r="B315" s="809" t="s">
        <v>740</v>
      </c>
      <c r="C315" s="810"/>
      <c r="D315" s="811"/>
      <c r="E315" s="820">
        <v>1</v>
      </c>
      <c r="F315" s="822"/>
      <c r="G315" s="360" t="s">
        <v>149</v>
      </c>
      <c r="H315" s="505">
        <v>3</v>
      </c>
      <c r="I315" s="170">
        <v>1500</v>
      </c>
      <c r="J315" s="739">
        <f t="shared" si="25"/>
        <v>4500</v>
      </c>
      <c r="K315" s="346" t="s">
        <v>876</v>
      </c>
    </row>
    <row r="316" spans="1:14" ht="51.75" customHeight="1" x14ac:dyDescent="0.3">
      <c r="A316" s="360" t="s">
        <v>374</v>
      </c>
      <c r="B316" s="809" t="s">
        <v>741</v>
      </c>
      <c r="C316" s="810"/>
      <c r="D316" s="811"/>
      <c r="E316" s="820">
        <v>1</v>
      </c>
      <c r="F316" s="822"/>
      <c r="G316" s="360" t="s">
        <v>742</v>
      </c>
      <c r="H316" s="360">
        <v>17</v>
      </c>
      <c r="I316" s="170">
        <v>250</v>
      </c>
      <c r="J316" s="739">
        <f t="shared" si="25"/>
        <v>4250</v>
      </c>
      <c r="K316" s="346" t="s">
        <v>875</v>
      </c>
    </row>
    <row r="317" spans="1:14" ht="51.75" customHeight="1" x14ac:dyDescent="0.3">
      <c r="A317" s="505" t="s">
        <v>375</v>
      </c>
      <c r="B317" s="809" t="s">
        <v>868</v>
      </c>
      <c r="C317" s="810"/>
      <c r="D317" s="811"/>
      <c r="E317" s="820">
        <v>1</v>
      </c>
      <c r="F317" s="822"/>
      <c r="G317" s="505" t="s">
        <v>742</v>
      </c>
      <c r="H317" s="505">
        <v>10</v>
      </c>
      <c r="I317" s="170">
        <v>1500</v>
      </c>
      <c r="J317" s="739">
        <f t="shared" si="25"/>
        <v>15000</v>
      </c>
      <c r="K317" s="346" t="s">
        <v>874</v>
      </c>
    </row>
    <row r="318" spans="1:14" ht="51.75" hidden="1" customHeight="1" x14ac:dyDescent="0.3">
      <c r="A318" s="505" t="s">
        <v>376</v>
      </c>
      <c r="B318" s="809" t="s">
        <v>869</v>
      </c>
      <c r="C318" s="810"/>
      <c r="D318" s="811"/>
      <c r="E318" s="820">
        <v>1</v>
      </c>
      <c r="F318" s="822"/>
      <c r="G318" s="505" t="s">
        <v>742</v>
      </c>
      <c r="H318" s="505">
        <v>0</v>
      </c>
      <c r="I318" s="170">
        <v>0</v>
      </c>
      <c r="J318" s="739">
        <f t="shared" si="25"/>
        <v>0</v>
      </c>
      <c r="K318" s="346" t="s">
        <v>873</v>
      </c>
    </row>
    <row r="319" spans="1:14" ht="51.75" hidden="1" customHeight="1" x14ac:dyDescent="0.3">
      <c r="A319" s="505" t="s">
        <v>743</v>
      </c>
      <c r="B319" s="809" t="s">
        <v>870</v>
      </c>
      <c r="C319" s="810"/>
      <c r="D319" s="811"/>
      <c r="E319" s="820">
        <v>1</v>
      </c>
      <c r="F319" s="822"/>
      <c r="G319" s="505" t="s">
        <v>742</v>
      </c>
      <c r="H319" s="505">
        <v>0</v>
      </c>
      <c r="I319" s="170">
        <v>0</v>
      </c>
      <c r="J319" s="739">
        <f t="shared" si="25"/>
        <v>0</v>
      </c>
      <c r="K319" s="346" t="s">
        <v>872</v>
      </c>
    </row>
    <row r="320" spans="1:14" ht="51.75" customHeight="1" x14ac:dyDescent="0.3">
      <c r="A320" s="505" t="s">
        <v>376</v>
      </c>
      <c r="B320" s="809" t="s">
        <v>871</v>
      </c>
      <c r="C320" s="810"/>
      <c r="D320" s="811"/>
      <c r="E320" s="820">
        <v>1</v>
      </c>
      <c r="F320" s="822"/>
      <c r="G320" s="505" t="s">
        <v>742</v>
      </c>
      <c r="H320" s="505">
        <v>4</v>
      </c>
      <c r="I320" s="170">
        <v>1200</v>
      </c>
      <c r="J320" s="739">
        <f t="shared" si="25"/>
        <v>4800</v>
      </c>
      <c r="K320" s="346" t="s">
        <v>872</v>
      </c>
    </row>
    <row r="321" spans="1:14" ht="43.5" customHeight="1" x14ac:dyDescent="0.3">
      <c r="A321" s="360" t="s">
        <v>743</v>
      </c>
      <c r="B321" s="835" t="s">
        <v>521</v>
      </c>
      <c r="C321" s="835"/>
      <c r="D321" s="835"/>
      <c r="E321" s="820">
        <v>1</v>
      </c>
      <c r="F321" s="822"/>
      <c r="G321" s="360" t="s">
        <v>306</v>
      </c>
      <c r="H321" s="360">
        <v>1</v>
      </c>
      <c r="I321" s="170">
        <v>12400</v>
      </c>
      <c r="J321" s="739">
        <f t="shared" ref="J321:J322" si="26">H321*I321</f>
        <v>12400</v>
      </c>
      <c r="K321" s="346" t="s">
        <v>811</v>
      </c>
    </row>
    <row r="322" spans="1:14" ht="28.5" customHeight="1" x14ac:dyDescent="0.3">
      <c r="A322" s="360" t="s">
        <v>744</v>
      </c>
      <c r="B322" s="835" t="s">
        <v>523</v>
      </c>
      <c r="C322" s="835"/>
      <c r="D322" s="835"/>
      <c r="E322" s="820">
        <v>1</v>
      </c>
      <c r="F322" s="822"/>
      <c r="G322" s="360" t="s">
        <v>306</v>
      </c>
      <c r="H322" s="168">
        <v>1</v>
      </c>
      <c r="I322" s="170">
        <v>5000</v>
      </c>
      <c r="J322" s="739">
        <f t="shared" si="26"/>
        <v>5000</v>
      </c>
      <c r="K322" s="346" t="s">
        <v>811</v>
      </c>
    </row>
    <row r="323" spans="1:14" ht="29.25" hidden="1" customHeight="1" x14ac:dyDescent="0.3">
      <c r="A323" s="360" t="s">
        <v>745</v>
      </c>
      <c r="B323" s="809" t="s">
        <v>657</v>
      </c>
      <c r="C323" s="810"/>
      <c r="D323" s="811"/>
      <c r="E323" s="820">
        <v>1</v>
      </c>
      <c r="F323" s="822"/>
      <c r="G323" s="360" t="s">
        <v>306</v>
      </c>
      <c r="H323" s="360">
        <v>1</v>
      </c>
      <c r="I323" s="170">
        <v>0</v>
      </c>
      <c r="J323" s="739">
        <f>I323</f>
        <v>0</v>
      </c>
      <c r="K323" s="346" t="s">
        <v>811</v>
      </c>
    </row>
    <row r="324" spans="1:14" ht="47.25" hidden="1" customHeight="1" x14ac:dyDescent="0.3">
      <c r="A324" s="360" t="s">
        <v>753</v>
      </c>
      <c r="B324" s="835" t="s">
        <v>522</v>
      </c>
      <c r="C324" s="835"/>
      <c r="D324" s="835"/>
      <c r="E324" s="820">
        <v>1</v>
      </c>
      <c r="F324" s="822"/>
      <c r="G324" s="360" t="s">
        <v>306</v>
      </c>
      <c r="H324" s="360">
        <v>1</v>
      </c>
      <c r="I324" s="170">
        <v>0</v>
      </c>
      <c r="J324" s="739">
        <f>I324</f>
        <v>0</v>
      </c>
      <c r="K324" s="346" t="s">
        <v>811</v>
      </c>
    </row>
    <row r="325" spans="1:14" ht="47.25" customHeight="1" x14ac:dyDescent="0.3">
      <c r="A325" s="360" t="s">
        <v>745</v>
      </c>
      <c r="B325" s="809" t="s">
        <v>939</v>
      </c>
      <c r="C325" s="810"/>
      <c r="D325" s="811"/>
      <c r="E325" s="820">
        <v>1</v>
      </c>
      <c r="F325" s="822"/>
      <c r="G325" s="360" t="s">
        <v>306</v>
      </c>
      <c r="H325" s="360">
        <v>72</v>
      </c>
      <c r="I325" s="170">
        <v>1217</v>
      </c>
      <c r="J325" s="739">
        <f>H325*I325</f>
        <v>87624</v>
      </c>
      <c r="K325" s="346"/>
    </row>
    <row r="326" spans="1:14" ht="51" hidden="1" customHeight="1" x14ac:dyDescent="0.3">
      <c r="A326" s="360" t="s">
        <v>867</v>
      </c>
      <c r="B326" s="809" t="s">
        <v>782</v>
      </c>
      <c r="C326" s="810"/>
      <c r="D326" s="811"/>
      <c r="E326" s="820">
        <v>1</v>
      </c>
      <c r="F326" s="822"/>
      <c r="G326" s="360" t="s">
        <v>306</v>
      </c>
      <c r="H326" s="360">
        <v>1</v>
      </c>
      <c r="I326" s="170">
        <v>0</v>
      </c>
      <c r="J326" s="739">
        <f>H326*I326</f>
        <v>0</v>
      </c>
      <c r="K326" s="346" t="s">
        <v>785</v>
      </c>
    </row>
    <row r="327" spans="1:14" ht="35.25" hidden="1" customHeight="1" x14ac:dyDescent="0.3">
      <c r="A327" s="360" t="s">
        <v>880</v>
      </c>
      <c r="B327" s="809" t="s">
        <v>754</v>
      </c>
      <c r="C327" s="810"/>
      <c r="D327" s="811"/>
      <c r="E327" s="820">
        <v>1</v>
      </c>
      <c r="F327" s="822"/>
      <c r="G327" s="360" t="s">
        <v>306</v>
      </c>
      <c r="H327" s="360">
        <v>1</v>
      </c>
      <c r="I327" s="170">
        <v>0</v>
      </c>
      <c r="J327" s="739">
        <f>H327*I327</f>
        <v>0</v>
      </c>
      <c r="K327" s="346" t="s">
        <v>784</v>
      </c>
    </row>
    <row r="328" spans="1:14" ht="30" customHeight="1" x14ac:dyDescent="0.3">
      <c r="A328" s="451" t="s">
        <v>75</v>
      </c>
      <c r="B328" s="827" t="s">
        <v>354</v>
      </c>
      <c r="C328" s="828"/>
      <c r="D328" s="829"/>
      <c r="E328" s="849" t="s">
        <v>74</v>
      </c>
      <c r="F328" s="850"/>
      <c r="G328" s="387" t="s">
        <v>74</v>
      </c>
      <c r="H328" s="387" t="s">
        <v>74</v>
      </c>
      <c r="I328" s="453" t="s">
        <v>74</v>
      </c>
      <c r="J328" s="742">
        <f>J329+J330+J331</f>
        <v>5363900</v>
      </c>
      <c r="L328" s="323">
        <f>J328+J332+950000</f>
        <v>28166300</v>
      </c>
    </row>
    <row r="329" spans="1:14" ht="115.5" customHeight="1" x14ac:dyDescent="0.3">
      <c r="A329" s="360" t="s">
        <v>34</v>
      </c>
      <c r="B329" s="835" t="s">
        <v>525</v>
      </c>
      <c r="C329" s="835"/>
      <c r="D329" s="835"/>
      <c r="E329" s="820">
        <v>2</v>
      </c>
      <c r="F329" s="822"/>
      <c r="G329" s="360" t="s">
        <v>149</v>
      </c>
      <c r="H329" s="360" t="s">
        <v>937</v>
      </c>
      <c r="I329" s="454" t="s">
        <v>963</v>
      </c>
      <c r="J329" s="739">
        <v>4679400</v>
      </c>
    </row>
    <row r="330" spans="1:14" ht="44.25" customHeight="1" x14ac:dyDescent="0.3">
      <c r="A330" s="360" t="s">
        <v>36</v>
      </c>
      <c r="B330" s="835" t="s">
        <v>608</v>
      </c>
      <c r="C330" s="835"/>
      <c r="D330" s="835"/>
      <c r="E330" s="820">
        <v>2</v>
      </c>
      <c r="F330" s="822"/>
      <c r="G330" s="360" t="s">
        <v>149</v>
      </c>
      <c r="H330" s="530" t="s">
        <v>936</v>
      </c>
      <c r="I330" s="172" t="s">
        <v>964</v>
      </c>
      <c r="J330" s="739">
        <v>684500</v>
      </c>
    </row>
    <row r="331" spans="1:14" ht="0.75" hidden="1" customHeight="1" x14ac:dyDescent="0.3">
      <c r="A331" s="360"/>
      <c r="B331" s="835"/>
      <c r="C331" s="835"/>
      <c r="D331" s="835"/>
      <c r="E331" s="820"/>
      <c r="F331" s="822"/>
      <c r="G331" s="360"/>
      <c r="H331" s="360"/>
      <c r="I331" s="170"/>
      <c r="J331" s="739"/>
    </row>
    <row r="332" spans="1:14" ht="30" customHeight="1" x14ac:dyDescent="0.3">
      <c r="A332" s="451" t="s">
        <v>77</v>
      </c>
      <c r="B332" s="827" t="s">
        <v>725</v>
      </c>
      <c r="C332" s="828"/>
      <c r="D332" s="829"/>
      <c r="E332" s="849" t="s">
        <v>74</v>
      </c>
      <c r="F332" s="850"/>
      <c r="G332" s="387" t="s">
        <v>74</v>
      </c>
      <c r="H332" s="387" t="s">
        <v>74</v>
      </c>
      <c r="I332" s="453" t="s">
        <v>74</v>
      </c>
      <c r="J332" s="742">
        <f>J333+J334+J335</f>
        <v>21852400</v>
      </c>
    </row>
    <row r="333" spans="1:14" ht="92.25" customHeight="1" x14ac:dyDescent="0.3">
      <c r="A333" s="360" t="s">
        <v>381</v>
      </c>
      <c r="B333" s="835" t="s">
        <v>526</v>
      </c>
      <c r="C333" s="835"/>
      <c r="D333" s="835"/>
      <c r="E333" s="820">
        <v>2</v>
      </c>
      <c r="F333" s="822"/>
      <c r="G333" s="452" t="s">
        <v>149</v>
      </c>
      <c r="H333" s="452" t="s">
        <v>935</v>
      </c>
      <c r="I333" s="454" t="s">
        <v>934</v>
      </c>
      <c r="J333" s="739">
        <f>17336100-540000</f>
        <v>16796100</v>
      </c>
      <c r="L333" s="173" t="s">
        <v>804</v>
      </c>
    </row>
    <row r="334" spans="1:14" ht="46.5" customHeight="1" x14ac:dyDescent="0.3">
      <c r="A334" s="360" t="s">
        <v>559</v>
      </c>
      <c r="B334" s="835" t="s">
        <v>726</v>
      </c>
      <c r="C334" s="835"/>
      <c r="D334" s="835"/>
      <c r="E334" s="820">
        <v>2</v>
      </c>
      <c r="F334" s="822"/>
      <c r="G334" s="452" t="s">
        <v>149</v>
      </c>
      <c r="H334" s="452" t="s">
        <v>936</v>
      </c>
      <c r="I334" s="454" t="s">
        <v>933</v>
      </c>
      <c r="J334" s="739">
        <v>2781000</v>
      </c>
      <c r="L334" s="173" t="s">
        <v>798</v>
      </c>
    </row>
    <row r="335" spans="1:14" ht="46.5" customHeight="1" x14ac:dyDescent="0.3">
      <c r="A335" s="360" t="s">
        <v>724</v>
      </c>
      <c r="B335" s="835" t="s">
        <v>727</v>
      </c>
      <c r="C335" s="835"/>
      <c r="D335" s="835"/>
      <c r="E335" s="820">
        <v>2</v>
      </c>
      <c r="F335" s="822"/>
      <c r="G335" s="452" t="s">
        <v>149</v>
      </c>
      <c r="H335" s="530" t="s">
        <v>936</v>
      </c>
      <c r="I335" s="454" t="s">
        <v>933</v>
      </c>
      <c r="J335" s="739">
        <v>2275300</v>
      </c>
      <c r="L335" s="371" t="s">
        <v>798</v>
      </c>
      <c r="N335" s="323">
        <f>J335+J334+J330</f>
        <v>5740800</v>
      </c>
    </row>
    <row r="336" spans="1:14" ht="30" customHeight="1" x14ac:dyDescent="0.3">
      <c r="A336" s="451" t="s">
        <v>86</v>
      </c>
      <c r="B336" s="827" t="s">
        <v>356</v>
      </c>
      <c r="C336" s="828"/>
      <c r="D336" s="829"/>
      <c r="E336" s="849" t="s">
        <v>74</v>
      </c>
      <c r="F336" s="850"/>
      <c r="G336" s="387" t="s">
        <v>74</v>
      </c>
      <c r="H336" s="387" t="s">
        <v>74</v>
      </c>
      <c r="I336" s="538" t="s">
        <v>74</v>
      </c>
      <c r="J336" s="742">
        <f>J337+J338+J340+J339</f>
        <v>124000</v>
      </c>
    </row>
    <row r="337" spans="1:10" ht="30" customHeight="1" x14ac:dyDescent="0.3">
      <c r="A337" s="576" t="s">
        <v>528</v>
      </c>
      <c r="B337" s="809" t="s">
        <v>527</v>
      </c>
      <c r="C337" s="810"/>
      <c r="D337" s="811"/>
      <c r="E337" s="858">
        <v>1</v>
      </c>
      <c r="F337" s="859"/>
      <c r="G337" s="590" t="s">
        <v>149</v>
      </c>
      <c r="H337" s="590">
        <v>20</v>
      </c>
      <c r="I337" s="652">
        <v>6000</v>
      </c>
      <c r="J337" s="743">
        <v>124000</v>
      </c>
    </row>
    <row r="338" spans="1:10" ht="30" hidden="1" customHeight="1" x14ac:dyDescent="0.3">
      <c r="A338" s="576" t="s">
        <v>529</v>
      </c>
      <c r="B338" s="809" t="s">
        <v>532</v>
      </c>
      <c r="C338" s="810"/>
      <c r="D338" s="811"/>
      <c r="E338" s="858">
        <v>1</v>
      </c>
      <c r="F338" s="859"/>
      <c r="G338" s="590" t="s">
        <v>306</v>
      </c>
      <c r="H338" s="590">
        <v>0</v>
      </c>
      <c r="I338" s="652">
        <v>0</v>
      </c>
      <c r="J338" s="739">
        <v>0</v>
      </c>
    </row>
    <row r="339" spans="1:10" ht="36.75" hidden="1" customHeight="1" x14ac:dyDescent="0.3">
      <c r="A339" s="576" t="s">
        <v>704</v>
      </c>
      <c r="B339" s="809" t="s">
        <v>705</v>
      </c>
      <c r="C339" s="810"/>
      <c r="D339" s="811"/>
      <c r="E339" s="858">
        <v>1</v>
      </c>
      <c r="F339" s="859"/>
      <c r="G339" s="590" t="s">
        <v>306</v>
      </c>
      <c r="H339" s="590">
        <v>0</v>
      </c>
      <c r="I339" s="652">
        <v>0</v>
      </c>
      <c r="J339" s="739">
        <v>0</v>
      </c>
    </row>
    <row r="340" spans="1:10" ht="36.75" hidden="1" customHeight="1" x14ac:dyDescent="0.3">
      <c r="A340" s="576" t="s">
        <v>652</v>
      </c>
      <c r="B340" s="809" t="s">
        <v>653</v>
      </c>
      <c r="C340" s="810"/>
      <c r="D340" s="811"/>
      <c r="E340" s="858">
        <v>1</v>
      </c>
      <c r="F340" s="859"/>
      <c r="G340" s="590" t="s">
        <v>306</v>
      </c>
      <c r="H340" s="590">
        <v>0</v>
      </c>
      <c r="I340" s="652">
        <v>0</v>
      </c>
      <c r="J340" s="739">
        <v>0</v>
      </c>
    </row>
    <row r="341" spans="1:10" ht="59.25" customHeight="1" x14ac:dyDescent="0.3">
      <c r="A341" s="578" t="s">
        <v>87</v>
      </c>
      <c r="B341" s="827" t="s">
        <v>530</v>
      </c>
      <c r="C341" s="828"/>
      <c r="D341" s="829"/>
      <c r="E341" s="849" t="s">
        <v>74</v>
      </c>
      <c r="F341" s="850"/>
      <c r="G341" s="387" t="s">
        <v>74</v>
      </c>
      <c r="H341" s="387" t="s">
        <v>74</v>
      </c>
      <c r="I341" s="538" t="s">
        <v>74</v>
      </c>
      <c r="J341" s="744">
        <f>J342</f>
        <v>220280</v>
      </c>
    </row>
    <row r="342" spans="1:10" ht="30" customHeight="1" x14ac:dyDescent="0.3">
      <c r="A342" s="576" t="s">
        <v>531</v>
      </c>
      <c r="B342" s="809" t="s">
        <v>717</v>
      </c>
      <c r="C342" s="810"/>
      <c r="D342" s="811"/>
      <c r="E342" s="858">
        <v>1</v>
      </c>
      <c r="F342" s="859"/>
      <c r="G342" s="590" t="s">
        <v>306</v>
      </c>
      <c r="H342" s="590">
        <v>1</v>
      </c>
      <c r="I342" s="652">
        <v>220280</v>
      </c>
      <c r="J342" s="743">
        <f>I342</f>
        <v>220280</v>
      </c>
    </row>
    <row r="343" spans="1:10" ht="54.75" hidden="1" customHeight="1" x14ac:dyDescent="0.3">
      <c r="A343" s="578" t="s">
        <v>97</v>
      </c>
      <c r="B343" s="827" t="s">
        <v>534</v>
      </c>
      <c r="C343" s="828"/>
      <c r="D343" s="829"/>
      <c r="E343" s="858" t="s">
        <v>74</v>
      </c>
      <c r="F343" s="859"/>
      <c r="G343" s="590" t="s">
        <v>74</v>
      </c>
      <c r="H343" s="590" t="s">
        <v>74</v>
      </c>
      <c r="I343" s="652" t="s">
        <v>74</v>
      </c>
      <c r="J343" s="743">
        <f>J344+J345+J346+J347</f>
        <v>0</v>
      </c>
    </row>
    <row r="344" spans="1:10" ht="30" hidden="1" customHeight="1" x14ac:dyDescent="0.3">
      <c r="A344" s="576" t="s">
        <v>535</v>
      </c>
      <c r="B344" s="999" t="s">
        <v>539</v>
      </c>
      <c r="C344" s="1000"/>
      <c r="D344" s="1001"/>
      <c r="E344" s="858">
        <v>2</v>
      </c>
      <c r="F344" s="859"/>
      <c r="G344" s="590" t="s">
        <v>306</v>
      </c>
      <c r="H344" s="590">
        <v>2</v>
      </c>
      <c r="I344" s="652"/>
      <c r="J344" s="739"/>
    </row>
    <row r="345" spans="1:10" ht="30" hidden="1" customHeight="1" x14ac:dyDescent="0.3">
      <c r="A345" s="576" t="s">
        <v>536</v>
      </c>
      <c r="B345" s="999" t="s">
        <v>540</v>
      </c>
      <c r="C345" s="1000"/>
      <c r="D345" s="1001"/>
      <c r="E345" s="858">
        <v>2</v>
      </c>
      <c r="F345" s="859"/>
      <c r="G345" s="590" t="s">
        <v>306</v>
      </c>
      <c r="H345" s="590">
        <v>2</v>
      </c>
      <c r="I345" s="652"/>
      <c r="J345" s="739">
        <v>0</v>
      </c>
    </row>
    <row r="346" spans="1:10" ht="30" hidden="1" customHeight="1" x14ac:dyDescent="0.3">
      <c r="A346" s="576" t="s">
        <v>537</v>
      </c>
      <c r="B346" s="999" t="s">
        <v>541</v>
      </c>
      <c r="C346" s="1000"/>
      <c r="D346" s="1001"/>
      <c r="E346" s="858">
        <v>2</v>
      </c>
      <c r="F346" s="859"/>
      <c r="G346" s="590" t="s">
        <v>306</v>
      </c>
      <c r="H346" s="590">
        <v>4</v>
      </c>
      <c r="I346" s="652"/>
      <c r="J346" s="739">
        <v>0</v>
      </c>
    </row>
    <row r="347" spans="1:10" ht="36" hidden="1" customHeight="1" x14ac:dyDescent="0.3">
      <c r="A347" s="576"/>
      <c r="B347" s="854"/>
      <c r="C347" s="854"/>
      <c r="D347" s="854"/>
      <c r="E347" s="820"/>
      <c r="F347" s="822"/>
      <c r="G347" s="576"/>
      <c r="H347" s="576"/>
      <c r="I347" s="653"/>
      <c r="J347" s="739"/>
    </row>
    <row r="348" spans="1:10" ht="27.75" customHeight="1" x14ac:dyDescent="0.3">
      <c r="A348" s="335"/>
      <c r="B348" s="851" t="s">
        <v>332</v>
      </c>
      <c r="C348" s="851"/>
      <c r="D348" s="851"/>
      <c r="E348" s="852" t="s">
        <v>14</v>
      </c>
      <c r="F348" s="853"/>
      <c r="G348" s="891">
        <f>J306+J328+J332+J336+J341+J343</f>
        <v>29029580</v>
      </c>
      <c r="H348" s="892"/>
      <c r="I348" s="892"/>
      <c r="J348" s="892"/>
    </row>
    <row r="349" spans="1:10" ht="30" hidden="1" customHeight="1" x14ac:dyDescent="0.3">
      <c r="A349" s="893" t="s">
        <v>382</v>
      </c>
      <c r="B349" s="893"/>
      <c r="C349" s="893"/>
      <c r="D349" s="893"/>
      <c r="E349" s="893"/>
      <c r="F349" s="893"/>
      <c r="G349" s="893"/>
      <c r="H349" s="893"/>
      <c r="I349" s="893"/>
      <c r="J349" s="893"/>
    </row>
    <row r="350" spans="1:10" ht="30" hidden="1" customHeight="1" x14ac:dyDescent="0.3">
      <c r="A350" s="566" t="s">
        <v>1</v>
      </c>
      <c r="B350" s="778" t="s">
        <v>44</v>
      </c>
      <c r="C350" s="778"/>
      <c r="D350" s="778"/>
      <c r="E350" s="778" t="s">
        <v>58</v>
      </c>
      <c r="F350" s="778"/>
      <c r="G350" s="855" t="s">
        <v>66</v>
      </c>
      <c r="H350" s="857"/>
      <c r="I350" s="778" t="s">
        <v>60</v>
      </c>
      <c r="J350" s="778"/>
    </row>
    <row r="351" spans="1:10" ht="13.5" hidden="1" customHeight="1" x14ac:dyDescent="0.3">
      <c r="A351" s="566">
        <v>1</v>
      </c>
      <c r="B351" s="778">
        <v>2</v>
      </c>
      <c r="C351" s="778"/>
      <c r="D351" s="778"/>
      <c r="E351" s="778">
        <v>3</v>
      </c>
      <c r="F351" s="778"/>
      <c r="G351" s="778">
        <v>4</v>
      </c>
      <c r="H351" s="778"/>
      <c r="I351" s="778">
        <v>5</v>
      </c>
      <c r="J351" s="778"/>
    </row>
    <row r="352" spans="1:10" ht="30" hidden="1" customHeight="1" x14ac:dyDescent="0.3">
      <c r="A352" s="576" t="s">
        <v>27</v>
      </c>
      <c r="B352" s="809" t="s">
        <v>894</v>
      </c>
      <c r="C352" s="810"/>
      <c r="D352" s="811"/>
      <c r="E352" s="826">
        <v>1</v>
      </c>
      <c r="F352" s="826"/>
      <c r="G352" s="860">
        <v>0</v>
      </c>
      <c r="H352" s="860"/>
      <c r="I352" s="860">
        <f>G352</f>
        <v>0</v>
      </c>
      <c r="J352" s="860"/>
    </row>
    <row r="353" spans="1:11" ht="25.5" hidden="1" customHeight="1" x14ac:dyDescent="0.3">
      <c r="A353" s="578"/>
      <c r="B353" s="847" t="s">
        <v>13</v>
      </c>
      <c r="C353" s="847"/>
      <c r="D353" s="847"/>
      <c r="E353" s="842" t="s">
        <v>14</v>
      </c>
      <c r="F353" s="842"/>
      <c r="G353" s="842" t="s">
        <v>14</v>
      </c>
      <c r="H353" s="842"/>
      <c r="I353" s="1055">
        <f>I352</f>
        <v>0</v>
      </c>
      <c r="J353" s="1055"/>
    </row>
    <row r="354" spans="1:11" ht="15.75" customHeight="1" x14ac:dyDescent="0.3">
      <c r="A354" s="871" t="s">
        <v>383</v>
      </c>
      <c r="B354" s="871"/>
      <c r="C354" s="871"/>
      <c r="D354" s="871"/>
      <c r="E354" s="871"/>
      <c r="F354" s="871"/>
      <c r="G354" s="871"/>
      <c r="H354" s="871"/>
      <c r="I354" s="871"/>
      <c r="J354" s="871"/>
    </row>
    <row r="355" spans="1:11" ht="17.25" customHeight="1" x14ac:dyDescent="0.3">
      <c r="A355" s="566" t="s">
        <v>1</v>
      </c>
      <c r="B355" s="855" t="s">
        <v>15</v>
      </c>
      <c r="C355" s="856"/>
      <c r="D355" s="857"/>
      <c r="E355" s="855" t="s">
        <v>58</v>
      </c>
      <c r="F355" s="857"/>
      <c r="G355" s="855" t="s">
        <v>66</v>
      </c>
      <c r="H355" s="857"/>
      <c r="I355" s="855" t="s">
        <v>264</v>
      </c>
      <c r="J355" s="857"/>
    </row>
    <row r="356" spans="1:11" ht="16.5" customHeight="1" x14ac:dyDescent="0.3">
      <c r="A356" s="566">
        <v>1</v>
      </c>
      <c r="B356" s="855">
        <v>2</v>
      </c>
      <c r="C356" s="856"/>
      <c r="D356" s="857"/>
      <c r="E356" s="855">
        <v>3</v>
      </c>
      <c r="F356" s="857"/>
      <c r="G356" s="855">
        <v>4</v>
      </c>
      <c r="H356" s="857"/>
      <c r="I356" s="855">
        <v>5</v>
      </c>
      <c r="J356" s="857"/>
    </row>
    <row r="357" spans="1:11" ht="30" hidden="1" customHeight="1" x14ac:dyDescent="0.3">
      <c r="A357" s="576" t="s">
        <v>70</v>
      </c>
      <c r="B357" s="809" t="s">
        <v>170</v>
      </c>
      <c r="C357" s="810"/>
      <c r="D357" s="811"/>
      <c r="E357" s="1062"/>
      <c r="F357" s="1063"/>
      <c r="G357" s="820"/>
      <c r="H357" s="822"/>
      <c r="I357" s="1012">
        <f>I358</f>
        <v>0</v>
      </c>
      <c r="J357" s="992"/>
    </row>
    <row r="358" spans="1:11" ht="17.25" hidden="1" customHeight="1" x14ac:dyDescent="0.3">
      <c r="A358" s="576" t="s">
        <v>27</v>
      </c>
      <c r="B358" s="1008" t="s">
        <v>334</v>
      </c>
      <c r="C358" s="1009"/>
      <c r="D358" s="1010"/>
      <c r="E358" s="648" t="s">
        <v>307</v>
      </c>
      <c r="F358" s="648">
        <v>4</v>
      </c>
      <c r="G358" s="823" t="s">
        <v>260</v>
      </c>
      <c r="H358" s="824"/>
      <c r="I358" s="1012"/>
      <c r="J358" s="992"/>
    </row>
    <row r="359" spans="1:11" ht="30" customHeight="1" x14ac:dyDescent="0.3">
      <c r="A359" s="578" t="s">
        <v>70</v>
      </c>
      <c r="B359" s="827" t="s">
        <v>182</v>
      </c>
      <c r="C359" s="828"/>
      <c r="D359" s="829"/>
      <c r="E359" s="455" t="s">
        <v>74</v>
      </c>
      <c r="F359" s="455" t="s">
        <v>74</v>
      </c>
      <c r="G359" s="849" t="s">
        <v>74</v>
      </c>
      <c r="H359" s="850"/>
      <c r="I359" s="1049">
        <f>I360+I363+I361+I365+I362+I364</f>
        <v>4311000</v>
      </c>
      <c r="J359" s="998"/>
    </row>
    <row r="360" spans="1:11" s="317" customFormat="1" ht="58.5" customHeight="1" x14ac:dyDescent="0.3">
      <c r="A360" s="576" t="s">
        <v>27</v>
      </c>
      <c r="B360" s="999" t="s">
        <v>625</v>
      </c>
      <c r="C360" s="1000"/>
      <c r="D360" s="1001"/>
      <c r="E360" s="648" t="s">
        <v>308</v>
      </c>
      <c r="F360" s="577">
        <v>856</v>
      </c>
      <c r="G360" s="823" t="s">
        <v>74</v>
      </c>
      <c r="H360" s="824"/>
      <c r="I360" s="1012">
        <f>100000+1000000</f>
        <v>1100000</v>
      </c>
      <c r="J360" s="992"/>
      <c r="K360" s="334"/>
    </row>
    <row r="361" spans="1:11" s="317" customFormat="1" ht="30" customHeight="1" x14ac:dyDescent="0.3">
      <c r="A361" s="576" t="s">
        <v>29</v>
      </c>
      <c r="B361" s="999" t="s">
        <v>626</v>
      </c>
      <c r="C361" s="1000"/>
      <c r="D361" s="1001"/>
      <c r="E361" s="648" t="s">
        <v>308</v>
      </c>
      <c r="F361" s="577">
        <v>856</v>
      </c>
      <c r="G361" s="823" t="s">
        <v>74</v>
      </c>
      <c r="H361" s="824"/>
      <c r="I361" s="1077">
        <f>900000+311000</f>
        <v>1211000</v>
      </c>
      <c r="J361" s="1078"/>
      <c r="K361" s="334"/>
    </row>
    <row r="362" spans="1:11" s="317" customFormat="1" ht="30" customHeight="1" x14ac:dyDescent="0.3">
      <c r="A362" s="576" t="s">
        <v>31</v>
      </c>
      <c r="B362" s="999" t="s">
        <v>623</v>
      </c>
      <c r="C362" s="1000"/>
      <c r="D362" s="1001"/>
      <c r="E362" s="648" t="s">
        <v>308</v>
      </c>
      <c r="F362" s="577">
        <v>856</v>
      </c>
      <c r="G362" s="823" t="s">
        <v>74</v>
      </c>
      <c r="H362" s="824"/>
      <c r="I362" s="861">
        <v>0</v>
      </c>
      <c r="J362" s="862"/>
      <c r="K362" s="334"/>
    </row>
    <row r="363" spans="1:11" s="317" customFormat="1" ht="30" customHeight="1" x14ac:dyDescent="0.3">
      <c r="A363" s="576" t="s">
        <v>268</v>
      </c>
      <c r="B363" s="999" t="s">
        <v>627</v>
      </c>
      <c r="C363" s="1000"/>
      <c r="D363" s="1001"/>
      <c r="E363" s="648" t="s">
        <v>308</v>
      </c>
      <c r="F363" s="577">
        <v>856</v>
      </c>
      <c r="G363" s="823" t="s">
        <v>74</v>
      </c>
      <c r="H363" s="824"/>
      <c r="I363" s="861">
        <f>1500000+500000</f>
        <v>2000000</v>
      </c>
      <c r="J363" s="862"/>
      <c r="K363" s="334"/>
    </row>
    <row r="364" spans="1:11" s="317" customFormat="1" ht="30" customHeight="1" x14ac:dyDescent="0.3">
      <c r="A364" s="576" t="s">
        <v>269</v>
      </c>
      <c r="B364" s="999" t="s">
        <v>624</v>
      </c>
      <c r="C364" s="1000"/>
      <c r="D364" s="1001"/>
      <c r="E364" s="648" t="s">
        <v>543</v>
      </c>
      <c r="F364" s="414">
        <v>35</v>
      </c>
      <c r="G364" s="823" t="s">
        <v>74</v>
      </c>
      <c r="H364" s="824"/>
      <c r="I364" s="861">
        <v>0</v>
      </c>
      <c r="J364" s="862"/>
      <c r="K364" s="334"/>
    </row>
    <row r="365" spans="1:11" ht="48.75" customHeight="1" x14ac:dyDescent="0.3">
      <c r="A365" s="576" t="s">
        <v>283</v>
      </c>
      <c r="B365" s="999" t="s">
        <v>628</v>
      </c>
      <c r="C365" s="1000"/>
      <c r="D365" s="1001"/>
      <c r="E365" s="648" t="s">
        <v>543</v>
      </c>
      <c r="F365" s="414">
        <v>35</v>
      </c>
      <c r="G365" s="823" t="s">
        <v>74</v>
      </c>
      <c r="H365" s="824"/>
      <c r="I365" s="1077">
        <v>0</v>
      </c>
      <c r="J365" s="1078"/>
    </row>
    <row r="366" spans="1:11" s="445" customFormat="1" ht="30" hidden="1" customHeight="1" x14ac:dyDescent="0.3">
      <c r="A366" s="578" t="s">
        <v>75</v>
      </c>
      <c r="B366" s="827" t="s">
        <v>170</v>
      </c>
      <c r="C366" s="828"/>
      <c r="D366" s="829"/>
      <c r="E366" s="849"/>
      <c r="F366" s="850"/>
      <c r="G366" s="849"/>
      <c r="H366" s="850"/>
      <c r="I366" s="1005"/>
      <c r="J366" s="1006"/>
      <c r="K366" s="502"/>
    </row>
    <row r="367" spans="1:11" ht="30" hidden="1" customHeight="1" x14ac:dyDescent="0.3">
      <c r="A367" s="576" t="s">
        <v>34</v>
      </c>
      <c r="B367" s="835" t="s">
        <v>731</v>
      </c>
      <c r="C367" s="835"/>
      <c r="D367" s="835"/>
      <c r="E367" s="648">
        <v>1</v>
      </c>
      <c r="F367" s="577" t="s">
        <v>307</v>
      </c>
      <c r="G367" s="978">
        <v>0</v>
      </c>
      <c r="H367" s="978"/>
      <c r="I367" s="997">
        <f>E367*G367</f>
        <v>0</v>
      </c>
      <c r="J367" s="998"/>
    </row>
    <row r="368" spans="1:11" ht="30" hidden="1" customHeight="1" x14ac:dyDescent="0.3">
      <c r="A368" s="576" t="s">
        <v>36</v>
      </c>
      <c r="B368" s="835" t="s">
        <v>732</v>
      </c>
      <c r="C368" s="835"/>
      <c r="D368" s="835"/>
      <c r="E368" s="648">
        <v>1</v>
      </c>
      <c r="F368" s="577" t="s">
        <v>307</v>
      </c>
      <c r="G368" s="978">
        <v>0</v>
      </c>
      <c r="H368" s="978"/>
      <c r="I368" s="997">
        <f t="shared" ref="I368:I378" si="27">E368*G368</f>
        <v>0</v>
      </c>
      <c r="J368" s="998"/>
    </row>
    <row r="369" spans="1:10" ht="30" hidden="1" customHeight="1" x14ac:dyDescent="0.3">
      <c r="A369" s="576" t="s">
        <v>38</v>
      </c>
      <c r="B369" s="809" t="s">
        <v>733</v>
      </c>
      <c r="C369" s="810"/>
      <c r="D369" s="811"/>
      <c r="E369" s="648">
        <v>2</v>
      </c>
      <c r="F369" s="577" t="s">
        <v>307</v>
      </c>
      <c r="G369" s="823">
        <v>0</v>
      </c>
      <c r="H369" s="824"/>
      <c r="I369" s="997">
        <f t="shared" si="27"/>
        <v>0</v>
      </c>
      <c r="J369" s="998"/>
    </row>
    <row r="370" spans="1:10" ht="30" hidden="1" customHeight="1" x14ac:dyDescent="0.3">
      <c r="A370" s="576" t="s">
        <v>40</v>
      </c>
      <c r="B370" s="809" t="s">
        <v>734</v>
      </c>
      <c r="C370" s="810"/>
      <c r="D370" s="811"/>
      <c r="E370" s="648">
        <v>1</v>
      </c>
      <c r="F370" s="577" t="s">
        <v>307</v>
      </c>
      <c r="G370" s="823">
        <v>0</v>
      </c>
      <c r="H370" s="824"/>
      <c r="I370" s="997">
        <f t="shared" si="27"/>
        <v>0</v>
      </c>
      <c r="J370" s="998"/>
    </row>
    <row r="371" spans="1:10" ht="115.5" hidden="1" customHeight="1" x14ac:dyDescent="0.3">
      <c r="A371" s="576" t="s">
        <v>42</v>
      </c>
      <c r="B371" s="809" t="s">
        <v>896</v>
      </c>
      <c r="C371" s="810"/>
      <c r="D371" s="811"/>
      <c r="E371" s="648">
        <v>1</v>
      </c>
      <c r="F371" s="577" t="s">
        <v>307</v>
      </c>
      <c r="G371" s="823">
        <v>0</v>
      </c>
      <c r="H371" s="824"/>
      <c r="I371" s="997">
        <f t="shared" si="27"/>
        <v>0</v>
      </c>
      <c r="J371" s="998"/>
    </row>
    <row r="372" spans="1:10" ht="114.75" hidden="1" customHeight="1" x14ac:dyDescent="0.3">
      <c r="A372" s="576" t="s">
        <v>180</v>
      </c>
      <c r="B372" s="809" t="s">
        <v>897</v>
      </c>
      <c r="C372" s="810"/>
      <c r="D372" s="811"/>
      <c r="E372" s="648">
        <v>1</v>
      </c>
      <c r="F372" s="577" t="s">
        <v>307</v>
      </c>
      <c r="G372" s="823">
        <v>0</v>
      </c>
      <c r="H372" s="824"/>
      <c r="I372" s="997">
        <f t="shared" si="27"/>
        <v>0</v>
      </c>
      <c r="J372" s="998"/>
    </row>
    <row r="373" spans="1:10" ht="30" hidden="1" customHeight="1" x14ac:dyDescent="0.3">
      <c r="A373" s="576" t="s">
        <v>181</v>
      </c>
      <c r="B373" s="809" t="s">
        <v>898</v>
      </c>
      <c r="C373" s="810"/>
      <c r="D373" s="811"/>
      <c r="E373" s="648">
        <v>8</v>
      </c>
      <c r="F373" s="577" t="s">
        <v>307</v>
      </c>
      <c r="G373" s="823">
        <v>0</v>
      </c>
      <c r="H373" s="824"/>
      <c r="I373" s="997">
        <f t="shared" si="27"/>
        <v>0</v>
      </c>
      <c r="J373" s="998"/>
    </row>
    <row r="374" spans="1:10" ht="30" hidden="1" customHeight="1" x14ac:dyDescent="0.3">
      <c r="A374" s="576" t="s">
        <v>735</v>
      </c>
      <c r="B374" s="809" t="s">
        <v>899</v>
      </c>
      <c r="C374" s="810"/>
      <c r="D374" s="811"/>
      <c r="E374" s="648">
        <v>2</v>
      </c>
      <c r="F374" s="577" t="s">
        <v>307</v>
      </c>
      <c r="G374" s="823">
        <v>0</v>
      </c>
      <c r="H374" s="824"/>
      <c r="I374" s="997">
        <f t="shared" si="27"/>
        <v>0</v>
      </c>
      <c r="J374" s="998"/>
    </row>
    <row r="375" spans="1:10" ht="30" hidden="1" customHeight="1" x14ac:dyDescent="0.3">
      <c r="A375" s="576" t="s">
        <v>736</v>
      </c>
      <c r="B375" s="809" t="s">
        <v>900</v>
      </c>
      <c r="C375" s="810"/>
      <c r="D375" s="811"/>
      <c r="E375" s="648">
        <v>1</v>
      </c>
      <c r="F375" s="577" t="s">
        <v>307</v>
      </c>
      <c r="G375" s="823">
        <v>0</v>
      </c>
      <c r="H375" s="824"/>
      <c r="I375" s="997">
        <f t="shared" si="27"/>
        <v>0</v>
      </c>
      <c r="J375" s="998"/>
    </row>
    <row r="376" spans="1:10" ht="30" hidden="1" customHeight="1" x14ac:dyDescent="0.3">
      <c r="A376" s="576" t="s">
        <v>737</v>
      </c>
      <c r="B376" s="809" t="s">
        <v>901</v>
      </c>
      <c r="C376" s="810"/>
      <c r="D376" s="811"/>
      <c r="E376" s="648">
        <v>1</v>
      </c>
      <c r="F376" s="577" t="s">
        <v>307</v>
      </c>
      <c r="G376" s="823">
        <v>0</v>
      </c>
      <c r="H376" s="824"/>
      <c r="I376" s="997">
        <f t="shared" si="27"/>
        <v>0</v>
      </c>
      <c r="J376" s="998"/>
    </row>
    <row r="377" spans="1:10" ht="30" hidden="1" customHeight="1" x14ac:dyDescent="0.3">
      <c r="A377" s="576" t="s">
        <v>738</v>
      </c>
      <c r="B377" s="809" t="s">
        <v>856</v>
      </c>
      <c r="C377" s="810"/>
      <c r="D377" s="811"/>
      <c r="E377" s="648">
        <v>4</v>
      </c>
      <c r="F377" s="577" t="s">
        <v>307</v>
      </c>
      <c r="G377" s="823">
        <v>0</v>
      </c>
      <c r="H377" s="824"/>
      <c r="I377" s="997">
        <f t="shared" si="27"/>
        <v>0</v>
      </c>
      <c r="J377" s="998"/>
    </row>
    <row r="378" spans="1:10" ht="30" hidden="1" customHeight="1" x14ac:dyDescent="0.3">
      <c r="A378" s="576" t="s">
        <v>739</v>
      </c>
      <c r="B378" s="809" t="s">
        <v>857</v>
      </c>
      <c r="C378" s="810"/>
      <c r="D378" s="811"/>
      <c r="E378" s="648">
        <v>6</v>
      </c>
      <c r="F378" s="577" t="s">
        <v>307</v>
      </c>
      <c r="G378" s="823">
        <v>0</v>
      </c>
      <c r="H378" s="824"/>
      <c r="I378" s="997">
        <f t="shared" si="27"/>
        <v>0</v>
      </c>
      <c r="J378" s="998"/>
    </row>
    <row r="379" spans="1:10" ht="30" hidden="1" customHeight="1" x14ac:dyDescent="0.3">
      <c r="A379" s="415" t="s">
        <v>752</v>
      </c>
      <c r="B379" s="835" t="s">
        <v>858</v>
      </c>
      <c r="C379" s="835"/>
      <c r="D379" s="835"/>
      <c r="E379" s="648">
        <v>1</v>
      </c>
      <c r="F379" s="577" t="s">
        <v>307</v>
      </c>
      <c r="G379" s="978">
        <v>0</v>
      </c>
      <c r="H379" s="978"/>
      <c r="I379" s="997">
        <f>G379</f>
        <v>0</v>
      </c>
      <c r="J379" s="998"/>
    </row>
    <row r="380" spans="1:10" ht="62.25" hidden="1" customHeight="1" x14ac:dyDescent="0.3">
      <c r="A380" s="415" t="s">
        <v>77</v>
      </c>
      <c r="B380" s="809" t="s">
        <v>597</v>
      </c>
      <c r="C380" s="810"/>
      <c r="D380" s="811"/>
      <c r="E380" s="648"/>
      <c r="F380" s="577"/>
      <c r="G380" s="823"/>
      <c r="H380" s="824"/>
      <c r="I380" s="995">
        <f>SUM(I381:J383)</f>
        <v>0</v>
      </c>
      <c r="J380" s="996"/>
    </row>
    <row r="381" spans="1:10" ht="30" hidden="1" customHeight="1" x14ac:dyDescent="0.3">
      <c r="A381" s="415" t="s">
        <v>381</v>
      </c>
      <c r="B381" s="820" t="s">
        <v>800</v>
      </c>
      <c r="C381" s="821"/>
      <c r="D381" s="822"/>
      <c r="E381" s="910"/>
      <c r="F381" s="910"/>
      <c r="G381" s="823"/>
      <c r="H381" s="824"/>
      <c r="I381" s="995">
        <v>0</v>
      </c>
      <c r="J381" s="996"/>
    </row>
    <row r="382" spans="1:10" ht="30" hidden="1" customHeight="1" x14ac:dyDescent="0.3">
      <c r="A382" s="415" t="s">
        <v>559</v>
      </c>
      <c r="B382" s="820" t="s">
        <v>615</v>
      </c>
      <c r="C382" s="821"/>
      <c r="D382" s="822"/>
      <c r="E382" s="910"/>
      <c r="F382" s="910"/>
      <c r="G382" s="823"/>
      <c r="H382" s="824"/>
      <c r="I382" s="995">
        <v>0</v>
      </c>
      <c r="J382" s="996"/>
    </row>
    <row r="383" spans="1:10" ht="30" hidden="1" customHeight="1" x14ac:dyDescent="0.3">
      <c r="A383" s="415"/>
      <c r="B383" s="820"/>
      <c r="C383" s="821"/>
      <c r="D383" s="822"/>
      <c r="E383" s="910"/>
      <c r="F383" s="910"/>
      <c r="G383" s="823"/>
      <c r="H383" s="824"/>
      <c r="I383" s="995"/>
      <c r="J383" s="996"/>
    </row>
    <row r="384" spans="1:10" ht="30" hidden="1" customHeight="1" x14ac:dyDescent="0.3">
      <c r="A384" s="415" t="s">
        <v>755</v>
      </c>
      <c r="B384" s="809" t="s">
        <v>893</v>
      </c>
      <c r="C384" s="810"/>
      <c r="D384" s="811"/>
      <c r="E384" s="648">
        <v>95</v>
      </c>
      <c r="F384" s="648" t="s">
        <v>307</v>
      </c>
      <c r="G384" s="823">
        <v>0</v>
      </c>
      <c r="H384" s="824"/>
      <c r="I384" s="995">
        <f>E384*G384</f>
        <v>0</v>
      </c>
      <c r="J384" s="996"/>
    </row>
    <row r="385" spans="1:11" ht="30" hidden="1" customHeight="1" x14ac:dyDescent="0.3">
      <c r="A385" s="415" t="s">
        <v>756</v>
      </c>
      <c r="B385" s="809" t="s">
        <v>757</v>
      </c>
      <c r="C385" s="810"/>
      <c r="D385" s="811"/>
      <c r="E385" s="648"/>
      <c r="F385" s="648" t="s">
        <v>307</v>
      </c>
      <c r="G385" s="823">
        <v>0</v>
      </c>
      <c r="H385" s="824"/>
      <c r="I385" s="995">
        <f>G385</f>
        <v>0</v>
      </c>
      <c r="J385" s="996"/>
    </row>
    <row r="386" spans="1:11" ht="30" hidden="1" customHeight="1" x14ac:dyDescent="0.3">
      <c r="A386" s="415" t="s">
        <v>759</v>
      </c>
      <c r="B386" s="809" t="s">
        <v>758</v>
      </c>
      <c r="C386" s="810"/>
      <c r="D386" s="811"/>
      <c r="E386" s="648"/>
      <c r="F386" s="648" t="s">
        <v>307</v>
      </c>
      <c r="G386" s="823">
        <v>0</v>
      </c>
      <c r="H386" s="824"/>
      <c r="I386" s="995">
        <f>G386</f>
        <v>0</v>
      </c>
      <c r="J386" s="996"/>
    </row>
    <row r="387" spans="1:11" ht="30" hidden="1" customHeight="1" x14ac:dyDescent="0.3">
      <c r="A387" s="415" t="s">
        <v>760</v>
      </c>
      <c r="B387" s="835" t="s">
        <v>761</v>
      </c>
      <c r="C387" s="835"/>
      <c r="D387" s="835"/>
      <c r="E387" s="648"/>
      <c r="F387" s="648" t="s">
        <v>307</v>
      </c>
      <c r="G387" s="978">
        <v>0</v>
      </c>
      <c r="H387" s="978"/>
      <c r="I387" s="1011">
        <f>G387</f>
        <v>0</v>
      </c>
      <c r="J387" s="1011"/>
    </row>
    <row r="388" spans="1:11" ht="30" hidden="1" customHeight="1" x14ac:dyDescent="0.3">
      <c r="A388" s="415" t="s">
        <v>762</v>
      </c>
      <c r="B388" s="835" t="s">
        <v>764</v>
      </c>
      <c r="C388" s="835"/>
      <c r="D388" s="835"/>
      <c r="E388" s="648">
        <v>10</v>
      </c>
      <c r="F388" s="648" t="s">
        <v>307</v>
      </c>
      <c r="G388" s="978">
        <v>0</v>
      </c>
      <c r="H388" s="978"/>
      <c r="I388" s="1011">
        <f t="shared" ref="I388:I393" si="28">E388*G388</f>
        <v>0</v>
      </c>
      <c r="J388" s="1011"/>
    </row>
    <row r="389" spans="1:11" ht="30" hidden="1" customHeight="1" x14ac:dyDescent="0.3">
      <c r="A389" s="415" t="s">
        <v>763</v>
      </c>
      <c r="B389" s="835" t="s">
        <v>765</v>
      </c>
      <c r="C389" s="835"/>
      <c r="D389" s="835"/>
      <c r="E389" s="648">
        <v>1</v>
      </c>
      <c r="F389" s="648" t="s">
        <v>307</v>
      </c>
      <c r="G389" s="978">
        <v>0</v>
      </c>
      <c r="H389" s="978"/>
      <c r="I389" s="1011">
        <f t="shared" si="28"/>
        <v>0</v>
      </c>
      <c r="J389" s="1011"/>
    </row>
    <row r="390" spans="1:11" ht="30" hidden="1" customHeight="1" x14ac:dyDescent="0.3">
      <c r="A390" s="415" t="s">
        <v>766</v>
      </c>
      <c r="B390" s="809" t="s">
        <v>768</v>
      </c>
      <c r="C390" s="810"/>
      <c r="D390" s="811"/>
      <c r="E390" s="648">
        <v>10</v>
      </c>
      <c r="F390" s="648" t="s">
        <v>307</v>
      </c>
      <c r="G390" s="823">
        <v>0</v>
      </c>
      <c r="H390" s="824"/>
      <c r="I390" s="995">
        <f t="shared" si="28"/>
        <v>0</v>
      </c>
      <c r="J390" s="996"/>
    </row>
    <row r="391" spans="1:11" ht="30" hidden="1" customHeight="1" x14ac:dyDescent="0.3">
      <c r="A391" s="415" t="s">
        <v>767</v>
      </c>
      <c r="B391" s="809" t="s">
        <v>895</v>
      </c>
      <c r="C391" s="810"/>
      <c r="D391" s="811"/>
      <c r="E391" s="648">
        <v>1</v>
      </c>
      <c r="F391" s="648" t="s">
        <v>307</v>
      </c>
      <c r="G391" s="823">
        <v>0</v>
      </c>
      <c r="H391" s="824"/>
      <c r="I391" s="995">
        <f t="shared" si="28"/>
        <v>0</v>
      </c>
      <c r="J391" s="996"/>
    </row>
    <row r="392" spans="1:11" ht="30" hidden="1" customHeight="1" x14ac:dyDescent="0.3">
      <c r="A392" s="415" t="s">
        <v>770</v>
      </c>
      <c r="B392" s="809" t="s">
        <v>772</v>
      </c>
      <c r="C392" s="810"/>
      <c r="D392" s="811"/>
      <c r="E392" s="648">
        <v>2</v>
      </c>
      <c r="F392" s="648" t="s">
        <v>307</v>
      </c>
      <c r="G392" s="823">
        <v>0</v>
      </c>
      <c r="H392" s="824"/>
      <c r="I392" s="995">
        <f t="shared" si="28"/>
        <v>0</v>
      </c>
      <c r="J392" s="996"/>
    </row>
    <row r="393" spans="1:11" ht="30" hidden="1" customHeight="1" x14ac:dyDescent="0.3">
      <c r="A393" s="415" t="s">
        <v>771</v>
      </c>
      <c r="B393" s="809" t="s">
        <v>773</v>
      </c>
      <c r="C393" s="810"/>
      <c r="D393" s="811"/>
      <c r="E393" s="648">
        <v>1</v>
      </c>
      <c r="F393" s="648" t="s">
        <v>307</v>
      </c>
      <c r="G393" s="823">
        <v>0</v>
      </c>
      <c r="H393" s="824"/>
      <c r="I393" s="995">
        <f t="shared" si="28"/>
        <v>0</v>
      </c>
      <c r="J393" s="996"/>
    </row>
    <row r="394" spans="1:11" ht="17.25" customHeight="1" x14ac:dyDescent="0.3">
      <c r="A394" s="576"/>
      <c r="B394" s="847" t="s">
        <v>13</v>
      </c>
      <c r="C394" s="847"/>
      <c r="D394" s="847"/>
      <c r="E394" s="1002" t="s">
        <v>74</v>
      </c>
      <c r="F394" s="1003"/>
      <c r="G394" s="842" t="s">
        <v>14</v>
      </c>
      <c r="H394" s="842"/>
      <c r="I394" s="1041">
        <f>I359</f>
        <v>4311000</v>
      </c>
      <c r="J394" s="1041"/>
    </row>
    <row r="395" spans="1:11" ht="21.75" customHeight="1" x14ac:dyDescent="0.3">
      <c r="A395" s="1004" t="s">
        <v>384</v>
      </c>
      <c r="B395" s="1004"/>
      <c r="C395" s="1004"/>
      <c r="D395" s="1004"/>
      <c r="E395" s="1004"/>
      <c r="F395" s="1004"/>
      <c r="G395" s="1004"/>
      <c r="H395" s="1004"/>
      <c r="I395" s="1004"/>
      <c r="J395" s="1004"/>
    </row>
    <row r="396" spans="1:11" ht="21.75" hidden="1" customHeight="1" x14ac:dyDescent="0.3">
      <c r="A396" s="871" t="s">
        <v>545</v>
      </c>
      <c r="B396" s="871"/>
      <c r="C396" s="871"/>
      <c r="D396" s="871"/>
      <c r="E396" s="871"/>
      <c r="F396" s="871"/>
      <c r="G396" s="871"/>
      <c r="H396" s="871"/>
      <c r="I396" s="871"/>
      <c r="J396" s="871"/>
    </row>
    <row r="397" spans="1:11" ht="21.75" hidden="1" customHeight="1" x14ac:dyDescent="0.3">
      <c r="A397" s="566" t="s">
        <v>1</v>
      </c>
      <c r="B397" s="778" t="s">
        <v>15</v>
      </c>
      <c r="C397" s="778"/>
      <c r="D397" s="778"/>
      <c r="E397" s="778" t="s">
        <v>58</v>
      </c>
      <c r="F397" s="778"/>
      <c r="G397" s="778" t="s">
        <v>66</v>
      </c>
      <c r="H397" s="778"/>
      <c r="I397" s="778" t="s">
        <v>264</v>
      </c>
      <c r="J397" s="778"/>
      <c r="K397" s="867" t="s">
        <v>728</v>
      </c>
    </row>
    <row r="398" spans="1:11" ht="21.75" hidden="1" customHeight="1" x14ac:dyDescent="0.3">
      <c r="A398" s="566">
        <v>1</v>
      </c>
      <c r="B398" s="778">
        <v>2</v>
      </c>
      <c r="C398" s="778"/>
      <c r="D398" s="778"/>
      <c r="E398" s="778">
        <v>3</v>
      </c>
      <c r="F398" s="778"/>
      <c r="G398" s="778">
        <v>4</v>
      </c>
      <c r="H398" s="778"/>
      <c r="I398" s="778">
        <v>5</v>
      </c>
      <c r="J398" s="778"/>
      <c r="K398" s="867"/>
    </row>
    <row r="399" spans="1:11" ht="39.75" hidden="1" customHeight="1" x14ac:dyDescent="0.3">
      <c r="A399" s="578" t="s">
        <v>70</v>
      </c>
      <c r="B399" s="827" t="s">
        <v>172</v>
      </c>
      <c r="C399" s="828"/>
      <c r="D399" s="829"/>
      <c r="E399" s="457"/>
      <c r="F399" s="457"/>
      <c r="G399" s="812"/>
      <c r="H399" s="814"/>
      <c r="I399" s="997">
        <f>SUM(I400:J401)</f>
        <v>0</v>
      </c>
      <c r="J399" s="998"/>
      <c r="K399" s="843" t="s">
        <v>878</v>
      </c>
    </row>
    <row r="400" spans="1:11" ht="35.25" hidden="1" customHeight="1" x14ac:dyDescent="0.3">
      <c r="A400" s="576" t="s">
        <v>27</v>
      </c>
      <c r="B400" s="835" t="s">
        <v>173</v>
      </c>
      <c r="C400" s="835"/>
      <c r="D400" s="835"/>
      <c r="E400" s="648" t="s">
        <v>308</v>
      </c>
      <c r="F400" s="577">
        <v>872</v>
      </c>
      <c r="G400" s="978" t="s">
        <v>260</v>
      </c>
      <c r="H400" s="978"/>
      <c r="I400" s="991"/>
      <c r="J400" s="992"/>
      <c r="K400" s="844"/>
    </row>
    <row r="401" spans="1:12" ht="21.75" hidden="1" customHeight="1" x14ac:dyDescent="0.3">
      <c r="A401" s="415" t="s">
        <v>27</v>
      </c>
      <c r="B401" s="1008"/>
      <c r="C401" s="1009"/>
      <c r="D401" s="1010"/>
      <c r="E401" s="648"/>
      <c r="F401" s="416"/>
      <c r="G401" s="978"/>
      <c r="H401" s="978"/>
      <c r="I401" s="991"/>
      <c r="J401" s="992"/>
      <c r="K401" s="844"/>
    </row>
    <row r="402" spans="1:12" ht="21.75" hidden="1" customHeight="1" x14ac:dyDescent="0.3">
      <c r="A402" s="576"/>
      <c r="B402" s="847" t="s">
        <v>13</v>
      </c>
      <c r="C402" s="847"/>
      <c r="D402" s="847"/>
      <c r="E402" s="1045" t="s">
        <v>74</v>
      </c>
      <c r="F402" s="1046"/>
      <c r="G402" s="842" t="s">
        <v>14</v>
      </c>
      <c r="H402" s="842"/>
      <c r="I402" s="848">
        <f>I399</f>
        <v>0</v>
      </c>
      <c r="J402" s="1007"/>
      <c r="K402" s="845"/>
    </row>
    <row r="403" spans="1:12" hidden="1" x14ac:dyDescent="0.3">
      <c r="A403" s="871" t="s">
        <v>546</v>
      </c>
      <c r="B403" s="871"/>
      <c r="C403" s="871"/>
      <c r="D403" s="871"/>
      <c r="E403" s="871"/>
      <c r="F403" s="871"/>
      <c r="G403" s="871"/>
      <c r="H403" s="871"/>
      <c r="I403" s="871"/>
      <c r="J403" s="871"/>
    </row>
    <row r="404" spans="1:12" ht="15" hidden="1" customHeight="1" x14ac:dyDescent="0.3">
      <c r="A404" s="566" t="s">
        <v>1</v>
      </c>
      <c r="B404" s="778" t="s">
        <v>15</v>
      </c>
      <c r="C404" s="778"/>
      <c r="D404" s="778"/>
      <c r="E404" s="778" t="s">
        <v>58</v>
      </c>
      <c r="F404" s="778"/>
      <c r="G404" s="778" t="s">
        <v>66</v>
      </c>
      <c r="H404" s="778"/>
      <c r="I404" s="778" t="s">
        <v>264</v>
      </c>
      <c r="J404" s="778"/>
    </row>
    <row r="405" spans="1:12" hidden="1" x14ac:dyDescent="0.3">
      <c r="A405" s="566">
        <v>1</v>
      </c>
      <c r="B405" s="778">
        <v>2</v>
      </c>
      <c r="C405" s="778"/>
      <c r="D405" s="778"/>
      <c r="E405" s="778">
        <v>3</v>
      </c>
      <c r="F405" s="778"/>
      <c r="G405" s="778">
        <v>4</v>
      </c>
      <c r="H405" s="778"/>
      <c r="I405" s="778">
        <v>5</v>
      </c>
      <c r="J405" s="778"/>
    </row>
    <row r="406" spans="1:12" ht="30.75" hidden="1" customHeight="1" x14ac:dyDescent="0.3">
      <c r="A406" s="576" t="s">
        <v>70</v>
      </c>
      <c r="B406" s="809" t="s">
        <v>172</v>
      </c>
      <c r="C406" s="810"/>
      <c r="D406" s="811"/>
      <c r="E406" s="648"/>
      <c r="F406" s="648"/>
      <c r="G406" s="820"/>
      <c r="H406" s="822"/>
      <c r="I406" s="991">
        <f>SUM(I407:J408)</f>
        <v>0</v>
      </c>
      <c r="J406" s="992"/>
      <c r="K406" s="348"/>
      <c r="L406" s="331"/>
    </row>
    <row r="407" spans="1:12" hidden="1" x14ac:dyDescent="0.3">
      <c r="A407" s="576" t="s">
        <v>27</v>
      </c>
      <c r="B407" s="1042" t="s">
        <v>173</v>
      </c>
      <c r="C407" s="1042"/>
      <c r="D407" s="1042"/>
      <c r="E407" s="648" t="s">
        <v>308</v>
      </c>
      <c r="F407" s="577"/>
      <c r="G407" s="978" t="s">
        <v>260</v>
      </c>
      <c r="H407" s="978"/>
      <c r="I407" s="991"/>
      <c r="J407" s="992"/>
      <c r="K407" s="348"/>
      <c r="L407" s="331"/>
    </row>
    <row r="408" spans="1:12" hidden="1" x14ac:dyDescent="0.3">
      <c r="A408" s="415" t="s">
        <v>27</v>
      </c>
      <c r="B408" s="1008"/>
      <c r="C408" s="1009"/>
      <c r="D408" s="1010"/>
      <c r="E408" s="648"/>
      <c r="F408" s="416"/>
      <c r="G408" s="978"/>
      <c r="H408" s="978"/>
      <c r="I408" s="991"/>
      <c r="J408" s="992"/>
    </row>
    <row r="409" spans="1:12" s="425" customFormat="1" ht="15" hidden="1" customHeight="1" x14ac:dyDescent="0.3">
      <c r="A409" s="576"/>
      <c r="B409" s="847" t="s">
        <v>13</v>
      </c>
      <c r="C409" s="847"/>
      <c r="D409" s="847"/>
      <c r="E409" s="1045" t="s">
        <v>74</v>
      </c>
      <c r="F409" s="1046"/>
      <c r="G409" s="842" t="s">
        <v>14</v>
      </c>
      <c r="H409" s="842"/>
      <c r="I409" s="834">
        <f>I406</f>
        <v>0</v>
      </c>
      <c r="J409" s="842"/>
      <c r="K409" s="424"/>
    </row>
    <row r="410" spans="1:12" s="425" customFormat="1" ht="15" customHeight="1" x14ac:dyDescent="0.3">
      <c r="A410" s="871" t="s">
        <v>547</v>
      </c>
      <c r="B410" s="871"/>
      <c r="C410" s="871"/>
      <c r="D410" s="871"/>
      <c r="E410" s="871"/>
      <c r="F410" s="871"/>
      <c r="G410" s="871"/>
      <c r="H410" s="871"/>
      <c r="I410" s="871"/>
      <c r="J410" s="871"/>
      <c r="K410" s="424"/>
    </row>
    <row r="411" spans="1:12" s="425" customFormat="1" ht="15" customHeight="1" x14ac:dyDescent="0.3">
      <c r="A411" s="566" t="s">
        <v>1</v>
      </c>
      <c r="B411" s="778" t="s">
        <v>15</v>
      </c>
      <c r="C411" s="778"/>
      <c r="D411" s="778"/>
      <c r="E411" s="778" t="s">
        <v>58</v>
      </c>
      <c r="F411" s="778"/>
      <c r="G411" s="778" t="s">
        <v>66</v>
      </c>
      <c r="H411" s="778"/>
      <c r="I411" s="778" t="s">
        <v>264</v>
      </c>
      <c r="J411" s="778"/>
      <c r="K411" s="424"/>
    </row>
    <row r="412" spans="1:12" s="425" customFormat="1" ht="15" customHeight="1" x14ac:dyDescent="0.3">
      <c r="A412" s="566">
        <v>1</v>
      </c>
      <c r="B412" s="778">
        <v>2</v>
      </c>
      <c r="C412" s="778"/>
      <c r="D412" s="778"/>
      <c r="E412" s="778">
        <v>3</v>
      </c>
      <c r="F412" s="778"/>
      <c r="G412" s="778">
        <v>4</v>
      </c>
      <c r="H412" s="778"/>
      <c r="I412" s="778">
        <v>5</v>
      </c>
      <c r="J412" s="778"/>
      <c r="K412" s="424"/>
    </row>
    <row r="413" spans="1:12" s="425" customFormat="1" ht="39.75" customHeight="1" x14ac:dyDescent="0.3">
      <c r="A413" s="576" t="s">
        <v>70</v>
      </c>
      <c r="B413" s="809" t="s">
        <v>172</v>
      </c>
      <c r="C413" s="810"/>
      <c r="D413" s="811"/>
      <c r="E413" s="648"/>
      <c r="F413" s="648"/>
      <c r="G413" s="820"/>
      <c r="H413" s="822"/>
      <c r="I413" s="991">
        <f>SUM(I414:J415)</f>
        <v>60000</v>
      </c>
      <c r="J413" s="992"/>
      <c r="K413" s="424"/>
    </row>
    <row r="414" spans="1:12" s="425" customFormat="1" ht="22.5" customHeight="1" x14ac:dyDescent="0.3">
      <c r="A414" s="576" t="s">
        <v>27</v>
      </c>
      <c r="B414" s="1042" t="s">
        <v>549</v>
      </c>
      <c r="C414" s="1042"/>
      <c r="D414" s="1042"/>
      <c r="E414" s="648"/>
      <c r="F414" s="577"/>
      <c r="G414" s="978" t="s">
        <v>260</v>
      </c>
      <c r="H414" s="978"/>
      <c r="I414" s="991">
        <v>60000</v>
      </c>
      <c r="J414" s="992"/>
      <c r="K414" s="424"/>
    </row>
    <row r="415" spans="1:12" s="426" customFormat="1" ht="15" hidden="1" customHeight="1" x14ac:dyDescent="0.3">
      <c r="A415" s="415" t="s">
        <v>27</v>
      </c>
      <c r="B415" s="1008"/>
      <c r="C415" s="1009"/>
      <c r="D415" s="1010"/>
      <c r="E415" s="648"/>
      <c r="F415" s="416"/>
      <c r="G415" s="978"/>
      <c r="H415" s="978"/>
      <c r="I415" s="991"/>
      <c r="J415" s="992"/>
      <c r="K415" s="424"/>
    </row>
    <row r="416" spans="1:12" s="425" customFormat="1" ht="18" customHeight="1" x14ac:dyDescent="0.3">
      <c r="A416" s="576"/>
      <c r="B416" s="847" t="s">
        <v>13</v>
      </c>
      <c r="C416" s="847"/>
      <c r="D416" s="847"/>
      <c r="E416" s="1045" t="s">
        <v>74</v>
      </c>
      <c r="F416" s="1046"/>
      <c r="G416" s="842" t="s">
        <v>14</v>
      </c>
      <c r="H416" s="842"/>
      <c r="I416" s="848">
        <f>I413</f>
        <v>60000</v>
      </c>
      <c r="J416" s="1007"/>
      <c r="K416" s="424"/>
    </row>
    <row r="417" spans="1:11" s="426" customFormat="1" ht="15" hidden="1" customHeight="1" x14ac:dyDescent="0.3">
      <c r="A417" s="871" t="s">
        <v>548</v>
      </c>
      <c r="B417" s="871"/>
      <c r="C417" s="871"/>
      <c r="D417" s="871"/>
      <c r="E417" s="871"/>
      <c r="F417" s="871"/>
      <c r="G417" s="871"/>
      <c r="H417" s="871"/>
      <c r="I417" s="871"/>
      <c r="J417" s="871"/>
      <c r="K417" s="424"/>
    </row>
    <row r="418" spans="1:11" s="426" customFormat="1" ht="15" hidden="1" customHeight="1" x14ac:dyDescent="0.3">
      <c r="A418" s="566" t="s">
        <v>1</v>
      </c>
      <c r="B418" s="778" t="s">
        <v>15</v>
      </c>
      <c r="C418" s="778"/>
      <c r="D418" s="778"/>
      <c r="E418" s="778" t="s">
        <v>58</v>
      </c>
      <c r="F418" s="778"/>
      <c r="G418" s="778" t="s">
        <v>66</v>
      </c>
      <c r="H418" s="778"/>
      <c r="I418" s="778" t="s">
        <v>264</v>
      </c>
      <c r="J418" s="778"/>
      <c r="K418" s="1089" t="s">
        <v>779</v>
      </c>
    </row>
    <row r="419" spans="1:11" s="426" customFormat="1" ht="15" hidden="1" customHeight="1" x14ac:dyDescent="0.3">
      <c r="A419" s="566">
        <v>1</v>
      </c>
      <c r="B419" s="778">
        <v>2</v>
      </c>
      <c r="C419" s="778"/>
      <c r="D419" s="778"/>
      <c r="E419" s="778">
        <v>3</v>
      </c>
      <c r="F419" s="778"/>
      <c r="G419" s="778">
        <v>4</v>
      </c>
      <c r="H419" s="778"/>
      <c r="I419" s="778">
        <v>5</v>
      </c>
      <c r="J419" s="778"/>
      <c r="K419" s="1089"/>
    </row>
    <row r="420" spans="1:11" s="426" customFormat="1" ht="38.25" hidden="1" customHeight="1" x14ac:dyDescent="0.3">
      <c r="A420" s="576" t="s">
        <v>70</v>
      </c>
      <c r="B420" s="809" t="s">
        <v>172</v>
      </c>
      <c r="C420" s="810"/>
      <c r="D420" s="811"/>
      <c r="E420" s="648"/>
      <c r="F420" s="648"/>
      <c r="G420" s="820"/>
      <c r="H420" s="822"/>
      <c r="I420" s="991">
        <f>SUM(I421:J422)</f>
        <v>0</v>
      </c>
      <c r="J420" s="992"/>
      <c r="K420" s="1071" t="s">
        <v>729</v>
      </c>
    </row>
    <row r="421" spans="1:11" s="426" customFormat="1" ht="38.25" hidden="1" customHeight="1" x14ac:dyDescent="0.3">
      <c r="A421" s="576" t="s">
        <v>27</v>
      </c>
      <c r="B421" s="1042" t="s">
        <v>730</v>
      </c>
      <c r="C421" s="1042"/>
      <c r="D421" s="1042"/>
      <c r="E421" s="648" t="s">
        <v>308</v>
      </c>
      <c r="F421" s="577"/>
      <c r="G421" s="978" t="s">
        <v>260</v>
      </c>
      <c r="H421" s="978"/>
      <c r="I421" s="991">
        <v>0</v>
      </c>
      <c r="J421" s="992"/>
      <c r="K421" s="1071"/>
    </row>
    <row r="422" spans="1:11" s="426" customFormat="1" ht="15" hidden="1" customHeight="1" x14ac:dyDescent="0.3">
      <c r="A422" s="415" t="s">
        <v>27</v>
      </c>
      <c r="B422" s="1008"/>
      <c r="C422" s="1009"/>
      <c r="D422" s="1010"/>
      <c r="E422" s="648"/>
      <c r="F422" s="416"/>
      <c r="G422" s="978"/>
      <c r="H422" s="978"/>
      <c r="I422" s="991"/>
      <c r="J422" s="992"/>
      <c r="K422" s="1071"/>
    </row>
    <row r="423" spans="1:11" s="426" customFormat="1" ht="15" hidden="1" customHeight="1" x14ac:dyDescent="0.3">
      <c r="A423" s="576"/>
      <c r="B423" s="847" t="s">
        <v>13</v>
      </c>
      <c r="C423" s="847"/>
      <c r="D423" s="847"/>
      <c r="E423" s="1045" t="s">
        <v>74</v>
      </c>
      <c r="F423" s="1046"/>
      <c r="G423" s="842" t="s">
        <v>14</v>
      </c>
      <c r="H423" s="842"/>
      <c r="I423" s="834">
        <f>I420</f>
        <v>0</v>
      </c>
      <c r="J423" s="842"/>
      <c r="K423" s="424"/>
    </row>
    <row r="424" spans="1:11" s="426" customFormat="1" ht="15" customHeight="1" x14ac:dyDescent="0.3">
      <c r="A424" s="871" t="s">
        <v>551</v>
      </c>
      <c r="B424" s="871"/>
      <c r="C424" s="871"/>
      <c r="D424" s="871"/>
      <c r="E424" s="871"/>
      <c r="F424" s="871"/>
      <c r="G424" s="871"/>
      <c r="H424" s="871"/>
      <c r="I424" s="871"/>
      <c r="J424" s="871"/>
      <c r="K424" s="424"/>
    </row>
    <row r="425" spans="1:11" s="426" customFormat="1" ht="15" customHeight="1" x14ac:dyDescent="0.3">
      <c r="A425" s="566" t="s">
        <v>1</v>
      </c>
      <c r="B425" s="778" t="s">
        <v>15</v>
      </c>
      <c r="C425" s="778"/>
      <c r="D425" s="778"/>
      <c r="E425" s="778" t="s">
        <v>58</v>
      </c>
      <c r="F425" s="778"/>
      <c r="G425" s="778" t="s">
        <v>66</v>
      </c>
      <c r="H425" s="778"/>
      <c r="I425" s="778" t="s">
        <v>264</v>
      </c>
      <c r="J425" s="778"/>
      <c r="K425" s="1070" t="s">
        <v>780</v>
      </c>
    </row>
    <row r="426" spans="1:11" s="426" customFormat="1" ht="15" customHeight="1" x14ac:dyDescent="0.3">
      <c r="A426" s="566">
        <v>1</v>
      </c>
      <c r="B426" s="778">
        <v>2</v>
      </c>
      <c r="C426" s="778"/>
      <c r="D426" s="778"/>
      <c r="E426" s="778">
        <v>3</v>
      </c>
      <c r="F426" s="778"/>
      <c r="G426" s="778">
        <v>4</v>
      </c>
      <c r="H426" s="778"/>
      <c r="I426" s="778">
        <v>5</v>
      </c>
      <c r="J426" s="778"/>
      <c r="K426" s="1070"/>
    </row>
    <row r="427" spans="1:11" s="426" customFormat="1" ht="36" customHeight="1" x14ac:dyDescent="0.3">
      <c r="A427" s="576" t="s">
        <v>70</v>
      </c>
      <c r="B427" s="809" t="s">
        <v>172</v>
      </c>
      <c r="C427" s="810"/>
      <c r="D427" s="811"/>
      <c r="E427" s="648"/>
      <c r="F427" s="648"/>
      <c r="G427" s="820"/>
      <c r="H427" s="822"/>
      <c r="I427" s="991">
        <v>40000</v>
      </c>
      <c r="J427" s="992"/>
      <c r="K427" s="1071" t="s">
        <v>847</v>
      </c>
    </row>
    <row r="428" spans="1:11" s="426" customFormat="1" ht="15" customHeight="1" x14ac:dyDescent="0.3">
      <c r="A428" s="576" t="s">
        <v>27</v>
      </c>
      <c r="B428" s="1042" t="s">
        <v>550</v>
      </c>
      <c r="C428" s="1042"/>
      <c r="D428" s="1042"/>
      <c r="E428" s="648" t="s">
        <v>308</v>
      </c>
      <c r="F428" s="577">
        <v>856</v>
      </c>
      <c r="G428" s="978" t="s">
        <v>260</v>
      </c>
      <c r="H428" s="978"/>
      <c r="I428" s="1081">
        <f>I427</f>
        <v>40000</v>
      </c>
      <c r="J428" s="1082"/>
      <c r="K428" s="1071"/>
    </row>
    <row r="429" spans="1:11" s="426" customFormat="1" ht="0.75" hidden="1" customHeight="1" x14ac:dyDescent="0.3">
      <c r="A429" s="415" t="s">
        <v>27</v>
      </c>
      <c r="B429" s="1008" t="s">
        <v>774</v>
      </c>
      <c r="C429" s="1009"/>
      <c r="D429" s="1010"/>
      <c r="E429" s="648"/>
      <c r="F429" s="416"/>
      <c r="G429" s="978"/>
      <c r="H429" s="978"/>
      <c r="I429" s="991">
        <v>0</v>
      </c>
      <c r="J429" s="992"/>
      <c r="K429" s="1071"/>
    </row>
    <row r="430" spans="1:11" s="425" customFormat="1" x14ac:dyDescent="0.3">
      <c r="A430" s="1076" t="s">
        <v>552</v>
      </c>
      <c r="B430" s="1076"/>
      <c r="C430" s="1076"/>
      <c r="D430" s="1076"/>
      <c r="E430" s="1076"/>
      <c r="F430" s="1076"/>
      <c r="G430" s="1076"/>
      <c r="H430" s="1076"/>
      <c r="I430" s="1076"/>
      <c r="J430" s="1076"/>
      <c r="K430" s="424"/>
    </row>
    <row r="431" spans="1:11" s="425" customFormat="1" ht="13.8" x14ac:dyDescent="0.3">
      <c r="A431" s="566" t="s">
        <v>1</v>
      </c>
      <c r="B431" s="778" t="s">
        <v>15</v>
      </c>
      <c r="C431" s="778"/>
      <c r="D431" s="778"/>
      <c r="E431" s="778" t="s">
        <v>58</v>
      </c>
      <c r="F431" s="778"/>
      <c r="G431" s="778" t="s">
        <v>66</v>
      </c>
      <c r="H431" s="778"/>
      <c r="I431" s="778" t="s">
        <v>264</v>
      </c>
      <c r="J431" s="778"/>
      <c r="K431" s="1070" t="s">
        <v>781</v>
      </c>
    </row>
    <row r="432" spans="1:11" s="425" customFormat="1" ht="13.8" x14ac:dyDescent="0.3">
      <c r="A432" s="566">
        <v>1</v>
      </c>
      <c r="B432" s="778">
        <v>2</v>
      </c>
      <c r="C432" s="778"/>
      <c r="D432" s="778"/>
      <c r="E432" s="778">
        <v>3</v>
      </c>
      <c r="F432" s="778"/>
      <c r="G432" s="778">
        <v>4</v>
      </c>
      <c r="H432" s="778"/>
      <c r="I432" s="778">
        <v>5</v>
      </c>
      <c r="J432" s="778"/>
      <c r="K432" s="1070"/>
    </row>
    <row r="433" spans="1:12" s="425" customFormat="1" ht="46.5" customHeight="1" x14ac:dyDescent="0.3">
      <c r="A433" s="578">
        <v>1</v>
      </c>
      <c r="B433" s="827" t="s">
        <v>172</v>
      </c>
      <c r="C433" s="828"/>
      <c r="D433" s="829"/>
      <c r="E433" s="457"/>
      <c r="F433" s="457"/>
      <c r="G433" s="812"/>
      <c r="H433" s="814"/>
      <c r="I433" s="1048">
        <f>I434+I435+I437+I436</f>
        <v>250000</v>
      </c>
      <c r="J433" s="1049"/>
      <c r="K433" s="1071" t="s">
        <v>783</v>
      </c>
    </row>
    <row r="434" spans="1:12" s="425" customFormat="1" ht="20.25" customHeight="1" x14ac:dyDescent="0.3">
      <c r="A434" s="576" t="s">
        <v>27</v>
      </c>
      <c r="B434" s="1042" t="s">
        <v>553</v>
      </c>
      <c r="C434" s="1042"/>
      <c r="D434" s="1042"/>
      <c r="E434" s="648" t="s">
        <v>308</v>
      </c>
      <c r="F434" s="577">
        <v>856</v>
      </c>
      <c r="G434" s="978"/>
      <c r="H434" s="978"/>
      <c r="I434" s="1047">
        <v>150000</v>
      </c>
      <c r="J434" s="1012"/>
      <c r="K434" s="1071"/>
    </row>
    <row r="435" spans="1:12" s="425" customFormat="1" ht="21.75" customHeight="1" x14ac:dyDescent="0.3">
      <c r="A435" s="576" t="s">
        <v>29</v>
      </c>
      <c r="B435" s="1042" t="s">
        <v>554</v>
      </c>
      <c r="C435" s="1042"/>
      <c r="D435" s="1042"/>
      <c r="E435" s="648" t="s">
        <v>308</v>
      </c>
      <c r="F435" s="577">
        <v>856</v>
      </c>
      <c r="G435" s="978"/>
      <c r="H435" s="978"/>
      <c r="I435" s="1047">
        <v>100000</v>
      </c>
      <c r="J435" s="1012"/>
      <c r="K435" s="1071"/>
    </row>
    <row r="436" spans="1:12" s="425" customFormat="1" ht="14.4" hidden="1" x14ac:dyDescent="0.3">
      <c r="A436" s="576" t="s">
        <v>31</v>
      </c>
      <c r="B436" s="1008" t="s">
        <v>769</v>
      </c>
      <c r="C436" s="1009"/>
      <c r="D436" s="1010"/>
      <c r="E436" s="648"/>
      <c r="F436" s="577"/>
      <c r="G436" s="823"/>
      <c r="H436" s="824"/>
      <c r="I436" s="1072">
        <f>10000-10000</f>
        <v>0</v>
      </c>
      <c r="J436" s="1073"/>
      <c r="K436" s="1071"/>
    </row>
    <row r="437" spans="1:12" s="425" customFormat="1" ht="14.4" hidden="1" x14ac:dyDescent="0.3">
      <c r="A437" s="576" t="s">
        <v>268</v>
      </c>
      <c r="B437" s="1008" t="s">
        <v>775</v>
      </c>
      <c r="C437" s="1009"/>
      <c r="D437" s="1010"/>
      <c r="E437" s="648"/>
      <c r="F437" s="577"/>
      <c r="G437" s="823"/>
      <c r="H437" s="824"/>
      <c r="I437" s="1072">
        <v>0</v>
      </c>
      <c r="J437" s="1073"/>
      <c r="K437" s="1071"/>
    </row>
    <row r="438" spans="1:12" s="425" customFormat="1" ht="28.5" customHeight="1" x14ac:dyDescent="0.3">
      <c r="A438" s="456" t="s">
        <v>75</v>
      </c>
      <c r="B438" s="827" t="s">
        <v>187</v>
      </c>
      <c r="C438" s="828"/>
      <c r="D438" s="829"/>
      <c r="E438" s="457"/>
      <c r="F438" s="444"/>
      <c r="G438" s="1069"/>
      <c r="H438" s="1069"/>
      <c r="I438" s="1048">
        <f>I439+I440</f>
        <v>800000</v>
      </c>
      <c r="J438" s="1049"/>
      <c r="K438" s="1071"/>
    </row>
    <row r="439" spans="1:12" s="425" customFormat="1" ht="48.75" customHeight="1" x14ac:dyDescent="0.3">
      <c r="A439" s="415" t="s">
        <v>34</v>
      </c>
      <c r="B439" s="999" t="s">
        <v>555</v>
      </c>
      <c r="C439" s="1000"/>
      <c r="D439" s="1001"/>
      <c r="E439" s="648" t="s">
        <v>308</v>
      </c>
      <c r="F439" s="577">
        <v>856</v>
      </c>
      <c r="G439" s="978"/>
      <c r="H439" s="978"/>
      <c r="I439" s="1047">
        <v>500000</v>
      </c>
      <c r="J439" s="1012"/>
      <c r="K439" s="1071"/>
    </row>
    <row r="440" spans="1:12" s="425" customFormat="1" ht="58.5" customHeight="1" x14ac:dyDescent="0.3">
      <c r="A440" s="415" t="s">
        <v>36</v>
      </c>
      <c r="B440" s="999" t="s">
        <v>556</v>
      </c>
      <c r="C440" s="1000"/>
      <c r="D440" s="1001"/>
      <c r="E440" s="648" t="s">
        <v>308</v>
      </c>
      <c r="F440" s="577">
        <v>856</v>
      </c>
      <c r="G440" s="978"/>
      <c r="H440" s="978"/>
      <c r="I440" s="1047">
        <v>300000</v>
      </c>
      <c r="J440" s="1012"/>
      <c r="K440" s="1071"/>
    </row>
    <row r="441" spans="1:12" s="425" customFormat="1" ht="48" hidden="1" customHeight="1" x14ac:dyDescent="0.3">
      <c r="A441" s="576" t="s">
        <v>77</v>
      </c>
      <c r="B441" s="809" t="s">
        <v>534</v>
      </c>
      <c r="C441" s="810"/>
      <c r="D441" s="811"/>
      <c r="E441" s="858"/>
      <c r="F441" s="859"/>
      <c r="G441" s="858"/>
      <c r="H441" s="859"/>
      <c r="I441" s="1074">
        <f>I442</f>
        <v>0</v>
      </c>
      <c r="J441" s="1075"/>
      <c r="K441" s="1071"/>
    </row>
    <row r="442" spans="1:12" s="425" customFormat="1" ht="48" hidden="1" customHeight="1" x14ac:dyDescent="0.3">
      <c r="A442" s="415" t="s">
        <v>381</v>
      </c>
      <c r="B442" s="999" t="s">
        <v>632</v>
      </c>
      <c r="C442" s="1000"/>
      <c r="D442" s="1001"/>
      <c r="E442" s="648"/>
      <c r="F442" s="577"/>
      <c r="G442" s="823"/>
      <c r="H442" s="824"/>
      <c r="I442" s="1072">
        <v>0</v>
      </c>
      <c r="J442" s="1073"/>
      <c r="K442" s="1071"/>
    </row>
    <row r="443" spans="1:12" ht="74.25" customHeight="1" x14ac:dyDescent="0.3">
      <c r="A443" s="578" t="s">
        <v>77</v>
      </c>
      <c r="B443" s="827" t="s">
        <v>597</v>
      </c>
      <c r="C443" s="828"/>
      <c r="D443" s="829"/>
      <c r="E443" s="849" t="s">
        <v>74</v>
      </c>
      <c r="F443" s="850"/>
      <c r="G443" s="849" t="s">
        <v>74</v>
      </c>
      <c r="H443" s="850"/>
      <c r="I443" s="1079">
        <f>I444</f>
        <v>70000</v>
      </c>
      <c r="J443" s="1005"/>
      <c r="K443" s="1071"/>
    </row>
    <row r="444" spans="1:12" s="317" customFormat="1" ht="18.75" customHeight="1" x14ac:dyDescent="0.3">
      <c r="A444" s="415" t="s">
        <v>381</v>
      </c>
      <c r="B444" s="999" t="s">
        <v>799</v>
      </c>
      <c r="C444" s="1000"/>
      <c r="D444" s="1001"/>
      <c r="E444" s="648" t="s">
        <v>308</v>
      </c>
      <c r="F444" s="577">
        <v>856</v>
      </c>
      <c r="G444" s="978" t="s">
        <v>260</v>
      </c>
      <c r="H444" s="978"/>
      <c r="I444" s="1047">
        <v>70000</v>
      </c>
      <c r="J444" s="1012"/>
      <c r="K444" s="1071"/>
      <c r="L444" s="425"/>
    </row>
    <row r="445" spans="1:12" s="317" customFormat="1" ht="30" hidden="1" customHeight="1" x14ac:dyDescent="0.3">
      <c r="A445" s="415" t="s">
        <v>87</v>
      </c>
      <c r="B445" s="809" t="s">
        <v>614</v>
      </c>
      <c r="C445" s="810"/>
      <c r="D445" s="811"/>
      <c r="E445" s="565"/>
      <c r="F445" s="592"/>
      <c r="G445" s="823"/>
      <c r="H445" s="824"/>
      <c r="I445" s="1072">
        <f>SUM(I446:J446)</f>
        <v>0</v>
      </c>
      <c r="J445" s="1073"/>
      <c r="K445" s="1071"/>
      <c r="L445" s="425"/>
    </row>
    <row r="446" spans="1:12" s="317" customFormat="1" ht="30" hidden="1" customHeight="1" x14ac:dyDescent="0.3">
      <c r="A446" s="415" t="s">
        <v>531</v>
      </c>
      <c r="B446" s="820" t="s">
        <v>617</v>
      </c>
      <c r="C446" s="821"/>
      <c r="D446" s="822"/>
      <c r="E446" s="565"/>
      <c r="F446" s="592"/>
      <c r="G446" s="823"/>
      <c r="H446" s="824"/>
      <c r="I446" s="1072">
        <v>0</v>
      </c>
      <c r="J446" s="1073"/>
      <c r="K446" s="1071"/>
      <c r="L446" s="425"/>
    </row>
    <row r="447" spans="1:12" ht="14.4" hidden="1" x14ac:dyDescent="0.3">
      <c r="A447" s="415"/>
      <c r="B447" s="826"/>
      <c r="C447" s="826"/>
      <c r="D447" s="826"/>
      <c r="E447" s="648"/>
      <c r="F447" s="577"/>
      <c r="G447" s="978"/>
      <c r="H447" s="978"/>
      <c r="I447" s="1072"/>
      <c r="J447" s="1073"/>
      <c r="K447" s="1071"/>
    </row>
    <row r="448" spans="1:12" ht="15.75" customHeight="1" x14ac:dyDescent="0.3">
      <c r="A448" s="1076" t="s">
        <v>557</v>
      </c>
      <c r="B448" s="1076"/>
      <c r="C448" s="1076"/>
      <c r="D448" s="1076"/>
      <c r="E448" s="1076"/>
      <c r="F448" s="1076"/>
      <c r="G448" s="1076"/>
      <c r="H448" s="1076"/>
      <c r="I448" s="1076"/>
      <c r="J448" s="1076"/>
      <c r="K448" s="500"/>
    </row>
    <row r="449" spans="1:13" ht="25.5" customHeight="1" x14ac:dyDescent="0.3">
      <c r="A449" s="368" t="s">
        <v>1</v>
      </c>
      <c r="B449" s="778" t="s">
        <v>15</v>
      </c>
      <c r="C449" s="778"/>
      <c r="D449" s="778"/>
      <c r="E449" s="778" t="s">
        <v>58</v>
      </c>
      <c r="F449" s="778"/>
      <c r="G449" s="778" t="s">
        <v>66</v>
      </c>
      <c r="H449" s="778"/>
      <c r="I449" s="778" t="s">
        <v>264</v>
      </c>
      <c r="J449" s="855"/>
      <c r="K449" s="500"/>
    </row>
    <row r="450" spans="1:13" ht="15" customHeight="1" x14ac:dyDescent="0.3">
      <c r="A450" s="368">
        <v>1</v>
      </c>
      <c r="B450" s="778">
        <v>2</v>
      </c>
      <c r="C450" s="778"/>
      <c r="D450" s="778"/>
      <c r="E450" s="778">
        <v>3</v>
      </c>
      <c r="F450" s="778"/>
      <c r="G450" s="778">
        <v>4</v>
      </c>
      <c r="H450" s="778"/>
      <c r="I450" s="778">
        <v>5</v>
      </c>
      <c r="J450" s="855"/>
      <c r="K450" s="500"/>
    </row>
    <row r="451" spans="1:13" ht="36.75" customHeight="1" x14ac:dyDescent="0.3">
      <c r="A451" s="456" t="s">
        <v>70</v>
      </c>
      <c r="B451" s="827" t="s">
        <v>187</v>
      </c>
      <c r="C451" s="828"/>
      <c r="D451" s="829"/>
      <c r="E451" s="1045"/>
      <c r="F451" s="1046"/>
      <c r="G451" s="1069"/>
      <c r="H451" s="1069"/>
      <c r="I451" s="997">
        <f>I452</f>
        <v>30000</v>
      </c>
      <c r="J451" s="997"/>
      <c r="K451" s="500"/>
    </row>
    <row r="452" spans="1:13" ht="15" customHeight="1" x14ac:dyDescent="0.3">
      <c r="A452" s="415" t="s">
        <v>27</v>
      </c>
      <c r="B452" s="1042" t="s">
        <v>558</v>
      </c>
      <c r="C452" s="1042"/>
      <c r="D452" s="1042"/>
      <c r="E452" s="1062"/>
      <c r="F452" s="1063"/>
      <c r="G452" s="978"/>
      <c r="H452" s="978"/>
      <c r="I452" s="1068">
        <v>30000</v>
      </c>
      <c r="J452" s="1068"/>
      <c r="K452" s="500"/>
    </row>
    <row r="453" spans="1:13" ht="15" hidden="1" customHeight="1" x14ac:dyDescent="0.3">
      <c r="A453" s="415"/>
      <c r="B453" s="820"/>
      <c r="C453" s="821"/>
      <c r="D453" s="822"/>
      <c r="E453" s="1062"/>
      <c r="F453" s="1063"/>
      <c r="G453" s="823"/>
      <c r="H453" s="824"/>
      <c r="I453" s="517"/>
      <c r="J453" s="745"/>
      <c r="K453" s="500"/>
    </row>
    <row r="454" spans="1:13" ht="17.25" customHeight="1" x14ac:dyDescent="0.3">
      <c r="A454" s="415"/>
      <c r="B454" s="847" t="s">
        <v>605</v>
      </c>
      <c r="C454" s="847"/>
      <c r="D454" s="847"/>
      <c r="E454" s="1062"/>
      <c r="F454" s="1063"/>
      <c r="G454" s="978"/>
      <c r="H454" s="978"/>
      <c r="I454" s="1081">
        <f>I399+I406+I413+I420+I427+I433+I438+I441+I451+I443+I445</f>
        <v>1250000</v>
      </c>
      <c r="J454" s="1081"/>
      <c r="K454" s="501"/>
    </row>
    <row r="455" spans="1:13" hidden="1" x14ac:dyDescent="0.3">
      <c r="A455" s="1080" t="s">
        <v>385</v>
      </c>
      <c r="B455" s="1080"/>
      <c r="C455" s="1080"/>
      <c r="D455" s="1080"/>
      <c r="E455" s="1080"/>
      <c r="F455" s="1080"/>
      <c r="G455" s="1080"/>
      <c r="H455" s="1080"/>
      <c r="I455" s="1080"/>
      <c r="J455" s="1080"/>
    </row>
    <row r="456" spans="1:13" hidden="1" x14ac:dyDescent="0.3">
      <c r="A456" s="894" t="s">
        <v>1</v>
      </c>
      <c r="B456" s="885" t="s">
        <v>15</v>
      </c>
      <c r="C456" s="886"/>
      <c r="D456" s="887"/>
      <c r="E456" s="885" t="s">
        <v>64</v>
      </c>
      <c r="F456" s="887"/>
      <c r="G456" s="778" t="s">
        <v>65</v>
      </c>
      <c r="H456" s="778"/>
      <c r="I456" s="778"/>
      <c r="J456" s="778"/>
    </row>
    <row r="457" spans="1:13" hidden="1" x14ac:dyDescent="0.3">
      <c r="A457" s="895"/>
      <c r="B457" s="888"/>
      <c r="C457" s="889"/>
      <c r="D457" s="890"/>
      <c r="E457" s="888"/>
      <c r="F457" s="890"/>
      <c r="G457" s="368" t="s">
        <v>305</v>
      </c>
      <c r="H457" s="368" t="s">
        <v>302</v>
      </c>
      <c r="I457" s="510" t="s">
        <v>303</v>
      </c>
      <c r="J457" s="738" t="s">
        <v>304</v>
      </c>
    </row>
    <row r="458" spans="1:13" hidden="1" x14ac:dyDescent="0.3">
      <c r="A458" s="368">
        <v>1</v>
      </c>
      <c r="B458" s="778">
        <v>2</v>
      </c>
      <c r="C458" s="778"/>
      <c r="D458" s="778"/>
      <c r="E458" s="855">
        <v>3</v>
      </c>
      <c r="F458" s="857"/>
      <c r="G458" s="778">
        <v>4</v>
      </c>
      <c r="H458" s="778"/>
      <c r="I458" s="778"/>
      <c r="J458" s="778"/>
    </row>
    <row r="459" spans="1:13" hidden="1" x14ac:dyDescent="0.3">
      <c r="A459" s="360" t="s">
        <v>70</v>
      </c>
      <c r="B459" s="835" t="s">
        <v>346</v>
      </c>
      <c r="C459" s="835"/>
      <c r="D459" s="835"/>
      <c r="E459" s="820">
        <v>1</v>
      </c>
      <c r="F459" s="822"/>
      <c r="G459" s="360" t="s">
        <v>306</v>
      </c>
      <c r="H459" s="360">
        <v>1</v>
      </c>
      <c r="I459" s="170"/>
      <c r="J459" s="739">
        <v>0</v>
      </c>
    </row>
    <row r="460" spans="1:13" hidden="1" x14ac:dyDescent="0.3">
      <c r="A460" s="360" t="s">
        <v>75</v>
      </c>
      <c r="B460" s="835" t="s">
        <v>347</v>
      </c>
      <c r="C460" s="835"/>
      <c r="D460" s="835"/>
      <c r="E460" s="820">
        <v>1</v>
      </c>
      <c r="F460" s="822"/>
      <c r="G460" s="360" t="s">
        <v>306</v>
      </c>
      <c r="H460" s="360">
        <v>1</v>
      </c>
      <c r="I460" s="170"/>
      <c r="J460" s="739">
        <f t="shared" ref="J460:J461" si="29">H460*I460</f>
        <v>0</v>
      </c>
    </row>
    <row r="461" spans="1:13" hidden="1" x14ac:dyDescent="0.3">
      <c r="A461" s="360" t="s">
        <v>77</v>
      </c>
      <c r="B461" s="835" t="s">
        <v>342</v>
      </c>
      <c r="C461" s="835"/>
      <c r="D461" s="835"/>
      <c r="E461" s="820">
        <v>1</v>
      </c>
      <c r="F461" s="822"/>
      <c r="G461" s="360" t="s">
        <v>306</v>
      </c>
      <c r="H461" s="168">
        <v>1</v>
      </c>
      <c r="I461" s="170"/>
      <c r="J461" s="739">
        <f t="shared" si="29"/>
        <v>0</v>
      </c>
    </row>
    <row r="462" spans="1:13" hidden="1" x14ac:dyDescent="0.3">
      <c r="A462" s="335"/>
      <c r="B462" s="851" t="s">
        <v>13</v>
      </c>
      <c r="C462" s="851"/>
      <c r="D462" s="851"/>
      <c r="E462" s="852" t="s">
        <v>14</v>
      </c>
      <c r="F462" s="853"/>
      <c r="G462" s="1064">
        <f>SUM(J459:J461)</f>
        <v>0</v>
      </c>
      <c r="H462" s="1065"/>
      <c r="I462" s="1065"/>
      <c r="J462" s="1065"/>
    </row>
    <row r="463" spans="1:13" hidden="1" x14ac:dyDescent="0.3">
      <c r="A463" s="373"/>
      <c r="B463" s="373"/>
      <c r="C463" s="373"/>
      <c r="D463" s="373"/>
      <c r="E463" s="373"/>
      <c r="F463" s="373"/>
      <c r="G463" s="373"/>
      <c r="H463" s="373"/>
      <c r="I463" s="373"/>
      <c r="J463" s="727"/>
    </row>
    <row r="464" spans="1:13" ht="32.25" customHeight="1" x14ac:dyDescent="0.3">
      <c r="A464" s="373"/>
      <c r="B464" s="373"/>
      <c r="C464" s="373"/>
      <c r="D464" s="373"/>
      <c r="E464" s="373"/>
      <c r="F464" s="373"/>
      <c r="G464" s="373"/>
      <c r="H464" s="417" t="s">
        <v>212</v>
      </c>
      <c r="I464" s="1066">
        <f>J93+I100+I116+I121+I157+I176+I187+I204+I218+G301+G348+I454+I394+I262+I353</f>
        <v>166620310.00000006</v>
      </c>
      <c r="J464" s="1066"/>
      <c r="K464" s="345">
        <f>I116+I187+I204+I218+I249+I261+G301+G348+I353+I394+I402+I416+I428+I433</f>
        <v>40018310</v>
      </c>
      <c r="L464" s="323">
        <f>I466+I467+I472</f>
        <v>138614010.00000006</v>
      </c>
      <c r="M464" s="332"/>
    </row>
    <row r="465" spans="1:13" x14ac:dyDescent="0.3">
      <c r="A465" s="373"/>
      <c r="B465" s="373"/>
      <c r="C465" s="373"/>
      <c r="D465" s="373"/>
      <c r="E465" s="373"/>
      <c r="F465" s="373"/>
      <c r="G465" s="373"/>
      <c r="H465" s="418" t="s">
        <v>248</v>
      </c>
      <c r="I465" s="373"/>
      <c r="J465" s="727"/>
    </row>
    <row r="466" spans="1:13" ht="16.8" x14ac:dyDescent="0.4">
      <c r="A466" s="373"/>
      <c r="B466" s="373"/>
      <c r="C466" s="373"/>
      <c r="D466" s="373"/>
      <c r="E466" s="373"/>
      <c r="F466" s="373"/>
      <c r="G466" s="373"/>
      <c r="H466" s="418" t="s">
        <v>82</v>
      </c>
      <c r="I466" s="1067">
        <f>I107+I108+I110+I182+I183+I186+I202+I211+I249+I261+G301+J306+I399+I416+I428+I433</f>
        <v>8146730</v>
      </c>
      <c r="J466" s="1067"/>
      <c r="L466" s="332"/>
      <c r="M466" s="332"/>
    </row>
    <row r="467" spans="1:13" ht="16.8" x14ac:dyDescent="0.4">
      <c r="A467" s="373"/>
      <c r="B467" s="373"/>
      <c r="C467" s="373"/>
      <c r="D467" s="373"/>
      <c r="E467" s="373"/>
      <c r="F467" s="373"/>
      <c r="G467" s="373"/>
      <c r="H467" s="418" t="s">
        <v>249</v>
      </c>
      <c r="I467" s="1029">
        <f>J72+I99+I138+I217+I359+I438+I451+J336+I98</f>
        <v>130177000.00000006</v>
      </c>
      <c r="J467" s="1029"/>
      <c r="L467" s="332"/>
    </row>
    <row r="468" spans="1:13" ht="16.8" x14ac:dyDescent="0.4">
      <c r="A468" s="373"/>
      <c r="B468" s="373"/>
      <c r="C468" s="373"/>
      <c r="D468" s="373"/>
      <c r="E468" s="373"/>
      <c r="F468" s="373"/>
      <c r="G468" s="373"/>
      <c r="H468" s="418" t="s">
        <v>792</v>
      </c>
      <c r="I468" s="1029">
        <f>J333+I176+J334+J335</f>
        <v>22392400</v>
      </c>
      <c r="J468" s="1029"/>
      <c r="L468" s="173">
        <f>2401741+15643600+2935418</f>
        <v>20980759</v>
      </c>
      <c r="M468" s="323">
        <f>L468-I468</f>
        <v>-1411641</v>
      </c>
    </row>
    <row r="469" spans="1:13" ht="16.8" x14ac:dyDescent="0.4">
      <c r="A469" s="373"/>
      <c r="B469" s="373"/>
      <c r="C469" s="373"/>
      <c r="D469" s="373"/>
      <c r="E469" s="373"/>
      <c r="F469" s="373"/>
      <c r="G469" s="373"/>
      <c r="H469" s="418" t="s">
        <v>561</v>
      </c>
      <c r="I469" s="1029">
        <f>I155+I203+J346+I442+I114+J74</f>
        <v>0</v>
      </c>
      <c r="J469" s="1029"/>
      <c r="K469" s="345"/>
      <c r="L469" s="323"/>
    </row>
    <row r="470" spans="1:13" ht="16.8" x14ac:dyDescent="0.4">
      <c r="A470" s="373"/>
      <c r="B470" s="373"/>
      <c r="C470" s="373"/>
      <c r="D470" s="373"/>
      <c r="E470" s="373"/>
      <c r="F470" s="373"/>
      <c r="G470" s="373"/>
      <c r="H470" s="418" t="s">
        <v>562</v>
      </c>
      <c r="I470" s="1029">
        <f>J344</f>
        <v>0</v>
      </c>
      <c r="J470" s="1029"/>
      <c r="L470" s="323"/>
    </row>
    <row r="471" spans="1:13" ht="16.8" x14ac:dyDescent="0.4">
      <c r="A471" s="373"/>
      <c r="B471" s="373"/>
      <c r="C471" s="373"/>
      <c r="D471" s="373"/>
      <c r="E471" s="373"/>
      <c r="F471" s="373"/>
      <c r="G471" s="373"/>
      <c r="H471" s="418" t="s">
        <v>563</v>
      </c>
      <c r="I471" s="1029">
        <f>J345</f>
        <v>0</v>
      </c>
      <c r="J471" s="1029"/>
    </row>
    <row r="472" spans="1:13" ht="16.8" x14ac:dyDescent="0.4">
      <c r="A472" s="373"/>
      <c r="B472" s="373"/>
      <c r="C472" s="373"/>
      <c r="D472" s="373"/>
      <c r="E472" s="373"/>
      <c r="F472" s="373"/>
      <c r="G472" s="373"/>
      <c r="H472" s="418" t="s">
        <v>565</v>
      </c>
      <c r="I472" s="1029">
        <f>J341+I443+J73+I115+I156+I380</f>
        <v>290280</v>
      </c>
      <c r="J472" s="1029"/>
    </row>
    <row r="473" spans="1:13" ht="16.8" x14ac:dyDescent="0.4">
      <c r="A473" s="373"/>
      <c r="B473" s="373"/>
      <c r="C473" s="373"/>
      <c r="D473" s="373"/>
      <c r="E473" s="373"/>
      <c r="F473" s="373"/>
      <c r="G473" s="373"/>
      <c r="H473" s="418" t="s">
        <v>564</v>
      </c>
      <c r="I473" s="1029">
        <f>J92+I154</f>
        <v>250000</v>
      </c>
      <c r="J473" s="1029"/>
    </row>
    <row r="474" spans="1:13" ht="15" customHeight="1" x14ac:dyDescent="0.4">
      <c r="A474" s="373"/>
      <c r="B474" s="373"/>
      <c r="C474" s="373"/>
      <c r="D474" s="373"/>
      <c r="E474" s="373"/>
      <c r="F474" s="373"/>
      <c r="G474" s="373"/>
      <c r="H474" s="418" t="s">
        <v>595</v>
      </c>
      <c r="I474" s="1029">
        <f>J328</f>
        <v>5363900</v>
      </c>
      <c r="J474" s="1029"/>
      <c r="L474" s="323">
        <f>I474+I468</f>
        <v>27756300</v>
      </c>
    </row>
    <row r="475" spans="1:13" x14ac:dyDescent="0.3">
      <c r="A475" s="373"/>
      <c r="B475" s="373"/>
      <c r="C475" s="373"/>
      <c r="D475" s="373"/>
      <c r="E475" s="373"/>
      <c r="F475" s="373"/>
      <c r="G475" s="373"/>
      <c r="H475" s="418" t="s">
        <v>616</v>
      </c>
      <c r="I475" s="1039">
        <v>0</v>
      </c>
      <c r="J475" s="1040"/>
    </row>
    <row r="476" spans="1:13" ht="8.25" customHeight="1" x14ac:dyDescent="0.3">
      <c r="A476" s="373"/>
      <c r="B476" s="373"/>
      <c r="C476" s="373"/>
      <c r="D476" s="373"/>
      <c r="E476" s="373"/>
      <c r="F476" s="1030"/>
      <c r="G476" s="1030"/>
      <c r="H476" s="1030"/>
      <c r="I476" s="419"/>
      <c r="J476" s="746"/>
    </row>
    <row r="477" spans="1:13" x14ac:dyDescent="0.3">
      <c r="A477" s="373"/>
      <c r="B477" s="373"/>
      <c r="C477" s="373"/>
      <c r="D477" s="373"/>
      <c r="E477" s="373"/>
      <c r="F477" s="1030"/>
      <c r="G477" s="1030"/>
      <c r="H477" s="1030"/>
      <c r="I477" s="419"/>
      <c r="J477" s="746"/>
    </row>
    <row r="478" spans="1:13" x14ac:dyDescent="0.3">
      <c r="A478" s="1031"/>
      <c r="B478" s="1031"/>
      <c r="C478" s="1031"/>
      <c r="D478" s="427"/>
      <c r="E478" s="427"/>
      <c r="F478" s="1030"/>
      <c r="G478" s="1030"/>
      <c r="H478" s="1030"/>
      <c r="I478" s="428"/>
      <c r="J478" s="747"/>
    </row>
    <row r="479" spans="1:13" x14ac:dyDescent="0.3">
      <c r="A479" s="430"/>
      <c r="B479" s="430"/>
      <c r="C479" s="430"/>
      <c r="D479" s="1022"/>
      <c r="E479" s="1022"/>
      <c r="F479" s="1023"/>
      <c r="G479" s="1023"/>
      <c r="H479" s="1023"/>
      <c r="I479" s="1023"/>
      <c r="J479" s="748"/>
    </row>
    <row r="480" spans="1:13" x14ac:dyDescent="0.3">
      <c r="A480" s="1024" t="s">
        <v>211</v>
      </c>
      <c r="B480" s="1024"/>
      <c r="C480" s="1024"/>
      <c r="D480" s="432"/>
      <c r="E480" s="432"/>
      <c r="F480" s="433" t="s">
        <v>471</v>
      </c>
      <c r="G480" s="433"/>
      <c r="H480" s="433"/>
      <c r="I480" s="433"/>
      <c r="J480" s="749"/>
      <c r="L480" s="323">
        <f>I468+I474</f>
        <v>27756300</v>
      </c>
    </row>
    <row r="481" spans="1:10" x14ac:dyDescent="0.3">
      <c r="A481" s="536"/>
      <c r="B481" s="536"/>
      <c r="C481" s="536"/>
      <c r="D481" s="1025" t="s">
        <v>279</v>
      </c>
      <c r="E481" s="1025"/>
      <c r="F481" s="1026" t="s">
        <v>280</v>
      </c>
      <c r="G481" s="1026"/>
      <c r="H481" s="1026"/>
      <c r="I481" s="1026"/>
      <c r="J481" s="748"/>
    </row>
    <row r="482" spans="1:10" x14ac:dyDescent="0.3">
      <c r="A482" s="1024" t="s">
        <v>470</v>
      </c>
      <c r="B482" s="1024"/>
      <c r="C482" s="1024"/>
      <c r="D482" s="432"/>
      <c r="E482" s="432"/>
      <c r="F482" s="433" t="s">
        <v>472</v>
      </c>
      <c r="G482" s="433"/>
      <c r="H482" s="433"/>
      <c r="I482" s="433"/>
      <c r="J482" s="749"/>
    </row>
    <row r="483" spans="1:10" x14ac:dyDescent="0.3">
      <c r="A483" s="431"/>
      <c r="B483" s="431"/>
      <c r="C483" s="431"/>
      <c r="D483" s="1028" t="s">
        <v>279</v>
      </c>
      <c r="E483" s="1028"/>
      <c r="F483" s="1038" t="s">
        <v>280</v>
      </c>
      <c r="G483" s="1038"/>
      <c r="H483" s="1038"/>
      <c r="I483" s="1038"/>
      <c r="J483" s="748"/>
    </row>
    <row r="484" spans="1:10" x14ac:dyDescent="0.3">
      <c r="A484" s="431"/>
      <c r="B484" s="431"/>
      <c r="C484" s="431"/>
      <c r="D484" s="431"/>
      <c r="E484" s="431"/>
      <c r="F484" s="431"/>
      <c r="G484" s="425"/>
      <c r="H484" s="425"/>
      <c r="I484" s="425"/>
      <c r="J484" s="748"/>
    </row>
    <row r="485" spans="1:10" x14ac:dyDescent="0.3">
      <c r="A485" s="1027" t="s">
        <v>473</v>
      </c>
      <c r="B485" s="1027"/>
      <c r="C485" s="431"/>
      <c r="D485" s="431"/>
      <c r="E485" s="431"/>
      <c r="F485" s="431"/>
      <c r="G485" s="425"/>
      <c r="H485" s="425"/>
      <c r="I485" s="425"/>
      <c r="J485" s="748"/>
    </row>
    <row r="486" spans="1:10" x14ac:dyDescent="0.3">
      <c r="A486" s="431"/>
      <c r="B486" s="431"/>
      <c r="C486" s="431"/>
      <c r="D486" s="431"/>
      <c r="E486" s="431"/>
      <c r="F486" s="431"/>
      <c r="G486" s="425"/>
      <c r="H486" s="425"/>
      <c r="I486" s="425"/>
      <c r="J486" s="748"/>
    </row>
    <row r="487" spans="1:10" x14ac:dyDescent="0.3">
      <c r="A487" s="1021"/>
      <c r="B487" s="1021"/>
      <c r="C487" s="431"/>
      <c r="D487" s="431"/>
      <c r="E487" s="431"/>
      <c r="F487" s="431"/>
      <c r="G487" s="425"/>
      <c r="H487" s="425"/>
      <c r="I487" s="425"/>
      <c r="J487" s="748"/>
    </row>
  </sheetData>
  <mergeCells count="1063">
    <mergeCell ref="A70:I70"/>
    <mergeCell ref="K418:K419"/>
    <mergeCell ref="K420:K422"/>
    <mergeCell ref="I418:J418"/>
    <mergeCell ref="E419:F419"/>
    <mergeCell ref="G420:H420"/>
    <mergeCell ref="I355:J355"/>
    <mergeCell ref="G359:H359"/>
    <mergeCell ref="I359:J359"/>
    <mergeCell ref="G360:H360"/>
    <mergeCell ref="I361:J361"/>
    <mergeCell ref="G369:H369"/>
    <mergeCell ref="G370:H370"/>
    <mergeCell ref="G377:H377"/>
    <mergeCell ref="I362:J362"/>
    <mergeCell ref="I386:J386"/>
    <mergeCell ref="G387:H387"/>
    <mergeCell ref="I374:J374"/>
    <mergeCell ref="I364:J364"/>
    <mergeCell ref="I382:J382"/>
    <mergeCell ref="I377:J377"/>
    <mergeCell ref="G368:H368"/>
    <mergeCell ref="G382:H382"/>
    <mergeCell ref="G383:H383"/>
    <mergeCell ref="B399:D399"/>
    <mergeCell ref="I412:J412"/>
    <mergeCell ref="B407:D407"/>
    <mergeCell ref="G405:H405"/>
    <mergeCell ref="I405:J405"/>
    <mergeCell ref="G378:H378"/>
    <mergeCell ref="K397:K398"/>
    <mergeCell ref="K303:K306"/>
    <mergeCell ref="A71:I71"/>
    <mergeCell ref="E397:F397"/>
    <mergeCell ref="I399:J399"/>
    <mergeCell ref="G398:H398"/>
    <mergeCell ref="B391:D391"/>
    <mergeCell ref="K275:K276"/>
    <mergeCell ref="K280:K281"/>
    <mergeCell ref="E346:F346"/>
    <mergeCell ref="B385:D385"/>
    <mergeCell ref="I439:J439"/>
    <mergeCell ref="G432:H432"/>
    <mergeCell ref="G435:H435"/>
    <mergeCell ref="I432:J432"/>
    <mergeCell ref="B436:D436"/>
    <mergeCell ref="I436:J436"/>
    <mergeCell ref="B432:D432"/>
    <mergeCell ref="G423:H423"/>
    <mergeCell ref="B438:D438"/>
    <mergeCell ref="I423:J423"/>
    <mergeCell ref="I425:J425"/>
    <mergeCell ref="I408:J408"/>
    <mergeCell ref="E398:F398"/>
    <mergeCell ref="K270:K272"/>
    <mergeCell ref="K251:K252"/>
    <mergeCell ref="K253:K255"/>
    <mergeCell ref="K257:K260"/>
    <mergeCell ref="A354:J354"/>
    <mergeCell ref="G379:H379"/>
    <mergeCell ref="B405:D405"/>
    <mergeCell ref="I379:J379"/>
    <mergeCell ref="E366:F366"/>
    <mergeCell ref="B361:D361"/>
    <mergeCell ref="I469:J469"/>
    <mergeCell ref="I470:J470"/>
    <mergeCell ref="A455:J455"/>
    <mergeCell ref="E460:F460"/>
    <mergeCell ref="B461:D461"/>
    <mergeCell ref="I454:J454"/>
    <mergeCell ref="B439:D439"/>
    <mergeCell ref="G439:H439"/>
    <mergeCell ref="A430:J430"/>
    <mergeCell ref="B431:D431"/>
    <mergeCell ref="I429:J429"/>
    <mergeCell ref="I390:J390"/>
    <mergeCell ref="E405:F405"/>
    <mergeCell ref="B394:D394"/>
    <mergeCell ref="B398:D398"/>
    <mergeCell ref="E402:F402"/>
    <mergeCell ref="G401:H401"/>
    <mergeCell ref="E426:F426"/>
    <mergeCell ref="E411:F411"/>
    <mergeCell ref="E452:F452"/>
    <mergeCell ref="B443:D443"/>
    <mergeCell ref="I428:J428"/>
    <mergeCell ref="G425:H425"/>
    <mergeCell ref="B426:D426"/>
    <mergeCell ref="G438:H438"/>
    <mergeCell ref="B437:D437"/>
    <mergeCell ref="G437:H437"/>
    <mergeCell ref="I437:J437"/>
    <mergeCell ref="E432:F432"/>
    <mergeCell ref="B433:D433"/>
    <mergeCell ref="G433:H433"/>
    <mergeCell ref="I433:J433"/>
    <mergeCell ref="E412:F412"/>
    <mergeCell ref="A396:J396"/>
    <mergeCell ref="B397:D397"/>
    <mergeCell ref="B415:D415"/>
    <mergeCell ref="G416:H416"/>
    <mergeCell ref="I416:J416"/>
    <mergeCell ref="B413:D413"/>
    <mergeCell ref="G413:H413"/>
    <mergeCell ref="B414:D414"/>
    <mergeCell ref="G384:H384"/>
    <mergeCell ref="E383:F383"/>
    <mergeCell ref="I368:J368"/>
    <mergeCell ref="B392:D392"/>
    <mergeCell ref="B390:D390"/>
    <mergeCell ref="I397:J397"/>
    <mergeCell ref="I404:J404"/>
    <mergeCell ref="A403:J403"/>
    <mergeCell ref="B381:D381"/>
    <mergeCell ref="G386:H386"/>
    <mergeCell ref="I381:J381"/>
    <mergeCell ref="B409:D409"/>
    <mergeCell ref="E409:F409"/>
    <mergeCell ref="I406:J406"/>
    <mergeCell ref="I365:J365"/>
    <mergeCell ref="B380:D380"/>
    <mergeCell ref="I392:J392"/>
    <mergeCell ref="B377:D377"/>
    <mergeCell ref="I367:J367"/>
    <mergeCell ref="I447:J447"/>
    <mergeCell ref="G447:H447"/>
    <mergeCell ref="B445:D445"/>
    <mergeCell ref="G445:H445"/>
    <mergeCell ref="E431:F431"/>
    <mergeCell ref="G431:H431"/>
    <mergeCell ref="B434:D434"/>
    <mergeCell ref="I442:J442"/>
    <mergeCell ref="B444:D444"/>
    <mergeCell ref="G444:H444"/>
    <mergeCell ref="B429:D429"/>
    <mergeCell ref="I440:J440"/>
    <mergeCell ref="I435:J435"/>
    <mergeCell ref="B440:D440"/>
    <mergeCell ref="G440:H440"/>
    <mergeCell ref="B406:D406"/>
    <mergeCell ref="G406:H406"/>
    <mergeCell ref="G408:H408"/>
    <mergeCell ref="G414:H414"/>
    <mergeCell ref="B420:D420"/>
    <mergeCell ref="E423:F423"/>
    <mergeCell ref="B423:D423"/>
    <mergeCell ref="A410:J410"/>
    <mergeCell ref="I422:J422"/>
    <mergeCell ref="G443:H443"/>
    <mergeCell ref="I443:J443"/>
    <mergeCell ref="B447:D447"/>
    <mergeCell ref="E458:F458"/>
    <mergeCell ref="I452:J452"/>
    <mergeCell ref="E454:F454"/>
    <mergeCell ref="E453:F453"/>
    <mergeCell ref="G449:H449"/>
    <mergeCell ref="I468:J468"/>
    <mergeCell ref="E459:F459"/>
    <mergeCell ref="E456:F457"/>
    <mergeCell ref="B458:D458"/>
    <mergeCell ref="B449:D449"/>
    <mergeCell ref="E449:F449"/>
    <mergeCell ref="G451:H451"/>
    <mergeCell ref="K431:K432"/>
    <mergeCell ref="K433:K447"/>
    <mergeCell ref="K425:K426"/>
    <mergeCell ref="K427:K429"/>
    <mergeCell ref="I445:J445"/>
    <mergeCell ref="B446:D446"/>
    <mergeCell ref="G446:H446"/>
    <mergeCell ref="I446:J446"/>
    <mergeCell ref="B451:D451"/>
    <mergeCell ref="B452:D452"/>
    <mergeCell ref="G452:H452"/>
    <mergeCell ref="I451:J451"/>
    <mergeCell ref="G429:H429"/>
    <mergeCell ref="B441:D441"/>
    <mergeCell ref="E441:F441"/>
    <mergeCell ref="I441:J441"/>
    <mergeCell ref="G441:H441"/>
    <mergeCell ref="G442:H442"/>
    <mergeCell ref="B442:D442"/>
    <mergeCell ref="A448:J448"/>
    <mergeCell ref="I353:J353"/>
    <mergeCell ref="I393:J393"/>
    <mergeCell ref="B379:D379"/>
    <mergeCell ref="B358:D358"/>
    <mergeCell ref="I357:J357"/>
    <mergeCell ref="I471:J471"/>
    <mergeCell ref="I472:J472"/>
    <mergeCell ref="I473:J473"/>
    <mergeCell ref="I449:J449"/>
    <mergeCell ref="B450:D450"/>
    <mergeCell ref="E450:F450"/>
    <mergeCell ref="G450:H450"/>
    <mergeCell ref="I450:J450"/>
    <mergeCell ref="B453:D453"/>
    <mergeCell ref="G453:H453"/>
    <mergeCell ref="I467:J467"/>
    <mergeCell ref="B462:D462"/>
    <mergeCell ref="E462:F462"/>
    <mergeCell ref="G462:J462"/>
    <mergeCell ref="I464:J464"/>
    <mergeCell ref="I466:J466"/>
    <mergeCell ref="G456:J456"/>
    <mergeCell ref="G458:J458"/>
    <mergeCell ref="B454:D454"/>
    <mergeCell ref="I358:J358"/>
    <mergeCell ref="G391:H391"/>
    <mergeCell ref="G454:H454"/>
    <mergeCell ref="G376:H376"/>
    <mergeCell ref="I373:J373"/>
    <mergeCell ref="B374:D374"/>
    <mergeCell ref="B373:D373"/>
    <mergeCell ref="B384:D384"/>
    <mergeCell ref="F280:F281"/>
    <mergeCell ref="G280:G281"/>
    <mergeCell ref="H280:H281"/>
    <mergeCell ref="I280:I281"/>
    <mergeCell ref="J280:J281"/>
    <mergeCell ref="I370:J370"/>
    <mergeCell ref="E357:F357"/>
    <mergeCell ref="G371:H371"/>
    <mergeCell ref="B339:D339"/>
    <mergeCell ref="E339:F339"/>
    <mergeCell ref="B356:D356"/>
    <mergeCell ref="B342:D342"/>
    <mergeCell ref="E337:F337"/>
    <mergeCell ref="G348:J348"/>
    <mergeCell ref="E332:F332"/>
    <mergeCell ref="B333:D333"/>
    <mergeCell ref="B345:D345"/>
    <mergeCell ref="B346:D346"/>
    <mergeCell ref="B291:D291"/>
    <mergeCell ref="G362:H362"/>
    <mergeCell ref="G364:H364"/>
    <mergeCell ref="G353:H353"/>
    <mergeCell ref="B335:D335"/>
    <mergeCell ref="B340:D340"/>
    <mergeCell ref="B325:D325"/>
    <mergeCell ref="G352:H352"/>
    <mergeCell ref="E344:F344"/>
    <mergeCell ref="B343:D343"/>
    <mergeCell ref="B344:D344"/>
    <mergeCell ref="E347:F347"/>
    <mergeCell ref="I350:J350"/>
    <mergeCell ref="G351:H351"/>
    <mergeCell ref="A303:A304"/>
    <mergeCell ref="B303:D304"/>
    <mergeCell ref="E303:F304"/>
    <mergeCell ref="B306:D306"/>
    <mergeCell ref="E310:F310"/>
    <mergeCell ref="B328:D328"/>
    <mergeCell ref="B308:D308"/>
    <mergeCell ref="E308:F308"/>
    <mergeCell ref="B310:D310"/>
    <mergeCell ref="B307:D307"/>
    <mergeCell ref="E322:F322"/>
    <mergeCell ref="B313:D313"/>
    <mergeCell ref="B316:D316"/>
    <mergeCell ref="E311:F311"/>
    <mergeCell ref="B312:D312"/>
    <mergeCell ref="G303:J303"/>
    <mergeCell ref="B352:D352"/>
    <mergeCell ref="E352:F352"/>
    <mergeCell ref="E345:F345"/>
    <mergeCell ref="B341:D341"/>
    <mergeCell ref="E333:F333"/>
    <mergeCell ref="B337:D337"/>
    <mergeCell ref="E327:F327"/>
    <mergeCell ref="E323:F323"/>
    <mergeCell ref="I351:J351"/>
    <mergeCell ref="E340:F340"/>
    <mergeCell ref="A196:J196"/>
    <mergeCell ref="B166:D166"/>
    <mergeCell ref="B209:D209"/>
    <mergeCell ref="B201:D201"/>
    <mergeCell ref="G184:H184"/>
    <mergeCell ref="B185:D185"/>
    <mergeCell ref="E184:F184"/>
    <mergeCell ref="E162:F162"/>
    <mergeCell ref="B181:D181"/>
    <mergeCell ref="E180:F180"/>
    <mergeCell ref="G181:H181"/>
    <mergeCell ref="I181:J181"/>
    <mergeCell ref="E164:F164"/>
    <mergeCell ref="I152:J152"/>
    <mergeCell ref="E201:F201"/>
    <mergeCell ref="E175:F175"/>
    <mergeCell ref="G175:H175"/>
    <mergeCell ref="A189:J189"/>
    <mergeCell ref="B192:D192"/>
    <mergeCell ref="E192:F192"/>
    <mergeCell ref="G192:H192"/>
    <mergeCell ref="I192:J192"/>
    <mergeCell ref="G164:H164"/>
    <mergeCell ref="I164:J164"/>
    <mergeCell ref="G180:H180"/>
    <mergeCell ref="I180:J180"/>
    <mergeCell ref="I155:J155"/>
    <mergeCell ref="B202:D202"/>
    <mergeCell ref="B173:D173"/>
    <mergeCell ref="E182:F182"/>
    <mergeCell ref="I184:J184"/>
    <mergeCell ref="I157:J157"/>
    <mergeCell ref="B214:D214"/>
    <mergeCell ref="B323:D323"/>
    <mergeCell ref="G214:H214"/>
    <mergeCell ref="I214:J214"/>
    <mergeCell ref="I203:J203"/>
    <mergeCell ref="G211:H211"/>
    <mergeCell ref="I211:J211"/>
    <mergeCell ref="B211:D211"/>
    <mergeCell ref="B215:D215"/>
    <mergeCell ref="I218:J218"/>
    <mergeCell ref="B266:D266"/>
    <mergeCell ref="J275:J276"/>
    <mergeCell ref="G266:H266"/>
    <mergeCell ref="E264:F264"/>
    <mergeCell ref="E270:E271"/>
    <mergeCell ref="F270:F271"/>
    <mergeCell ref="B285:D285"/>
    <mergeCell ref="B286:D286"/>
    <mergeCell ref="B288:D288"/>
    <mergeCell ref="I267:J267"/>
    <mergeCell ref="G272:J272"/>
    <mergeCell ref="B210:D210"/>
    <mergeCell ref="B224:D224"/>
    <mergeCell ref="E224:F224"/>
    <mergeCell ref="I222:J222"/>
    <mergeCell ref="B223:D223"/>
    <mergeCell ref="E223:F223"/>
    <mergeCell ref="E204:F204"/>
    <mergeCell ref="G204:H204"/>
    <mergeCell ref="A205:J205"/>
    <mergeCell ref="A208:J208"/>
    <mergeCell ref="B300:D300"/>
    <mergeCell ref="B218:D218"/>
    <mergeCell ref="B212:D212"/>
    <mergeCell ref="G212:H212"/>
    <mergeCell ref="I212:J212"/>
    <mergeCell ref="B213:D213"/>
    <mergeCell ref="G213:H213"/>
    <mergeCell ref="I213:J213"/>
    <mergeCell ref="B200:D200"/>
    <mergeCell ref="I148:J148"/>
    <mergeCell ref="B149:F149"/>
    <mergeCell ref="E195:F195"/>
    <mergeCell ref="G195:H195"/>
    <mergeCell ref="I260:J260"/>
    <mergeCell ref="B273:D273"/>
    <mergeCell ref="B279:D279"/>
    <mergeCell ref="B253:D253"/>
    <mergeCell ref="F253:G253"/>
    <mergeCell ref="B254:D254"/>
    <mergeCell ref="F254:G254"/>
    <mergeCell ref="I186:J186"/>
    <mergeCell ref="B203:D203"/>
    <mergeCell ref="E203:F203"/>
    <mergeCell ref="G203:H203"/>
    <mergeCell ref="B222:D222"/>
    <mergeCell ref="A188:J188"/>
    <mergeCell ref="G223:H223"/>
    <mergeCell ref="B221:D221"/>
    <mergeCell ref="E221:F221"/>
    <mergeCell ref="G221:H221"/>
    <mergeCell ref="I221:J221"/>
    <mergeCell ref="I224:J224"/>
    <mergeCell ref="G218:H218"/>
    <mergeCell ref="A220:J220"/>
    <mergeCell ref="B216:D216"/>
    <mergeCell ref="G216:H216"/>
    <mergeCell ref="I216:J216"/>
    <mergeCell ref="I215:J215"/>
    <mergeCell ref="G215:H215"/>
    <mergeCell ref="B187:D187"/>
    <mergeCell ref="I431:J431"/>
    <mergeCell ref="B416:D416"/>
    <mergeCell ref="E416:F416"/>
    <mergeCell ref="B422:D422"/>
    <mergeCell ref="E418:F418"/>
    <mergeCell ref="I444:J444"/>
    <mergeCell ref="E443:F443"/>
    <mergeCell ref="E451:F451"/>
    <mergeCell ref="I438:J438"/>
    <mergeCell ref="B382:D382"/>
    <mergeCell ref="B383:D383"/>
    <mergeCell ref="G389:H389"/>
    <mergeCell ref="I389:J389"/>
    <mergeCell ref="G394:H394"/>
    <mergeCell ref="I385:J385"/>
    <mergeCell ref="I387:J387"/>
    <mergeCell ref="G392:H392"/>
    <mergeCell ref="G393:H393"/>
    <mergeCell ref="G434:H434"/>
    <mergeCell ref="B412:D412"/>
    <mergeCell ref="G412:H412"/>
    <mergeCell ref="G399:H399"/>
    <mergeCell ref="I434:J434"/>
    <mergeCell ref="B435:D435"/>
    <mergeCell ref="B428:D428"/>
    <mergeCell ref="F483:I483"/>
    <mergeCell ref="I475:J475"/>
    <mergeCell ref="B372:D372"/>
    <mergeCell ref="G372:H372"/>
    <mergeCell ref="I384:J384"/>
    <mergeCell ref="G385:H385"/>
    <mergeCell ref="B366:D366"/>
    <mergeCell ref="G366:H366"/>
    <mergeCell ref="G397:H397"/>
    <mergeCell ref="B401:D401"/>
    <mergeCell ref="G390:H390"/>
    <mergeCell ref="G381:H381"/>
    <mergeCell ref="I394:J394"/>
    <mergeCell ref="B386:D386"/>
    <mergeCell ref="B387:D387"/>
    <mergeCell ref="B411:D411"/>
    <mergeCell ref="B402:D402"/>
    <mergeCell ref="I419:J419"/>
    <mergeCell ref="G380:H380"/>
    <mergeCell ref="G418:H418"/>
    <mergeCell ref="B421:D421"/>
    <mergeCell ref="I420:J420"/>
    <mergeCell ref="I411:J411"/>
    <mergeCell ref="I413:J413"/>
    <mergeCell ref="G400:H400"/>
    <mergeCell ref="B393:D393"/>
    <mergeCell ref="G411:H411"/>
    <mergeCell ref="I383:J383"/>
    <mergeCell ref="G436:H436"/>
    <mergeCell ref="I400:J400"/>
    <mergeCell ref="E382:F382"/>
    <mergeCell ref="G388:H388"/>
    <mergeCell ref="B180:D180"/>
    <mergeCell ref="E166:F166"/>
    <mergeCell ref="A168:J168"/>
    <mergeCell ref="I153:J153"/>
    <mergeCell ref="I156:J156"/>
    <mergeCell ref="G148:H148"/>
    <mergeCell ref="G150:H150"/>
    <mergeCell ref="B144:F144"/>
    <mergeCell ref="B153:F153"/>
    <mergeCell ref="I149:J149"/>
    <mergeCell ref="B155:F155"/>
    <mergeCell ref="B182:C183"/>
    <mergeCell ref="B147:F147"/>
    <mergeCell ref="G153:H153"/>
    <mergeCell ref="I171:J171"/>
    <mergeCell ref="G172:H172"/>
    <mergeCell ref="E176:F176"/>
    <mergeCell ref="I154:J154"/>
    <mergeCell ref="B174:D174"/>
    <mergeCell ref="B175:D175"/>
    <mergeCell ref="B150:F150"/>
    <mergeCell ref="I145:J145"/>
    <mergeCell ref="G149:H149"/>
    <mergeCell ref="B165:D165"/>
    <mergeCell ref="E165:F165"/>
    <mergeCell ref="A177:J177"/>
    <mergeCell ref="E163:F163"/>
    <mergeCell ref="B172:D172"/>
    <mergeCell ref="I150:J150"/>
    <mergeCell ref="B151:F151"/>
    <mergeCell ref="G151:H151"/>
    <mergeCell ref="I151:J151"/>
    <mergeCell ref="A487:B487"/>
    <mergeCell ref="D479:E479"/>
    <mergeCell ref="F479:I479"/>
    <mergeCell ref="A480:C480"/>
    <mergeCell ref="D481:E481"/>
    <mergeCell ref="F481:I481"/>
    <mergeCell ref="A482:C482"/>
    <mergeCell ref="A485:B485"/>
    <mergeCell ref="I414:J414"/>
    <mergeCell ref="G415:H415"/>
    <mergeCell ref="I415:J415"/>
    <mergeCell ref="G421:H421"/>
    <mergeCell ref="I421:J421"/>
    <mergeCell ref="A424:J424"/>
    <mergeCell ref="B425:D425"/>
    <mergeCell ref="E425:F425"/>
    <mergeCell ref="B460:D460"/>
    <mergeCell ref="D483:E483"/>
    <mergeCell ref="E461:F461"/>
    <mergeCell ref="A456:A457"/>
    <mergeCell ref="B456:D457"/>
    <mergeCell ref="G426:H426"/>
    <mergeCell ref="I426:J426"/>
    <mergeCell ref="I474:J474"/>
    <mergeCell ref="F476:H476"/>
    <mergeCell ref="F477:H477"/>
    <mergeCell ref="F478:H478"/>
    <mergeCell ref="A478:C478"/>
    <mergeCell ref="B459:D459"/>
    <mergeCell ref="B427:D427"/>
    <mergeCell ref="G422:H422"/>
    <mergeCell ref="A417:J417"/>
    <mergeCell ref="I360:J360"/>
    <mergeCell ref="G428:H428"/>
    <mergeCell ref="G427:H427"/>
    <mergeCell ref="I427:J427"/>
    <mergeCell ref="B418:D418"/>
    <mergeCell ref="B137:F137"/>
    <mergeCell ref="G137:H137"/>
    <mergeCell ref="I137:J137"/>
    <mergeCell ref="B138:F138"/>
    <mergeCell ref="G140:H140"/>
    <mergeCell ref="B139:F139"/>
    <mergeCell ref="G139:H139"/>
    <mergeCell ref="B193:D193"/>
    <mergeCell ref="I141:J141"/>
    <mergeCell ref="I147:J147"/>
    <mergeCell ref="B142:F142"/>
    <mergeCell ref="G142:H142"/>
    <mergeCell ref="I142:J142"/>
    <mergeCell ref="B143:F143"/>
    <mergeCell ref="G143:H143"/>
    <mergeCell ref="I146:J146"/>
    <mergeCell ref="E185:F185"/>
    <mergeCell ref="G185:H185"/>
    <mergeCell ref="I185:J185"/>
    <mergeCell ref="B171:D171"/>
    <mergeCell ref="E171:F171"/>
    <mergeCell ref="G171:H171"/>
    <mergeCell ref="I139:J139"/>
    <mergeCell ref="I175:J175"/>
    <mergeCell ref="E172:F172"/>
    <mergeCell ref="B157:F157"/>
    <mergeCell ref="G157:H157"/>
    <mergeCell ref="B360:D360"/>
    <mergeCell ref="B404:D404"/>
    <mergeCell ref="E404:F404"/>
    <mergeCell ref="B419:D419"/>
    <mergeCell ref="G419:H419"/>
    <mergeCell ref="E394:F394"/>
    <mergeCell ref="I398:J398"/>
    <mergeCell ref="G407:H407"/>
    <mergeCell ref="G404:H404"/>
    <mergeCell ref="I407:J407"/>
    <mergeCell ref="G409:H409"/>
    <mergeCell ref="A395:J395"/>
    <mergeCell ref="I366:J366"/>
    <mergeCell ref="G402:H402"/>
    <mergeCell ref="I402:J402"/>
    <mergeCell ref="I409:J409"/>
    <mergeCell ref="B408:D408"/>
    <mergeCell ref="I371:J371"/>
    <mergeCell ref="I372:J372"/>
    <mergeCell ref="G365:H365"/>
    <mergeCell ref="B363:D363"/>
    <mergeCell ref="I375:J375"/>
    <mergeCell ref="I376:J376"/>
    <mergeCell ref="I391:J391"/>
    <mergeCell ref="I388:J388"/>
    <mergeCell ref="I378:J378"/>
    <mergeCell ref="G373:H373"/>
    <mergeCell ref="B368:D368"/>
    <mergeCell ref="B367:D367"/>
    <mergeCell ref="G367:H367"/>
    <mergeCell ref="B365:D365"/>
    <mergeCell ref="G375:H375"/>
    <mergeCell ref="E355:F355"/>
    <mergeCell ref="B353:D353"/>
    <mergeCell ref="K182:K183"/>
    <mergeCell ref="I401:J401"/>
    <mergeCell ref="I200:J200"/>
    <mergeCell ref="G162:H162"/>
    <mergeCell ref="E183:F183"/>
    <mergeCell ref="G183:H183"/>
    <mergeCell ref="D179:H179"/>
    <mergeCell ref="I183:J183"/>
    <mergeCell ref="G182:H182"/>
    <mergeCell ref="B167:D167"/>
    <mergeCell ref="E167:F167"/>
    <mergeCell ref="G167:H167"/>
    <mergeCell ref="I167:J167"/>
    <mergeCell ref="B163:D163"/>
    <mergeCell ref="B164:D164"/>
    <mergeCell ref="E193:F193"/>
    <mergeCell ref="G193:H193"/>
    <mergeCell ref="I193:J193"/>
    <mergeCell ref="B400:D400"/>
    <mergeCell ref="B378:D378"/>
    <mergeCell ref="B375:D375"/>
    <mergeCell ref="I380:J380"/>
    <mergeCell ref="I369:J369"/>
    <mergeCell ref="B364:D364"/>
    <mergeCell ref="B362:D362"/>
    <mergeCell ref="B186:D186"/>
    <mergeCell ref="E186:F186"/>
    <mergeCell ref="G163:H163"/>
    <mergeCell ref="B184:D184"/>
    <mergeCell ref="E181:F181"/>
    <mergeCell ref="L127:M127"/>
    <mergeCell ref="I120:J120"/>
    <mergeCell ref="A117:J117"/>
    <mergeCell ref="B135:F135"/>
    <mergeCell ref="B136:F136"/>
    <mergeCell ref="G136:H136"/>
    <mergeCell ref="I136:J136"/>
    <mergeCell ref="B118:D118"/>
    <mergeCell ref="E118:F118"/>
    <mergeCell ref="I118:J118"/>
    <mergeCell ref="B121:D121"/>
    <mergeCell ref="B128:F128"/>
    <mergeCell ref="G128:H128"/>
    <mergeCell ref="I128:J128"/>
    <mergeCell ref="B125:F125"/>
    <mergeCell ref="G125:H125"/>
    <mergeCell ref="B127:F127"/>
    <mergeCell ref="G127:H127"/>
    <mergeCell ref="I126:J126"/>
    <mergeCell ref="I135:J135"/>
    <mergeCell ref="G134:H134"/>
    <mergeCell ref="I134:J134"/>
    <mergeCell ref="I125:J125"/>
    <mergeCell ref="B126:F126"/>
    <mergeCell ref="L128:M128"/>
    <mergeCell ref="B131:F131"/>
    <mergeCell ref="G131:H131"/>
    <mergeCell ref="G130:H130"/>
    <mergeCell ref="I130:J130"/>
    <mergeCell ref="B134:F134"/>
    <mergeCell ref="G135:H135"/>
    <mergeCell ref="J77:J79"/>
    <mergeCell ref="E98:F98"/>
    <mergeCell ref="G98:H98"/>
    <mergeCell ref="E108:F108"/>
    <mergeCell ref="I108:J108"/>
    <mergeCell ref="I131:J131"/>
    <mergeCell ref="B130:F130"/>
    <mergeCell ref="I133:J133"/>
    <mergeCell ref="I129:J129"/>
    <mergeCell ref="I127:J127"/>
    <mergeCell ref="E97:F97"/>
    <mergeCell ref="A88:I88"/>
    <mergeCell ref="G126:H126"/>
    <mergeCell ref="B103:D103"/>
    <mergeCell ref="B124:F124"/>
    <mergeCell ref="G124:H124"/>
    <mergeCell ref="B119:D119"/>
    <mergeCell ref="G123:H123"/>
    <mergeCell ref="I123:J123"/>
    <mergeCell ref="B108:D108"/>
    <mergeCell ref="B105:D105"/>
    <mergeCell ref="I124:J124"/>
    <mergeCell ref="E116:F116"/>
    <mergeCell ref="I116:J116"/>
    <mergeCell ref="G97:H97"/>
    <mergeCell ref="B132:F132"/>
    <mergeCell ref="G132:H132"/>
    <mergeCell ref="I132:J132"/>
    <mergeCell ref="A90:I90"/>
    <mergeCell ref="A74:I74"/>
    <mergeCell ref="I115:J115"/>
    <mergeCell ref="E115:F115"/>
    <mergeCell ref="A91:J91"/>
    <mergeCell ref="G96:H96"/>
    <mergeCell ref="I96:J96"/>
    <mergeCell ref="B96:D96"/>
    <mergeCell ref="A93:I93"/>
    <mergeCell ref="I98:J98"/>
    <mergeCell ref="B123:F123"/>
    <mergeCell ref="B120:D120"/>
    <mergeCell ref="E120:F120"/>
    <mergeCell ref="B102:D102"/>
    <mergeCell ref="E102:F102"/>
    <mergeCell ref="I102:J102"/>
    <mergeCell ref="A101:J101"/>
    <mergeCell ref="B107:D107"/>
    <mergeCell ref="I107:J107"/>
    <mergeCell ref="E112:F112"/>
    <mergeCell ref="E119:F119"/>
    <mergeCell ref="I119:J119"/>
    <mergeCell ref="A122:J122"/>
    <mergeCell ref="E110:F110"/>
    <mergeCell ref="I110:J110"/>
    <mergeCell ref="B110:D110"/>
    <mergeCell ref="B112:D112"/>
    <mergeCell ref="B114:D114"/>
    <mergeCell ref="E105:F105"/>
    <mergeCell ref="I105:J105"/>
    <mergeCell ref="D78:D79"/>
    <mergeCell ref="H77:H79"/>
    <mergeCell ref="I77:I79"/>
    <mergeCell ref="A1:J1"/>
    <mergeCell ref="A2:J2"/>
    <mergeCell ref="A3:J3"/>
    <mergeCell ref="A5:J5"/>
    <mergeCell ref="A8:J8"/>
    <mergeCell ref="A9:A11"/>
    <mergeCell ref="B9:B11"/>
    <mergeCell ref="C9:C11"/>
    <mergeCell ref="D9:G9"/>
    <mergeCell ref="H9:H11"/>
    <mergeCell ref="I9:I11"/>
    <mergeCell ref="J9:J11"/>
    <mergeCell ref="D10:D11"/>
    <mergeCell ref="E10:G10"/>
    <mergeCell ref="A13:J13"/>
    <mergeCell ref="A81:J81"/>
    <mergeCell ref="A89:I89"/>
    <mergeCell ref="A14:J14"/>
    <mergeCell ref="A22:J22"/>
    <mergeCell ref="A23:J23"/>
    <mergeCell ref="A37:J37"/>
    <mergeCell ref="A69:I69"/>
    <mergeCell ref="A72:I72"/>
    <mergeCell ref="A75:I75"/>
    <mergeCell ref="D77:G77"/>
    <mergeCell ref="E78:G78"/>
    <mergeCell ref="B77:B79"/>
    <mergeCell ref="C77:C79"/>
    <mergeCell ref="A52:J52"/>
    <mergeCell ref="A57:J57"/>
    <mergeCell ref="A67:I67"/>
    <mergeCell ref="A77:A79"/>
    <mergeCell ref="A68:B68"/>
    <mergeCell ref="I97:J97"/>
    <mergeCell ref="A92:B92"/>
    <mergeCell ref="E96:F96"/>
    <mergeCell ref="B97:D97"/>
    <mergeCell ref="A95:J95"/>
    <mergeCell ref="B99:D99"/>
    <mergeCell ref="E99:F99"/>
    <mergeCell ref="G99:H99"/>
    <mergeCell ref="I99:J99"/>
    <mergeCell ref="B98:D98"/>
    <mergeCell ref="E121:F121"/>
    <mergeCell ref="I121:J121"/>
    <mergeCell ref="B116:D116"/>
    <mergeCell ref="I100:J100"/>
    <mergeCell ref="A104:J104"/>
    <mergeCell ref="A106:J106"/>
    <mergeCell ref="E103:F103"/>
    <mergeCell ref="I103:J103"/>
    <mergeCell ref="B100:D100"/>
    <mergeCell ref="E100:F100"/>
    <mergeCell ref="I113:J113"/>
    <mergeCell ref="E114:F114"/>
    <mergeCell ref="I114:J114"/>
    <mergeCell ref="B115:D115"/>
    <mergeCell ref="A109:J109"/>
    <mergeCell ref="G100:H100"/>
    <mergeCell ref="E107:F107"/>
    <mergeCell ref="B113:D113"/>
    <mergeCell ref="E113:F113"/>
    <mergeCell ref="A111:J111"/>
    <mergeCell ref="I112:J112"/>
    <mergeCell ref="G138:H138"/>
    <mergeCell ref="B146:F146"/>
    <mergeCell ref="I173:J173"/>
    <mergeCell ref="G166:H166"/>
    <mergeCell ref="B148:F148"/>
    <mergeCell ref="G147:H147"/>
    <mergeCell ref="D170:J170"/>
    <mergeCell ref="G176:H176"/>
    <mergeCell ref="B176:D176"/>
    <mergeCell ref="B140:F140"/>
    <mergeCell ref="G144:H144"/>
    <mergeCell ref="A158:J158"/>
    <mergeCell ref="A159:J159"/>
    <mergeCell ref="B162:D162"/>
    <mergeCell ref="I144:J144"/>
    <mergeCell ref="B145:F145"/>
    <mergeCell ref="I176:J176"/>
    <mergeCell ref="G173:H173"/>
    <mergeCell ref="G145:H145"/>
    <mergeCell ref="G165:H165"/>
    <mergeCell ref="I140:J140"/>
    <mergeCell ref="I143:J143"/>
    <mergeCell ref="G146:H146"/>
    <mergeCell ref="E173:F173"/>
    <mergeCell ref="I138:J138"/>
    <mergeCell ref="B141:F141"/>
    <mergeCell ref="G141:H141"/>
    <mergeCell ref="A280:A281"/>
    <mergeCell ref="B129:F129"/>
    <mergeCell ref="G129:H129"/>
    <mergeCell ref="B133:F133"/>
    <mergeCell ref="E306:F306"/>
    <mergeCell ref="B309:D309"/>
    <mergeCell ref="E309:F309"/>
    <mergeCell ref="G133:H133"/>
    <mergeCell ref="B388:D388"/>
    <mergeCell ref="B389:D389"/>
    <mergeCell ref="G210:H210"/>
    <mergeCell ref="I210:J210"/>
    <mergeCell ref="I163:J163"/>
    <mergeCell ref="I162:J162"/>
    <mergeCell ref="B156:F156"/>
    <mergeCell ref="B152:F152"/>
    <mergeCell ref="E200:F200"/>
    <mergeCell ref="G200:H200"/>
    <mergeCell ref="B154:F154"/>
    <mergeCell ref="G154:H154"/>
    <mergeCell ref="G152:H152"/>
    <mergeCell ref="E381:F381"/>
    <mergeCell ref="B371:D371"/>
    <mergeCell ref="E312:F312"/>
    <mergeCell ref="E313:F313"/>
    <mergeCell ref="I356:J356"/>
    <mergeCell ref="B332:D332"/>
    <mergeCell ref="E335:F335"/>
    <mergeCell ref="A349:J349"/>
    <mergeCell ref="B376:D376"/>
    <mergeCell ref="G361:H361"/>
    <mergeCell ref="G357:H357"/>
    <mergeCell ref="I253:J253"/>
    <mergeCell ref="E266:F266"/>
    <mergeCell ref="B257:D257"/>
    <mergeCell ref="A263:J263"/>
    <mergeCell ref="A270:A271"/>
    <mergeCell ref="I265:J265"/>
    <mergeCell ref="F259:G259"/>
    <mergeCell ref="B274:D274"/>
    <mergeCell ref="G186:H186"/>
    <mergeCell ref="I204:J204"/>
    <mergeCell ref="G209:H209"/>
    <mergeCell ref="I187:J187"/>
    <mergeCell ref="E202:F202"/>
    <mergeCell ref="G202:H202"/>
    <mergeCell ref="I202:J202"/>
    <mergeCell ref="B255:D255"/>
    <mergeCell ref="F255:G255"/>
    <mergeCell ref="I259:J259"/>
    <mergeCell ref="G270:J270"/>
    <mergeCell ref="B259:D259"/>
    <mergeCell ref="B252:D252"/>
    <mergeCell ref="B251:D251"/>
    <mergeCell ref="G201:H201"/>
    <mergeCell ref="I201:J201"/>
    <mergeCell ref="I195:J195"/>
    <mergeCell ref="B194:D194"/>
    <mergeCell ref="E194:F194"/>
    <mergeCell ref="G194:H194"/>
    <mergeCell ref="I194:J194"/>
    <mergeCell ref="E187:F187"/>
    <mergeCell ref="G187:H187"/>
    <mergeCell ref="A229:A231"/>
    <mergeCell ref="B294:D294"/>
    <mergeCell ref="B326:D326"/>
    <mergeCell ref="E326:F326"/>
    <mergeCell ref="G374:H374"/>
    <mergeCell ref="E325:F325"/>
    <mergeCell ref="B305:D305"/>
    <mergeCell ref="E329:F329"/>
    <mergeCell ref="B317:D317"/>
    <mergeCell ref="B318:D318"/>
    <mergeCell ref="B319:D319"/>
    <mergeCell ref="B320:D320"/>
    <mergeCell ref="E317:F317"/>
    <mergeCell ref="E318:F318"/>
    <mergeCell ref="E319:F319"/>
    <mergeCell ref="E320:F320"/>
    <mergeCell ref="B324:D324"/>
    <mergeCell ref="B314:D314"/>
    <mergeCell ref="B321:D321"/>
    <mergeCell ref="B297:D297"/>
    <mergeCell ref="G356:H356"/>
    <mergeCell ref="B359:D359"/>
    <mergeCell ref="E350:F350"/>
    <mergeCell ref="G350:H350"/>
    <mergeCell ref="B322:D322"/>
    <mergeCell ref="B370:D370"/>
    <mergeCell ref="E316:F316"/>
    <mergeCell ref="B357:D357"/>
    <mergeCell ref="G358:H358"/>
    <mergeCell ref="B369:D369"/>
    <mergeCell ref="G355:H355"/>
    <mergeCell ref="E353:F353"/>
    <mergeCell ref="E338:F338"/>
    <mergeCell ref="A275:A276"/>
    <mergeCell ref="B311:D311"/>
    <mergeCell ref="I165:J165"/>
    <mergeCell ref="I166:J166"/>
    <mergeCell ref="I172:J172"/>
    <mergeCell ref="B195:D195"/>
    <mergeCell ref="B217:D217"/>
    <mergeCell ref="G217:H217"/>
    <mergeCell ref="I217:J217"/>
    <mergeCell ref="I258:J258"/>
    <mergeCell ref="B275:D276"/>
    <mergeCell ref="E267:F267"/>
    <mergeCell ref="F257:G257"/>
    <mergeCell ref="B282:D282"/>
    <mergeCell ref="B283:D283"/>
    <mergeCell ref="B284:D284"/>
    <mergeCell ref="F258:G258"/>
    <mergeCell ref="B260:D260"/>
    <mergeCell ref="G275:G276"/>
    <mergeCell ref="B289:D289"/>
    <mergeCell ref="A182:A183"/>
    <mergeCell ref="I182:J182"/>
    <mergeCell ref="B270:D271"/>
    <mergeCell ref="G301:J301"/>
    <mergeCell ref="G264:H264"/>
    <mergeCell ref="B264:D264"/>
    <mergeCell ref="F251:G251"/>
    <mergeCell ref="I251:J251"/>
    <mergeCell ref="B240:D240"/>
    <mergeCell ref="A254:A255"/>
    <mergeCell ref="B267:D267"/>
    <mergeCell ref="E275:E276"/>
    <mergeCell ref="K236:K238"/>
    <mergeCell ref="B242:D242"/>
    <mergeCell ref="F242:G242"/>
    <mergeCell ref="I242:J242"/>
    <mergeCell ref="B243:D243"/>
    <mergeCell ref="F243:G243"/>
    <mergeCell ref="I243:J243"/>
    <mergeCell ref="B244:D244"/>
    <mergeCell ref="F244:G244"/>
    <mergeCell ref="I244:J244"/>
    <mergeCell ref="B261:D261"/>
    <mergeCell ref="F261:G261"/>
    <mergeCell ref="I261:J261"/>
    <mergeCell ref="A199:J199"/>
    <mergeCell ref="B204:D204"/>
    <mergeCell ref="I209:J209"/>
    <mergeCell ref="I223:J223"/>
    <mergeCell ref="B258:D258"/>
    <mergeCell ref="I257:J257"/>
    <mergeCell ref="I254:J254"/>
    <mergeCell ref="I255:J255"/>
    <mergeCell ref="F240:G240"/>
    <mergeCell ref="I240:J240"/>
    <mergeCell ref="B245:D245"/>
    <mergeCell ref="F245:G245"/>
    <mergeCell ref="I245:J245"/>
    <mergeCell ref="F260:G260"/>
    <mergeCell ref="G224:H224"/>
    <mergeCell ref="F252:G252"/>
    <mergeCell ref="I252:J252"/>
    <mergeCell ref="E222:F222"/>
    <mergeCell ref="G222:H222"/>
    <mergeCell ref="B229:D229"/>
    <mergeCell ref="F229:G229"/>
    <mergeCell ref="I229:J229"/>
    <mergeCell ref="B230:D230"/>
    <mergeCell ref="F230:G230"/>
    <mergeCell ref="I230:J230"/>
    <mergeCell ref="B231:D231"/>
    <mergeCell ref="F231:G231"/>
    <mergeCell ref="I231:J231"/>
    <mergeCell ref="B226:D226"/>
    <mergeCell ref="F226:G226"/>
    <mergeCell ref="I226:J226"/>
    <mergeCell ref="K232:K234"/>
    <mergeCell ref="A233:A235"/>
    <mergeCell ref="B233:D233"/>
    <mergeCell ref="F233:G233"/>
    <mergeCell ref="I233:J233"/>
    <mergeCell ref="B234:D234"/>
    <mergeCell ref="F234:G234"/>
    <mergeCell ref="I234:J234"/>
    <mergeCell ref="B235:D235"/>
    <mergeCell ref="F235:G235"/>
    <mergeCell ref="I235:J235"/>
    <mergeCell ref="K226:K227"/>
    <mergeCell ref="B227:D227"/>
    <mergeCell ref="F227:G227"/>
    <mergeCell ref="I227:J227"/>
    <mergeCell ref="B228:D228"/>
    <mergeCell ref="F228:G228"/>
    <mergeCell ref="I228:J228"/>
    <mergeCell ref="K228:K230"/>
    <mergeCell ref="A241:A243"/>
    <mergeCell ref="B241:D241"/>
    <mergeCell ref="F241:G241"/>
    <mergeCell ref="I241:J241"/>
    <mergeCell ref="E280:E281"/>
    <mergeCell ref="E305:F305"/>
    <mergeCell ref="G305:J305"/>
    <mergeCell ref="G265:H265"/>
    <mergeCell ref="B290:D290"/>
    <mergeCell ref="I266:J266"/>
    <mergeCell ref="B301:D301"/>
    <mergeCell ref="B287:D287"/>
    <mergeCell ref="H275:H276"/>
    <mergeCell ref="F262:G262"/>
    <mergeCell ref="I262:J262"/>
    <mergeCell ref="E307:F307"/>
    <mergeCell ref="E341:F341"/>
    <mergeCell ref="B330:D330"/>
    <mergeCell ref="E330:F330"/>
    <mergeCell ref="E321:F321"/>
    <mergeCell ref="E314:F314"/>
    <mergeCell ref="B315:D315"/>
    <mergeCell ref="E315:F315"/>
    <mergeCell ref="E324:F324"/>
    <mergeCell ref="E331:F331"/>
    <mergeCell ref="E336:F336"/>
    <mergeCell ref="B336:D336"/>
    <mergeCell ref="E334:F334"/>
    <mergeCell ref="B338:D338"/>
    <mergeCell ref="B334:D334"/>
    <mergeCell ref="B331:D331"/>
    <mergeCell ref="B327:D327"/>
    <mergeCell ref="K399:K402"/>
    <mergeCell ref="K245:K247"/>
    <mergeCell ref="B246:D246"/>
    <mergeCell ref="F246:G246"/>
    <mergeCell ref="I246:J246"/>
    <mergeCell ref="B247:D247"/>
    <mergeCell ref="F247:G247"/>
    <mergeCell ref="I247:J247"/>
    <mergeCell ref="B248:D248"/>
    <mergeCell ref="F248:G248"/>
    <mergeCell ref="I248:J248"/>
    <mergeCell ref="B249:D249"/>
    <mergeCell ref="F249:G249"/>
    <mergeCell ref="I249:J249"/>
    <mergeCell ref="K240:K242"/>
    <mergeCell ref="E328:F328"/>
    <mergeCell ref="B329:D329"/>
    <mergeCell ref="B295:D295"/>
    <mergeCell ref="B348:D348"/>
    <mergeCell ref="E348:F348"/>
    <mergeCell ref="B347:D347"/>
    <mergeCell ref="B355:D355"/>
    <mergeCell ref="E342:F342"/>
    <mergeCell ref="B351:D351"/>
    <mergeCell ref="E351:F351"/>
    <mergeCell ref="B350:D350"/>
    <mergeCell ref="E356:F356"/>
    <mergeCell ref="I352:J352"/>
    <mergeCell ref="G363:H363"/>
    <mergeCell ref="I363:J363"/>
    <mergeCell ref="B256:D256"/>
    <mergeCell ref="E343:F343"/>
    <mergeCell ref="I256:J256"/>
    <mergeCell ref="B298:D298"/>
    <mergeCell ref="B262:D262"/>
    <mergeCell ref="I264:J264"/>
    <mergeCell ref="I275:I276"/>
    <mergeCell ref="A237:A239"/>
    <mergeCell ref="B237:D237"/>
    <mergeCell ref="F237:G237"/>
    <mergeCell ref="I237:J237"/>
    <mergeCell ref="B238:D238"/>
    <mergeCell ref="F238:G238"/>
    <mergeCell ref="I238:J238"/>
    <mergeCell ref="B239:D239"/>
    <mergeCell ref="F239:G239"/>
    <mergeCell ref="I239:J239"/>
    <mergeCell ref="B232:D232"/>
    <mergeCell ref="F232:G232"/>
    <mergeCell ref="I232:J232"/>
    <mergeCell ref="B236:D236"/>
    <mergeCell ref="F236:G236"/>
    <mergeCell ref="I236:J236"/>
    <mergeCell ref="B292:D292"/>
    <mergeCell ref="B278:D278"/>
    <mergeCell ref="B277:D277"/>
    <mergeCell ref="B272:D272"/>
    <mergeCell ref="B265:D265"/>
    <mergeCell ref="E265:F265"/>
    <mergeCell ref="F275:F276"/>
    <mergeCell ref="B280:D281"/>
    <mergeCell ref="G267:H267"/>
    <mergeCell ref="B296:D296"/>
    <mergeCell ref="B293:D293"/>
  </mergeCells>
  <printOptions horizontalCentered="1"/>
  <pageMargins left="0.78740157480314965" right="0" top="0.19685039370078741" bottom="0.19685039370078741" header="0.31496062992125984" footer="0.31496062992125984"/>
  <pageSetup paperSize="9" scale="62" fitToHeight="7" orientation="portrait" r:id="rId1"/>
  <rowBreaks count="4" manualBreakCount="4">
    <brk id="188" max="9" man="1"/>
    <brk id="249" max="9" man="1"/>
    <brk id="268" max="9" man="1"/>
    <brk id="402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26"/>
  <sheetViews>
    <sheetView topLeftCell="A195" zoomScaleSheetLayoutView="100" workbookViewId="0">
      <selection activeCell="A95" sqref="A95:J95"/>
    </sheetView>
  </sheetViews>
  <sheetFormatPr defaultColWidth="9.109375" defaultRowHeight="14.4" x14ac:dyDescent="0.3"/>
  <cols>
    <col min="1" max="1" width="5.109375" style="1" customWidth="1"/>
    <col min="2" max="2" width="25" style="1" customWidth="1"/>
    <col min="3" max="3" width="9.109375" style="1"/>
    <col min="4" max="4" width="17.109375" style="1" customWidth="1"/>
    <col min="5" max="5" width="16.44140625" style="1" customWidth="1"/>
    <col min="6" max="6" width="10.6640625" style="1" customWidth="1"/>
    <col min="7" max="7" width="12.33203125" style="1" customWidth="1"/>
    <col min="8" max="8" width="10.6640625" style="1" customWidth="1"/>
    <col min="9" max="9" width="11.5546875" style="1" customWidth="1"/>
    <col min="10" max="10" width="24.88671875" style="1" customWidth="1"/>
    <col min="11" max="11" width="16.44140625" style="1" customWidth="1"/>
    <col min="12" max="12" width="18.109375" style="1" customWidth="1"/>
    <col min="13" max="13" width="9.6640625" style="1" customWidth="1"/>
    <col min="14" max="14" width="14" style="1" customWidth="1"/>
    <col min="15" max="16384" width="9.109375" style="1"/>
  </cols>
  <sheetData>
    <row r="1" spans="1:11" ht="26.25" customHeight="1" x14ac:dyDescent="0.3">
      <c r="A1" s="1344" t="s">
        <v>68</v>
      </c>
      <c r="B1" s="1344"/>
      <c r="C1" s="1344"/>
      <c r="D1" s="1344"/>
      <c r="E1" s="1344"/>
      <c r="F1" s="1344"/>
      <c r="G1" s="1344"/>
      <c r="H1" s="1344"/>
      <c r="I1" s="1344"/>
      <c r="J1" s="1344"/>
    </row>
    <row r="2" spans="1:11" ht="17.25" customHeight="1" x14ac:dyDescent="0.3">
      <c r="A2" s="1344" t="s">
        <v>474</v>
      </c>
      <c r="B2" s="1344"/>
      <c r="C2" s="1344"/>
      <c r="D2" s="1344"/>
      <c r="E2" s="1344"/>
      <c r="F2" s="1344"/>
      <c r="G2" s="1344"/>
      <c r="H2" s="1344"/>
      <c r="I2" s="1344"/>
      <c r="J2" s="1344"/>
    </row>
    <row r="3" spans="1:11" ht="62.25" customHeight="1" x14ac:dyDescent="0.3">
      <c r="A3" s="1344" t="s">
        <v>986</v>
      </c>
      <c r="B3" s="1344"/>
      <c r="C3" s="1344"/>
      <c r="D3" s="1344"/>
      <c r="E3" s="1344"/>
      <c r="F3" s="1344"/>
      <c r="G3" s="1344"/>
      <c r="H3" s="1344"/>
      <c r="I3" s="1344"/>
      <c r="J3" s="1344"/>
    </row>
    <row r="4" spans="1:11" ht="15.6" x14ac:dyDescent="0.3">
      <c r="A4" s="89"/>
      <c r="B4" s="90"/>
      <c r="C4" s="90"/>
      <c r="D4" s="91" t="s">
        <v>267</v>
      </c>
      <c r="E4" s="296">
        <v>2023</v>
      </c>
      <c r="F4" s="92" t="s">
        <v>656</v>
      </c>
      <c r="G4" s="90"/>
      <c r="H4" s="90"/>
      <c r="I4" s="90"/>
      <c r="J4" s="90"/>
    </row>
    <row r="5" spans="1:11" ht="15.6" x14ac:dyDescent="0.3">
      <c r="A5" s="1218" t="s">
        <v>0</v>
      </c>
      <c r="B5" s="1218"/>
      <c r="C5" s="1218"/>
      <c r="D5" s="1218"/>
      <c r="E5" s="1218"/>
      <c r="F5" s="1218"/>
      <c r="G5" s="1218"/>
      <c r="H5" s="1218"/>
      <c r="I5" s="1218"/>
      <c r="J5" s="1218"/>
    </row>
    <row r="6" spans="1:11" ht="19.5" customHeight="1" x14ac:dyDescent="0.3">
      <c r="A6" s="89" t="s">
        <v>80</v>
      </c>
      <c r="B6" s="90"/>
      <c r="C6" s="93">
        <v>111</v>
      </c>
      <c r="D6" s="93">
        <v>112</v>
      </c>
      <c r="E6" s="93">
        <v>119</v>
      </c>
      <c r="F6" s="94"/>
      <c r="G6" s="94"/>
      <c r="H6" s="94"/>
      <c r="I6" s="94"/>
      <c r="J6" s="94"/>
    </row>
    <row r="7" spans="1:11" ht="22.5" customHeight="1" x14ac:dyDescent="0.3">
      <c r="A7" s="89" t="s">
        <v>81</v>
      </c>
      <c r="B7" s="90"/>
      <c r="C7" s="90"/>
      <c r="D7" s="90"/>
      <c r="E7" s="95" t="s">
        <v>82</v>
      </c>
      <c r="F7" s="96"/>
      <c r="G7" s="95"/>
      <c r="H7" s="96"/>
      <c r="I7" s="95" t="s">
        <v>989</v>
      </c>
      <c r="J7" s="96"/>
    </row>
    <row r="8" spans="1:11" ht="21" customHeight="1" x14ac:dyDescent="0.3">
      <c r="A8" s="1186" t="s">
        <v>357</v>
      </c>
      <c r="B8" s="1186"/>
      <c r="C8" s="1186"/>
      <c r="D8" s="1186"/>
      <c r="E8" s="1186"/>
      <c r="F8" s="1186"/>
      <c r="G8" s="1186"/>
      <c r="H8" s="1186"/>
      <c r="I8" s="1186"/>
      <c r="J8" s="1186"/>
    </row>
    <row r="9" spans="1:11" hidden="1" x14ac:dyDescent="0.3">
      <c r="A9" s="1345" t="s">
        <v>1</v>
      </c>
      <c r="B9" s="1346" t="s">
        <v>2</v>
      </c>
      <c r="C9" s="1346" t="s">
        <v>3</v>
      </c>
      <c r="D9" s="1345" t="s">
        <v>4</v>
      </c>
      <c r="E9" s="1345"/>
      <c r="F9" s="1345"/>
      <c r="G9" s="1345"/>
      <c r="H9" s="1345" t="s">
        <v>5</v>
      </c>
      <c r="I9" s="1346" t="s">
        <v>6</v>
      </c>
      <c r="J9" s="1346" t="s">
        <v>312</v>
      </c>
    </row>
    <row r="10" spans="1:11" ht="33" hidden="1" customHeight="1" x14ac:dyDescent="0.3">
      <c r="A10" s="1345"/>
      <c r="B10" s="1346"/>
      <c r="C10" s="1346"/>
      <c r="D10" s="1346" t="s">
        <v>8</v>
      </c>
      <c r="E10" s="1346" t="s">
        <v>9</v>
      </c>
      <c r="F10" s="1346"/>
      <c r="G10" s="1346"/>
      <c r="H10" s="1345"/>
      <c r="I10" s="1346"/>
      <c r="J10" s="1346"/>
    </row>
    <row r="11" spans="1:11" ht="69" hidden="1" x14ac:dyDescent="0.3">
      <c r="A11" s="1345"/>
      <c r="B11" s="1346"/>
      <c r="C11" s="1346"/>
      <c r="D11" s="1346"/>
      <c r="E11" s="182" t="s">
        <v>10</v>
      </c>
      <c r="F11" s="182" t="s">
        <v>11</v>
      </c>
      <c r="G11" s="182" t="s">
        <v>12</v>
      </c>
      <c r="H11" s="1345"/>
      <c r="I11" s="1346"/>
      <c r="J11" s="1346"/>
    </row>
    <row r="12" spans="1:11" ht="14.25" hidden="1" customHeight="1" x14ac:dyDescent="0.3">
      <c r="A12" s="180">
        <v>1</v>
      </c>
      <c r="B12" s="180">
        <v>2</v>
      </c>
      <c r="C12" s="180">
        <v>3</v>
      </c>
      <c r="D12" s="180">
        <v>4</v>
      </c>
      <c r="E12" s="180">
        <v>5</v>
      </c>
      <c r="F12" s="180">
        <v>6</v>
      </c>
      <c r="G12" s="180">
        <v>7</v>
      </c>
      <c r="H12" s="180">
        <v>8</v>
      </c>
      <c r="I12" s="180">
        <v>9</v>
      </c>
      <c r="J12" s="180">
        <v>10</v>
      </c>
    </row>
    <row r="13" spans="1:11" s="41" customFormat="1" ht="13.8" hidden="1" x14ac:dyDescent="0.3">
      <c r="A13" s="1352" t="s">
        <v>358</v>
      </c>
      <c r="B13" s="1346"/>
      <c r="C13" s="1346"/>
      <c r="D13" s="1346"/>
      <c r="E13" s="1346"/>
      <c r="F13" s="1346"/>
      <c r="G13" s="1346"/>
      <c r="H13" s="1346"/>
      <c r="I13" s="1346"/>
      <c r="J13" s="1346"/>
    </row>
    <row r="14" spans="1:11" s="41" customFormat="1" ht="13.8" hidden="1" x14ac:dyDescent="0.3">
      <c r="A14" s="1353" t="s">
        <v>475</v>
      </c>
      <c r="B14" s="1354"/>
      <c r="C14" s="1354"/>
      <c r="D14" s="1354"/>
      <c r="E14" s="1354"/>
      <c r="F14" s="1354"/>
      <c r="G14" s="1354"/>
      <c r="H14" s="1354"/>
      <c r="I14" s="1354"/>
      <c r="J14" s="1354"/>
    </row>
    <row r="15" spans="1:11" ht="20.25" hidden="1" customHeight="1" x14ac:dyDescent="0.3">
      <c r="A15" s="186">
        <v>1</v>
      </c>
      <c r="B15" s="111" t="s">
        <v>261</v>
      </c>
      <c r="C15" s="186">
        <v>1</v>
      </c>
      <c r="D15" s="112"/>
      <c r="E15" s="112">
        <v>75000</v>
      </c>
      <c r="F15" s="112">
        <v>0</v>
      </c>
      <c r="G15" s="112">
        <v>20000</v>
      </c>
      <c r="H15" s="113">
        <v>50</v>
      </c>
      <c r="I15" s="186">
        <v>1.7</v>
      </c>
      <c r="J15" s="114">
        <f>((C15*D15*(H15/100+I15))*12)</f>
        <v>0</v>
      </c>
      <c r="K15" s="137"/>
    </row>
    <row r="16" spans="1:11" ht="45" hidden="1" customHeight="1" x14ac:dyDescent="0.3">
      <c r="A16" s="186">
        <v>2</v>
      </c>
      <c r="B16" s="111" t="s">
        <v>476</v>
      </c>
      <c r="C16" s="186">
        <v>4</v>
      </c>
      <c r="D16" s="112"/>
      <c r="E16" s="112">
        <v>37800</v>
      </c>
      <c r="F16" s="112">
        <v>0</v>
      </c>
      <c r="G16" s="112">
        <v>6000</v>
      </c>
      <c r="H16" s="113">
        <v>50</v>
      </c>
      <c r="I16" s="186">
        <v>1.7</v>
      </c>
      <c r="J16" s="114">
        <f>((C16*D16*(H16/100+I16))*12)*1</f>
        <v>0</v>
      </c>
    </row>
    <row r="17" spans="1:12" ht="45" hidden="1" customHeight="1" x14ac:dyDescent="0.3">
      <c r="A17" s="186">
        <v>3</v>
      </c>
      <c r="B17" s="111" t="s">
        <v>477</v>
      </c>
      <c r="C17" s="186">
        <v>1</v>
      </c>
      <c r="D17" s="112"/>
      <c r="E17" s="112">
        <v>37800</v>
      </c>
      <c r="F17" s="112">
        <v>0</v>
      </c>
      <c r="G17" s="112">
        <v>6000</v>
      </c>
      <c r="H17" s="113">
        <v>50</v>
      </c>
      <c r="I17" s="186">
        <v>1.7</v>
      </c>
      <c r="J17" s="114">
        <f>((C17*D17*(H17/100+I17))*12)</f>
        <v>0</v>
      </c>
    </row>
    <row r="18" spans="1:12" ht="45" hidden="1" customHeight="1" x14ac:dyDescent="0.3">
      <c r="A18" s="186">
        <v>4</v>
      </c>
      <c r="B18" s="111" t="s">
        <v>478</v>
      </c>
      <c r="C18" s="186">
        <v>0.5</v>
      </c>
      <c r="D18" s="112"/>
      <c r="E18" s="112">
        <v>37800</v>
      </c>
      <c r="F18" s="112">
        <v>0</v>
      </c>
      <c r="G18" s="112">
        <v>6000</v>
      </c>
      <c r="H18" s="113">
        <v>50</v>
      </c>
      <c r="I18" s="186">
        <v>17</v>
      </c>
      <c r="J18" s="114">
        <v>0</v>
      </c>
      <c r="L18" s="1">
        <f>((C18*D18+(H18/100+I18)*12))</f>
        <v>210</v>
      </c>
    </row>
    <row r="19" spans="1:12" ht="49.5" hidden="1" customHeight="1" x14ac:dyDescent="0.3">
      <c r="A19" s="186">
        <v>5</v>
      </c>
      <c r="B19" s="111" t="s">
        <v>479</v>
      </c>
      <c r="C19" s="186">
        <v>1</v>
      </c>
      <c r="D19" s="112"/>
      <c r="E19" s="112">
        <v>37800</v>
      </c>
      <c r="F19" s="112">
        <v>0</v>
      </c>
      <c r="G19" s="112">
        <v>6000</v>
      </c>
      <c r="H19" s="113">
        <v>50</v>
      </c>
      <c r="I19" s="186">
        <v>1.7</v>
      </c>
      <c r="J19" s="114">
        <f>((C19*D19*(H19/100+I19))*12)</f>
        <v>0</v>
      </c>
    </row>
    <row r="20" spans="1:12" hidden="1" x14ac:dyDescent="0.3">
      <c r="A20" s="186">
        <v>6</v>
      </c>
      <c r="B20" s="111" t="s">
        <v>262</v>
      </c>
      <c r="C20" s="186">
        <v>1</v>
      </c>
      <c r="D20" s="112"/>
      <c r="E20" s="112">
        <v>37800</v>
      </c>
      <c r="F20" s="112">
        <v>0</v>
      </c>
      <c r="G20" s="112">
        <v>15000</v>
      </c>
      <c r="H20" s="113">
        <v>50</v>
      </c>
      <c r="I20" s="186">
        <v>1.7</v>
      </c>
      <c r="J20" s="114">
        <f t="shared" ref="J20" si="0">((C20*D20*(H20/100+I20))*12)</f>
        <v>0</v>
      </c>
    </row>
    <row r="21" spans="1:12" ht="27.6" hidden="1" x14ac:dyDescent="0.3">
      <c r="A21" s="115"/>
      <c r="B21" s="116" t="s">
        <v>480</v>
      </c>
      <c r="C21" s="117">
        <f>SUM(C15:C20)</f>
        <v>8.5</v>
      </c>
      <c r="D21" s="118">
        <f>SUM(D15:D20)</f>
        <v>0</v>
      </c>
      <c r="E21" s="117" t="s">
        <v>14</v>
      </c>
      <c r="F21" s="117" t="s">
        <v>14</v>
      </c>
      <c r="G21" s="117" t="s">
        <v>14</v>
      </c>
      <c r="H21" s="117" t="s">
        <v>14</v>
      </c>
      <c r="I21" s="117" t="s">
        <v>14</v>
      </c>
      <c r="J21" s="118">
        <f>SUM(J15:J20)</f>
        <v>0</v>
      </c>
      <c r="K21" s="138"/>
    </row>
    <row r="22" spans="1:12" hidden="1" x14ac:dyDescent="0.3">
      <c r="A22" s="1347" t="s">
        <v>481</v>
      </c>
      <c r="B22" s="1348"/>
      <c r="C22" s="1348"/>
      <c r="D22" s="1348"/>
      <c r="E22" s="1348"/>
      <c r="F22" s="1348"/>
      <c r="G22" s="1348"/>
      <c r="H22" s="1348"/>
      <c r="I22" s="1348"/>
      <c r="J22" s="1348"/>
    </row>
    <row r="23" spans="1:12" ht="18.75" hidden="1" customHeight="1" x14ac:dyDescent="0.3">
      <c r="A23" s="1349" t="s">
        <v>482</v>
      </c>
      <c r="B23" s="1350"/>
      <c r="C23" s="1350"/>
      <c r="D23" s="1350"/>
      <c r="E23" s="1350"/>
      <c r="F23" s="1350"/>
      <c r="G23" s="1350"/>
      <c r="H23" s="1350"/>
      <c r="I23" s="1350"/>
      <c r="J23" s="1351"/>
    </row>
    <row r="24" spans="1:12" hidden="1" x14ac:dyDescent="0.3">
      <c r="A24" s="186">
        <v>1</v>
      </c>
      <c r="B24" s="111" t="s">
        <v>483</v>
      </c>
      <c r="C24" s="186">
        <v>3.5</v>
      </c>
      <c r="D24" s="112"/>
      <c r="E24" s="136">
        <v>10200</v>
      </c>
      <c r="F24" s="112">
        <v>0</v>
      </c>
      <c r="G24" s="112">
        <f>E24*20%</f>
        <v>2040</v>
      </c>
      <c r="H24" s="113">
        <v>50</v>
      </c>
      <c r="I24" s="186">
        <v>1.7</v>
      </c>
      <c r="J24" s="141">
        <f>(C24*D24*(H24/100+I24))*13.8</f>
        <v>0</v>
      </c>
      <c r="K24" s="134"/>
    </row>
    <row r="25" spans="1:12" ht="69" hidden="1" x14ac:dyDescent="0.3">
      <c r="A25" s="186">
        <v>2</v>
      </c>
      <c r="B25" s="111" t="s">
        <v>484</v>
      </c>
      <c r="C25" s="186">
        <v>1</v>
      </c>
      <c r="D25" s="112"/>
      <c r="E25" s="136">
        <v>25000</v>
      </c>
      <c r="F25" s="112">
        <v>0</v>
      </c>
      <c r="G25" s="112">
        <v>5000</v>
      </c>
      <c r="H25" s="113">
        <v>50</v>
      </c>
      <c r="I25" s="186">
        <v>1.7</v>
      </c>
      <c r="J25" s="141">
        <f>(C25*D25*(H25/100+I25))*13</f>
        <v>0</v>
      </c>
    </row>
    <row r="26" spans="1:12" hidden="1" x14ac:dyDescent="0.3">
      <c r="A26" s="186">
        <v>3</v>
      </c>
      <c r="B26" s="111" t="s">
        <v>323</v>
      </c>
      <c r="C26" s="186">
        <v>1.5</v>
      </c>
      <c r="D26" s="112"/>
      <c r="E26" s="136">
        <v>31500</v>
      </c>
      <c r="F26" s="112">
        <v>0</v>
      </c>
      <c r="G26" s="112">
        <f t="shared" ref="G26:G48" si="1">E26*20%</f>
        <v>6300</v>
      </c>
      <c r="H26" s="113">
        <v>50</v>
      </c>
      <c r="I26" s="186">
        <v>1.7</v>
      </c>
      <c r="J26" s="141">
        <f>(C26*D26*(H26/100+I26))*11.4</f>
        <v>0</v>
      </c>
    </row>
    <row r="27" spans="1:12" hidden="1" x14ac:dyDescent="0.3">
      <c r="A27" s="186">
        <v>4</v>
      </c>
      <c r="B27" s="111" t="s">
        <v>485</v>
      </c>
      <c r="C27" s="186">
        <v>2</v>
      </c>
      <c r="D27" s="112"/>
      <c r="E27" s="136">
        <v>14500</v>
      </c>
      <c r="F27" s="112">
        <v>0</v>
      </c>
      <c r="G27" s="112">
        <f t="shared" si="1"/>
        <v>2900</v>
      </c>
      <c r="H27" s="113">
        <v>50</v>
      </c>
      <c r="I27" s="186">
        <v>1.7</v>
      </c>
      <c r="J27" s="141">
        <f>(C27*D27*(H27/100+I27))*14.6</f>
        <v>0</v>
      </c>
    </row>
    <row r="28" spans="1:12" hidden="1" x14ac:dyDescent="0.3">
      <c r="A28" s="186">
        <v>5</v>
      </c>
      <c r="B28" s="111" t="s">
        <v>324</v>
      </c>
      <c r="C28" s="186">
        <v>1</v>
      </c>
      <c r="D28" s="112"/>
      <c r="E28" s="136">
        <v>30000</v>
      </c>
      <c r="F28" s="112">
        <v>0</v>
      </c>
      <c r="G28" s="112">
        <f t="shared" si="1"/>
        <v>6000</v>
      </c>
      <c r="H28" s="113">
        <v>50</v>
      </c>
      <c r="I28" s="186">
        <v>1.7</v>
      </c>
      <c r="J28" s="141">
        <f t="shared" ref="J28" si="2">(C28*D28*(H28/100+I28))*14.6</f>
        <v>0</v>
      </c>
    </row>
    <row r="29" spans="1:12" hidden="1" x14ac:dyDescent="0.3">
      <c r="A29" s="186">
        <v>6</v>
      </c>
      <c r="B29" s="111" t="s">
        <v>322</v>
      </c>
      <c r="C29" s="186">
        <v>2</v>
      </c>
      <c r="D29" s="112"/>
      <c r="E29" s="136">
        <v>32500</v>
      </c>
      <c r="F29" s="112">
        <v>0</v>
      </c>
      <c r="G29" s="112">
        <f t="shared" si="1"/>
        <v>6500</v>
      </c>
      <c r="H29" s="113">
        <v>50</v>
      </c>
      <c r="I29" s="186">
        <v>1.7</v>
      </c>
      <c r="J29" s="141">
        <f>(C29*D29*(H29/100+I29))*13.2</f>
        <v>0</v>
      </c>
    </row>
    <row r="30" spans="1:12" hidden="1" x14ac:dyDescent="0.3">
      <c r="A30" s="186">
        <v>7</v>
      </c>
      <c r="B30" s="111" t="s">
        <v>321</v>
      </c>
      <c r="C30" s="186">
        <v>5</v>
      </c>
      <c r="D30" s="112"/>
      <c r="E30" s="136">
        <v>25000</v>
      </c>
      <c r="F30" s="112">
        <v>0</v>
      </c>
      <c r="G30" s="112">
        <f t="shared" si="1"/>
        <v>5000</v>
      </c>
      <c r="H30" s="113">
        <v>50</v>
      </c>
      <c r="I30" s="186">
        <v>1.7</v>
      </c>
      <c r="J30" s="141">
        <f>(C30*D30*(H30/100+I30))*13.2</f>
        <v>0</v>
      </c>
    </row>
    <row r="31" spans="1:12" ht="27.6" hidden="1" x14ac:dyDescent="0.3">
      <c r="A31" s="186">
        <v>6</v>
      </c>
      <c r="B31" s="111" t="s">
        <v>486</v>
      </c>
      <c r="C31" s="186">
        <v>7.83</v>
      </c>
      <c r="D31" s="112"/>
      <c r="E31" s="136">
        <v>12000</v>
      </c>
      <c r="F31" s="112">
        <v>0</v>
      </c>
      <c r="G31" s="112">
        <f t="shared" si="1"/>
        <v>2400</v>
      </c>
      <c r="H31" s="113">
        <v>50</v>
      </c>
      <c r="I31" s="186">
        <v>1.7</v>
      </c>
      <c r="J31" s="141">
        <f>(C31*D31*(H31/100+I31))*12.8</f>
        <v>0</v>
      </c>
      <c r="K31" s="86"/>
    </row>
    <row r="32" spans="1:12" hidden="1" x14ac:dyDescent="0.3">
      <c r="A32" s="186">
        <v>14</v>
      </c>
      <c r="B32" s="111" t="s">
        <v>324</v>
      </c>
      <c r="C32" s="186"/>
      <c r="D32" s="112"/>
      <c r="E32" s="136"/>
      <c r="F32" s="112"/>
      <c r="G32" s="112">
        <f t="shared" si="1"/>
        <v>0</v>
      </c>
      <c r="H32" s="113">
        <v>50</v>
      </c>
      <c r="I32" s="186">
        <v>1.7</v>
      </c>
      <c r="J32" s="141">
        <f t="shared" ref="J32" si="3">(C32*D32*(H32/100+I32))*12</f>
        <v>0</v>
      </c>
      <c r="K32" s="86"/>
    </row>
    <row r="33" spans="1:11" hidden="1" x14ac:dyDescent="0.3">
      <c r="A33" s="186">
        <v>7</v>
      </c>
      <c r="B33" s="111" t="s">
        <v>487</v>
      </c>
      <c r="C33" s="186">
        <v>79.83</v>
      </c>
      <c r="D33" s="112"/>
      <c r="E33" s="136">
        <v>10150</v>
      </c>
      <c r="F33" s="112">
        <v>0</v>
      </c>
      <c r="G33" s="112">
        <f t="shared" si="1"/>
        <v>2030</v>
      </c>
      <c r="H33" s="113">
        <v>50</v>
      </c>
      <c r="I33" s="186">
        <v>1.7</v>
      </c>
      <c r="J33" s="114">
        <f>((C33*D33*(H33/100+I33))*12)*1.2</f>
        <v>0</v>
      </c>
      <c r="K33" s="86"/>
    </row>
    <row r="34" spans="1:11" hidden="1" x14ac:dyDescent="0.3">
      <c r="A34" s="186">
        <v>8</v>
      </c>
      <c r="B34" s="111" t="s">
        <v>488</v>
      </c>
      <c r="C34" s="186"/>
      <c r="D34" s="112"/>
      <c r="E34" s="136"/>
      <c r="F34" s="112">
        <v>0</v>
      </c>
      <c r="G34" s="112">
        <f t="shared" si="1"/>
        <v>0</v>
      </c>
      <c r="H34" s="113">
        <v>50</v>
      </c>
      <c r="I34" s="186">
        <v>1.7</v>
      </c>
      <c r="J34" s="114">
        <f t="shared" ref="J34:J44" si="4">((C34*D34*(H34/100+I34))*12)*1.2</f>
        <v>0</v>
      </c>
      <c r="K34" s="86"/>
    </row>
    <row r="35" spans="1:11" s="217" customFormat="1" hidden="1" x14ac:dyDescent="0.3">
      <c r="A35" s="214"/>
      <c r="B35" s="215" t="s">
        <v>489</v>
      </c>
      <c r="C35" s="214">
        <f>SUM(C24:C34)</f>
        <v>103.66</v>
      </c>
      <c r="D35" s="214">
        <f t="shared" ref="D35:J35" si="5">SUM(D24:D34)</f>
        <v>0</v>
      </c>
      <c r="E35" s="214">
        <f t="shared" si="5"/>
        <v>190850</v>
      </c>
      <c r="F35" s="214">
        <f t="shared" si="5"/>
        <v>0</v>
      </c>
      <c r="G35" s="214">
        <f t="shared" si="5"/>
        <v>38170</v>
      </c>
      <c r="H35" s="214">
        <v>0</v>
      </c>
      <c r="I35" s="214">
        <v>0</v>
      </c>
      <c r="J35" s="214">
        <f t="shared" si="5"/>
        <v>0</v>
      </c>
      <c r="K35" s="216"/>
    </row>
    <row r="36" spans="1:11" hidden="1" x14ac:dyDescent="0.3">
      <c r="A36" s="1349" t="s">
        <v>490</v>
      </c>
      <c r="B36" s="1350"/>
      <c r="C36" s="1350"/>
      <c r="D36" s="1350"/>
      <c r="E36" s="1350"/>
      <c r="F36" s="1350"/>
      <c r="G36" s="1350"/>
      <c r="H36" s="1350"/>
      <c r="I36" s="1350"/>
      <c r="J36" s="1351"/>
      <c r="K36" s="86"/>
    </row>
    <row r="37" spans="1:11" hidden="1" x14ac:dyDescent="0.3">
      <c r="A37" s="186">
        <v>1</v>
      </c>
      <c r="B37" s="111" t="s">
        <v>496</v>
      </c>
      <c r="C37" s="186">
        <v>2</v>
      </c>
      <c r="D37" s="112"/>
      <c r="E37" s="136">
        <v>12600</v>
      </c>
      <c r="F37" s="112">
        <v>0</v>
      </c>
      <c r="G37" s="112">
        <f t="shared" ref="G37:G41" si="6">E37*20%</f>
        <v>2520</v>
      </c>
      <c r="H37" s="113">
        <v>50</v>
      </c>
      <c r="I37" s="186">
        <v>1.7</v>
      </c>
      <c r="J37" s="114">
        <f t="shared" ref="J37:J41" si="7">((C37*D37*(H37/100+I37))*12)*1.2</f>
        <v>0</v>
      </c>
      <c r="K37" s="86"/>
    </row>
    <row r="38" spans="1:11" hidden="1" x14ac:dyDescent="0.3">
      <c r="A38" s="186">
        <v>2</v>
      </c>
      <c r="B38" s="111" t="s">
        <v>495</v>
      </c>
      <c r="C38" s="186">
        <v>1.5</v>
      </c>
      <c r="D38" s="112"/>
      <c r="E38" s="136">
        <v>22000</v>
      </c>
      <c r="F38" s="112">
        <v>0</v>
      </c>
      <c r="G38" s="112">
        <f t="shared" si="6"/>
        <v>4400</v>
      </c>
      <c r="H38" s="113">
        <v>50</v>
      </c>
      <c r="I38" s="186">
        <v>1.7</v>
      </c>
      <c r="J38" s="114">
        <f t="shared" si="7"/>
        <v>0</v>
      </c>
      <c r="K38" s="86"/>
    </row>
    <row r="39" spans="1:11" hidden="1" x14ac:dyDescent="0.3">
      <c r="A39" s="186">
        <v>3</v>
      </c>
      <c r="B39" s="111" t="s">
        <v>494</v>
      </c>
      <c r="C39" s="186">
        <v>1.25</v>
      </c>
      <c r="D39" s="112"/>
      <c r="E39" s="136">
        <v>18000</v>
      </c>
      <c r="F39" s="112">
        <v>0</v>
      </c>
      <c r="G39" s="112">
        <f t="shared" si="6"/>
        <v>3600</v>
      </c>
      <c r="H39" s="113">
        <v>50</v>
      </c>
      <c r="I39" s="186">
        <v>1.7</v>
      </c>
      <c r="J39" s="114">
        <f t="shared" si="7"/>
        <v>0</v>
      </c>
      <c r="K39" s="86"/>
    </row>
    <row r="40" spans="1:11" hidden="1" x14ac:dyDescent="0.3">
      <c r="A40" s="186">
        <v>4</v>
      </c>
      <c r="B40" s="111" t="s">
        <v>326</v>
      </c>
      <c r="C40" s="186">
        <v>1.25</v>
      </c>
      <c r="D40" s="112"/>
      <c r="E40" s="136">
        <v>13000</v>
      </c>
      <c r="F40" s="112">
        <v>0</v>
      </c>
      <c r="G40" s="112">
        <f t="shared" si="6"/>
        <v>2600</v>
      </c>
      <c r="H40" s="113">
        <v>50</v>
      </c>
      <c r="I40" s="186">
        <v>1.7</v>
      </c>
      <c r="J40" s="114">
        <f t="shared" si="7"/>
        <v>0</v>
      </c>
      <c r="K40" s="86"/>
    </row>
    <row r="41" spans="1:11" hidden="1" x14ac:dyDescent="0.3">
      <c r="A41" s="186">
        <v>5</v>
      </c>
      <c r="B41" s="111" t="s">
        <v>327</v>
      </c>
      <c r="C41" s="186">
        <v>1</v>
      </c>
      <c r="D41" s="112"/>
      <c r="E41" s="136">
        <v>13000</v>
      </c>
      <c r="F41" s="112">
        <v>0</v>
      </c>
      <c r="G41" s="112">
        <f t="shared" si="6"/>
        <v>2600</v>
      </c>
      <c r="H41" s="113">
        <v>50</v>
      </c>
      <c r="I41" s="186">
        <v>1.7</v>
      </c>
      <c r="J41" s="114">
        <f t="shared" si="7"/>
        <v>0</v>
      </c>
      <c r="K41" s="86"/>
    </row>
    <row r="42" spans="1:11" hidden="1" x14ac:dyDescent="0.3">
      <c r="A42" s="186">
        <v>6</v>
      </c>
      <c r="B42" s="111" t="s">
        <v>493</v>
      </c>
      <c r="C42" s="186">
        <v>1</v>
      </c>
      <c r="D42" s="112"/>
      <c r="E42" s="136">
        <v>11000</v>
      </c>
      <c r="F42" s="112">
        <v>0</v>
      </c>
      <c r="G42" s="112">
        <f t="shared" si="1"/>
        <v>2200</v>
      </c>
      <c r="H42" s="113">
        <v>50</v>
      </c>
      <c r="I42" s="186">
        <v>1.7</v>
      </c>
      <c r="J42" s="114">
        <f t="shared" si="4"/>
        <v>0</v>
      </c>
      <c r="K42" s="86"/>
    </row>
    <row r="43" spans="1:11" ht="27.6" hidden="1" x14ac:dyDescent="0.3">
      <c r="A43" s="186">
        <v>7</v>
      </c>
      <c r="B43" s="111" t="s">
        <v>492</v>
      </c>
      <c r="C43" s="186">
        <v>1</v>
      </c>
      <c r="D43" s="112"/>
      <c r="E43" s="136">
        <v>12000</v>
      </c>
      <c r="F43" s="112">
        <v>0</v>
      </c>
      <c r="G43" s="112">
        <f t="shared" si="1"/>
        <v>2400</v>
      </c>
      <c r="H43" s="113">
        <v>50</v>
      </c>
      <c r="I43" s="186">
        <v>1.7</v>
      </c>
      <c r="J43" s="114">
        <f t="shared" si="4"/>
        <v>0</v>
      </c>
      <c r="K43" s="86"/>
    </row>
    <row r="44" spans="1:11" ht="27.6" hidden="1" x14ac:dyDescent="0.3">
      <c r="A44" s="186">
        <v>8</v>
      </c>
      <c r="B44" s="111" t="s">
        <v>491</v>
      </c>
      <c r="C44" s="186">
        <v>1</v>
      </c>
      <c r="D44" s="112"/>
      <c r="E44" s="136">
        <v>22000</v>
      </c>
      <c r="F44" s="112">
        <v>0</v>
      </c>
      <c r="G44" s="112">
        <f t="shared" si="1"/>
        <v>4400</v>
      </c>
      <c r="H44" s="113">
        <v>50</v>
      </c>
      <c r="I44" s="186">
        <v>1.7</v>
      </c>
      <c r="J44" s="114">
        <f t="shared" si="4"/>
        <v>0</v>
      </c>
      <c r="K44" s="86"/>
    </row>
    <row r="45" spans="1:11" ht="27.6" hidden="1" x14ac:dyDescent="0.3">
      <c r="A45" s="186">
        <v>9</v>
      </c>
      <c r="B45" s="111" t="s">
        <v>325</v>
      </c>
      <c r="C45" s="186">
        <v>1</v>
      </c>
      <c r="D45" s="112"/>
      <c r="E45" s="136">
        <v>14000</v>
      </c>
      <c r="F45" s="112">
        <v>0</v>
      </c>
      <c r="G45" s="112">
        <f t="shared" si="1"/>
        <v>2800</v>
      </c>
      <c r="H45" s="113">
        <v>50</v>
      </c>
      <c r="I45" s="186">
        <v>1.7</v>
      </c>
      <c r="J45" s="114">
        <f>((C45*D45*(H45/100+I45))*12)*1.2</f>
        <v>0</v>
      </c>
      <c r="K45" s="137"/>
    </row>
    <row r="46" spans="1:11" hidden="1" x14ac:dyDescent="0.3">
      <c r="A46" s="186">
        <v>10</v>
      </c>
      <c r="B46" s="111" t="s">
        <v>497</v>
      </c>
      <c r="C46" s="186">
        <v>1</v>
      </c>
      <c r="D46" s="112"/>
      <c r="E46" s="136">
        <v>13000</v>
      </c>
      <c r="F46" s="112">
        <v>0</v>
      </c>
      <c r="G46" s="112">
        <f t="shared" si="1"/>
        <v>2600</v>
      </c>
      <c r="H46" s="113">
        <v>50</v>
      </c>
      <c r="I46" s="186">
        <v>1.7</v>
      </c>
      <c r="J46" s="114">
        <f>((C46*D46*(H46/100+I46))*12)*1</f>
        <v>0</v>
      </c>
    </row>
    <row r="47" spans="1:11" hidden="1" x14ac:dyDescent="0.3">
      <c r="A47" s="186">
        <v>11</v>
      </c>
      <c r="B47" s="111" t="s">
        <v>498</v>
      </c>
      <c r="C47" s="186">
        <v>1</v>
      </c>
      <c r="D47" s="112"/>
      <c r="E47" s="136">
        <v>12000</v>
      </c>
      <c r="F47" s="112">
        <v>0</v>
      </c>
      <c r="G47" s="112">
        <f t="shared" si="1"/>
        <v>2400</v>
      </c>
      <c r="H47" s="113">
        <v>50</v>
      </c>
      <c r="I47" s="186">
        <v>1.7</v>
      </c>
      <c r="J47" s="114">
        <f>((C47*D47*(H47/100+I47))*12)*1.4</f>
        <v>0</v>
      </c>
    </row>
    <row r="48" spans="1:11" hidden="1" x14ac:dyDescent="0.3">
      <c r="A48" s="186">
        <v>12</v>
      </c>
      <c r="B48" s="111" t="s">
        <v>499</v>
      </c>
      <c r="C48" s="186">
        <v>2</v>
      </c>
      <c r="D48" s="112"/>
      <c r="E48" s="136">
        <v>14000</v>
      </c>
      <c r="F48" s="112">
        <v>0</v>
      </c>
      <c r="G48" s="112">
        <f t="shared" si="1"/>
        <v>2800</v>
      </c>
      <c r="H48" s="113">
        <v>50</v>
      </c>
      <c r="I48" s="186">
        <v>1.7</v>
      </c>
      <c r="J48" s="114">
        <f>((C48*D48*(H48/100+I48))*12)*1.3</f>
        <v>0</v>
      </c>
    </row>
    <row r="49" spans="1:11" s="217" customFormat="1" hidden="1" x14ac:dyDescent="0.3">
      <c r="A49" s="214"/>
      <c r="B49" s="215" t="s">
        <v>500</v>
      </c>
      <c r="C49" s="214">
        <f>SUM(C37:C48)</f>
        <v>15</v>
      </c>
      <c r="D49" s="214"/>
      <c r="E49" s="214">
        <f t="shared" ref="E49:J49" si="8">SUM(E37:E48)</f>
        <v>176600</v>
      </c>
      <c r="F49" s="214">
        <f t="shared" si="8"/>
        <v>0</v>
      </c>
      <c r="G49" s="214">
        <f t="shared" si="8"/>
        <v>35320</v>
      </c>
      <c r="H49" s="214">
        <v>0</v>
      </c>
      <c r="I49" s="214">
        <v>0</v>
      </c>
      <c r="J49" s="214">
        <f t="shared" si="8"/>
        <v>0</v>
      </c>
    </row>
    <row r="50" spans="1:11" ht="27.6" hidden="1" x14ac:dyDescent="0.3">
      <c r="A50" s="115"/>
      <c r="B50" s="116" t="s">
        <v>501</v>
      </c>
      <c r="C50" s="117">
        <f>C35+C49</f>
        <v>118.66</v>
      </c>
      <c r="D50" s="117">
        <f>D35+D49</f>
        <v>0</v>
      </c>
      <c r="E50" s="117" t="s">
        <v>14</v>
      </c>
      <c r="F50" s="117" t="s">
        <v>14</v>
      </c>
      <c r="G50" s="117" t="s">
        <v>14</v>
      </c>
      <c r="H50" s="117" t="s">
        <v>14</v>
      </c>
      <c r="I50" s="117" t="s">
        <v>14</v>
      </c>
      <c r="J50" s="117">
        <f>J35+J49</f>
        <v>0</v>
      </c>
    </row>
    <row r="51" spans="1:11" hidden="1" x14ac:dyDescent="0.3">
      <c r="A51" s="1347" t="s">
        <v>505</v>
      </c>
      <c r="B51" s="1348"/>
      <c r="C51" s="1348"/>
      <c r="D51" s="1348"/>
      <c r="E51" s="1348"/>
      <c r="F51" s="1348"/>
      <c r="G51" s="1348"/>
      <c r="H51" s="1348"/>
      <c r="I51" s="1348"/>
      <c r="J51" s="1348"/>
    </row>
    <row r="52" spans="1:11" hidden="1" x14ac:dyDescent="0.3">
      <c r="A52" s="186">
        <v>1</v>
      </c>
      <c r="B52" s="111" t="s">
        <v>328</v>
      </c>
      <c r="C52" s="186">
        <v>1</v>
      </c>
      <c r="D52" s="112"/>
      <c r="E52" s="136">
        <v>10000</v>
      </c>
      <c r="F52" s="112">
        <v>0</v>
      </c>
      <c r="G52" s="112">
        <f>E52*20%</f>
        <v>2000</v>
      </c>
      <c r="H52" s="113">
        <v>50</v>
      </c>
      <c r="I52" s="186">
        <v>1.7</v>
      </c>
      <c r="J52" s="114">
        <f>((C52*D52*(H52/100+I52))*12)*1.37</f>
        <v>0</v>
      </c>
      <c r="K52" s="137"/>
    </row>
    <row r="53" spans="1:11" hidden="1" x14ac:dyDescent="0.3">
      <c r="A53" s="186">
        <v>2</v>
      </c>
      <c r="B53" s="111" t="s">
        <v>503</v>
      </c>
      <c r="C53" s="186">
        <v>1</v>
      </c>
      <c r="D53" s="112"/>
      <c r="E53" s="136">
        <v>9500</v>
      </c>
      <c r="F53" s="112">
        <v>0</v>
      </c>
      <c r="G53" s="112"/>
      <c r="H53" s="113">
        <v>50</v>
      </c>
      <c r="I53" s="186">
        <v>1.7</v>
      </c>
      <c r="J53" s="114">
        <f>((C53*D53*(H53/100+I53))*12)*1.37</f>
        <v>0</v>
      </c>
      <c r="K53" s="137"/>
    </row>
    <row r="54" spans="1:11" ht="27.6" hidden="1" x14ac:dyDescent="0.3">
      <c r="A54" s="186">
        <v>3</v>
      </c>
      <c r="B54" s="111" t="s">
        <v>504</v>
      </c>
      <c r="C54" s="186">
        <v>0.17</v>
      </c>
      <c r="D54" s="112"/>
      <c r="E54" s="136">
        <v>8500</v>
      </c>
      <c r="F54" s="112">
        <v>0</v>
      </c>
      <c r="G54" s="112">
        <f>E54*20%</f>
        <v>1700</v>
      </c>
      <c r="H54" s="113">
        <v>50</v>
      </c>
      <c r="I54" s="186">
        <v>1.7</v>
      </c>
      <c r="J54" s="114">
        <f>((C54*D54*(H54/100+I54))*12)*1.22</f>
        <v>0</v>
      </c>
    </row>
    <row r="55" spans="1:11" ht="27.6" hidden="1" x14ac:dyDescent="0.3">
      <c r="A55" s="115"/>
      <c r="B55" s="116" t="s">
        <v>502</v>
      </c>
      <c r="C55" s="117">
        <f>SUM(C52:C54)</f>
        <v>2.17</v>
      </c>
      <c r="D55" s="119">
        <f>SUM(D52:D54)</f>
        <v>0</v>
      </c>
      <c r="E55" s="117" t="s">
        <v>14</v>
      </c>
      <c r="F55" s="117" t="s">
        <v>14</v>
      </c>
      <c r="G55" s="117" t="s">
        <v>14</v>
      </c>
      <c r="H55" s="117" t="s">
        <v>14</v>
      </c>
      <c r="I55" s="117" t="s">
        <v>14</v>
      </c>
      <c r="J55" s="120">
        <f>SUM(J52:J54)</f>
        <v>0</v>
      </c>
    </row>
    <row r="56" spans="1:11" hidden="1" x14ac:dyDescent="0.3">
      <c r="A56" s="1347" t="s">
        <v>506</v>
      </c>
      <c r="B56" s="1354"/>
      <c r="C56" s="1354"/>
      <c r="D56" s="1354"/>
      <c r="E56" s="1354"/>
      <c r="F56" s="1354"/>
      <c r="G56" s="1354"/>
      <c r="H56" s="1354"/>
      <c r="I56" s="1354"/>
      <c r="J56" s="1354"/>
    </row>
    <row r="57" spans="1:11" ht="27.6" hidden="1" x14ac:dyDescent="0.3">
      <c r="A57" s="186">
        <v>1</v>
      </c>
      <c r="B57" s="111" t="s">
        <v>316</v>
      </c>
      <c r="C57" s="186">
        <v>14</v>
      </c>
      <c r="D57" s="112"/>
      <c r="E57" s="136">
        <v>12500</v>
      </c>
      <c r="F57" s="112">
        <f>E57*2%</f>
        <v>250</v>
      </c>
      <c r="G57" s="112">
        <f>E57*18%</f>
        <v>2250</v>
      </c>
      <c r="H57" s="113">
        <v>50</v>
      </c>
      <c r="I57" s="186">
        <v>1.7</v>
      </c>
      <c r="J57" s="114">
        <f>((C57*D57*(H57/100+I57))*12)*1.2</f>
        <v>0</v>
      </c>
      <c r="K57" s="137"/>
    </row>
    <row r="58" spans="1:11" hidden="1" x14ac:dyDescent="0.3">
      <c r="A58" s="186">
        <v>2</v>
      </c>
      <c r="B58" s="111" t="s">
        <v>507</v>
      </c>
      <c r="C58" s="186">
        <v>1</v>
      </c>
      <c r="D58" s="112"/>
      <c r="E58" s="136">
        <v>12000</v>
      </c>
      <c r="F58" s="112">
        <v>0</v>
      </c>
      <c r="G58" s="112">
        <f>E58*20%</f>
        <v>2400</v>
      </c>
      <c r="H58" s="113">
        <v>50</v>
      </c>
      <c r="I58" s="186">
        <v>1.7</v>
      </c>
      <c r="J58" s="114">
        <f>((C58*D58*(H58/100+I58))*12)*1.2</f>
        <v>0</v>
      </c>
      <c r="K58" s="137"/>
    </row>
    <row r="59" spans="1:11" ht="41.4" hidden="1" x14ac:dyDescent="0.3">
      <c r="A59" s="186">
        <v>3</v>
      </c>
      <c r="B59" s="111" t="s">
        <v>314</v>
      </c>
      <c r="C59" s="186">
        <v>1.5</v>
      </c>
      <c r="D59" s="112"/>
      <c r="E59" s="136">
        <v>11000</v>
      </c>
      <c r="F59" s="112">
        <v>0</v>
      </c>
      <c r="G59" s="112">
        <f>E59*20%</f>
        <v>2200</v>
      </c>
      <c r="H59" s="113">
        <v>50</v>
      </c>
      <c r="I59" s="186">
        <v>1.7</v>
      </c>
      <c r="J59" s="114">
        <f>((C59*D59*(H59/100+I59))*12)*1.13</f>
        <v>0</v>
      </c>
    </row>
    <row r="60" spans="1:11" hidden="1" x14ac:dyDescent="0.3">
      <c r="A60" s="186">
        <v>4</v>
      </c>
      <c r="B60" s="111" t="s">
        <v>317</v>
      </c>
      <c r="C60" s="186">
        <v>3</v>
      </c>
      <c r="D60" s="112"/>
      <c r="E60" s="136">
        <v>12000</v>
      </c>
      <c r="F60" s="112">
        <v>0</v>
      </c>
      <c r="G60" s="112">
        <f t="shared" ref="G60:G63" si="9">E60*20%</f>
        <v>2400</v>
      </c>
      <c r="H60" s="113">
        <v>50</v>
      </c>
      <c r="I60" s="186">
        <v>1.7</v>
      </c>
      <c r="J60" s="114">
        <f t="shared" ref="J60:J63" si="10">((C60*D60*(H60/100+I60))*12)*1.13</f>
        <v>0</v>
      </c>
    </row>
    <row r="61" spans="1:11" hidden="1" x14ac:dyDescent="0.3">
      <c r="A61" s="186">
        <v>5</v>
      </c>
      <c r="B61" s="111" t="s">
        <v>508</v>
      </c>
      <c r="C61" s="186">
        <v>2</v>
      </c>
      <c r="D61" s="112"/>
      <c r="E61" s="136">
        <v>8000</v>
      </c>
      <c r="F61" s="112">
        <v>0</v>
      </c>
      <c r="G61" s="112">
        <f t="shared" si="9"/>
        <v>1600</v>
      </c>
      <c r="H61" s="113">
        <v>50</v>
      </c>
      <c r="I61" s="186">
        <v>1.7</v>
      </c>
      <c r="J61" s="114">
        <f t="shared" si="10"/>
        <v>0</v>
      </c>
    </row>
    <row r="62" spans="1:11" hidden="1" x14ac:dyDescent="0.3">
      <c r="A62" s="186">
        <v>6</v>
      </c>
      <c r="B62" s="111" t="s">
        <v>315</v>
      </c>
      <c r="C62" s="186">
        <v>1</v>
      </c>
      <c r="D62" s="112"/>
      <c r="E62" s="136">
        <v>10000</v>
      </c>
      <c r="F62" s="112">
        <v>0</v>
      </c>
      <c r="G62" s="112">
        <f t="shared" si="9"/>
        <v>2000</v>
      </c>
      <c r="H62" s="113">
        <v>50</v>
      </c>
      <c r="I62" s="186">
        <v>1.7</v>
      </c>
      <c r="J62" s="114">
        <f t="shared" si="10"/>
        <v>0</v>
      </c>
    </row>
    <row r="63" spans="1:11" hidden="1" x14ac:dyDescent="0.3">
      <c r="A63" s="186">
        <v>7</v>
      </c>
      <c r="B63" s="111" t="s">
        <v>318</v>
      </c>
      <c r="C63" s="186">
        <v>2</v>
      </c>
      <c r="D63" s="112"/>
      <c r="E63" s="136">
        <v>10000</v>
      </c>
      <c r="F63" s="112">
        <v>0</v>
      </c>
      <c r="G63" s="112">
        <f t="shared" si="9"/>
        <v>2000</v>
      </c>
      <c r="H63" s="113">
        <v>50</v>
      </c>
      <c r="I63" s="186">
        <v>1.7</v>
      </c>
      <c r="J63" s="114">
        <f t="shared" si="10"/>
        <v>0</v>
      </c>
    </row>
    <row r="64" spans="1:11" ht="27.6" hidden="1" x14ac:dyDescent="0.3">
      <c r="A64" s="115"/>
      <c r="B64" s="116" t="s">
        <v>509</v>
      </c>
      <c r="C64" s="117">
        <f>SUM(C57:C63)</f>
        <v>24.5</v>
      </c>
      <c r="D64" s="119">
        <f>SUM(D57:D63)</f>
        <v>0</v>
      </c>
      <c r="E64" s="117" t="s">
        <v>14</v>
      </c>
      <c r="F64" s="117" t="s">
        <v>14</v>
      </c>
      <c r="G64" s="117" t="s">
        <v>14</v>
      </c>
      <c r="H64" s="117" t="s">
        <v>14</v>
      </c>
      <c r="I64" s="117" t="s">
        <v>14</v>
      </c>
      <c r="J64" s="120">
        <f>SUM(J57:J63)</f>
        <v>0</v>
      </c>
      <c r="K64" s="138"/>
    </row>
    <row r="65" spans="1:12" s="41" customFormat="1" ht="13.8" hidden="1" x14ac:dyDescent="0.3">
      <c r="A65" s="1359" t="s">
        <v>320</v>
      </c>
      <c r="B65" s="1360"/>
      <c r="C65" s="1360"/>
      <c r="D65" s="1360"/>
      <c r="E65" s="1360"/>
      <c r="F65" s="1360"/>
      <c r="G65" s="1360"/>
      <c r="H65" s="1360"/>
      <c r="I65" s="1360"/>
      <c r="J65" s="129"/>
    </row>
    <row r="66" spans="1:12" hidden="1" x14ac:dyDescent="0.3">
      <c r="A66" s="1361" t="s">
        <v>331</v>
      </c>
      <c r="B66" s="1361"/>
      <c r="C66" s="87">
        <f>C21+C50+C55+C64</f>
        <v>153.82999999999998</v>
      </c>
      <c r="D66" s="88">
        <f>D21+D50+D55+D64</f>
        <v>0</v>
      </c>
      <c r="E66" s="87" t="s">
        <v>14</v>
      </c>
      <c r="F66" s="87" t="s">
        <v>14</v>
      </c>
      <c r="G66" s="87" t="s">
        <v>14</v>
      </c>
      <c r="H66" s="87" t="s">
        <v>14</v>
      </c>
      <c r="I66" s="87" t="s">
        <v>14</v>
      </c>
      <c r="J66" s="153">
        <f>J21+J50+J55+J64</f>
        <v>0</v>
      </c>
      <c r="L66" s="86"/>
    </row>
    <row r="67" spans="1:12" ht="68.25" customHeight="1" x14ac:dyDescent="0.3">
      <c r="A67" s="1345" t="s">
        <v>988</v>
      </c>
      <c r="B67" s="1345"/>
      <c r="C67" s="271">
        <v>35</v>
      </c>
      <c r="D67" s="271">
        <f>E67</f>
        <v>5000</v>
      </c>
      <c r="E67" s="271">
        <v>5000</v>
      </c>
      <c r="F67" s="271"/>
      <c r="G67" s="271">
        <v>0</v>
      </c>
      <c r="H67" s="271">
        <v>0.5</v>
      </c>
      <c r="I67" s="271">
        <v>1.5</v>
      </c>
      <c r="J67" s="114">
        <v>4220000</v>
      </c>
      <c r="L67" s="86"/>
    </row>
    <row r="68" spans="1:12" ht="21.75" customHeight="1" x14ac:dyDescent="0.3">
      <c r="A68" s="1362" t="s">
        <v>722</v>
      </c>
      <c r="B68" s="1363"/>
      <c r="C68" s="1363"/>
      <c r="D68" s="1363"/>
      <c r="E68" s="1363"/>
      <c r="F68" s="1363"/>
      <c r="G68" s="1363"/>
      <c r="H68" s="1363"/>
      <c r="I68" s="1364"/>
      <c r="J68" s="221">
        <f>J66+J67</f>
        <v>4220000</v>
      </c>
      <c r="L68" s="86"/>
    </row>
    <row r="69" spans="1:12" ht="39.75" hidden="1" customHeight="1" x14ac:dyDescent="0.3">
      <c r="A69" s="189"/>
      <c r="B69" s="190"/>
      <c r="C69" s="190"/>
      <c r="D69" s="190"/>
      <c r="E69" s="190"/>
      <c r="F69" s="190"/>
      <c r="G69" s="190"/>
      <c r="H69" s="190"/>
      <c r="I69" s="191"/>
      <c r="J69" s="152"/>
      <c r="L69" s="86"/>
    </row>
    <row r="70" spans="1:12" ht="15.6" hidden="1" x14ac:dyDescent="0.3">
      <c r="A70" s="121"/>
      <c r="B70" s="121"/>
      <c r="C70" s="181"/>
      <c r="D70" s="122"/>
      <c r="E70" s="181"/>
      <c r="F70" s="181"/>
      <c r="G70" s="181"/>
      <c r="H70" s="181"/>
      <c r="I70" s="181"/>
      <c r="J70" s="123"/>
    </row>
    <row r="71" spans="1:12" hidden="1" x14ac:dyDescent="0.3">
      <c r="A71" s="1346" t="s">
        <v>1</v>
      </c>
      <c r="B71" s="1346" t="s">
        <v>2</v>
      </c>
      <c r="C71" s="1346" t="s">
        <v>3</v>
      </c>
      <c r="D71" s="1345" t="s">
        <v>4</v>
      </c>
      <c r="E71" s="1345"/>
      <c r="F71" s="1345"/>
      <c r="G71" s="1345"/>
      <c r="H71" s="1346" t="s">
        <v>5</v>
      </c>
      <c r="I71" s="1346" t="s">
        <v>6</v>
      </c>
      <c r="J71" s="1346" t="s">
        <v>312</v>
      </c>
    </row>
    <row r="72" spans="1:12" hidden="1" x14ac:dyDescent="0.3">
      <c r="A72" s="1346"/>
      <c r="B72" s="1346"/>
      <c r="C72" s="1346"/>
      <c r="D72" s="1346" t="s">
        <v>8</v>
      </c>
      <c r="E72" s="1345" t="s">
        <v>9</v>
      </c>
      <c r="F72" s="1345"/>
      <c r="G72" s="1345"/>
      <c r="H72" s="1346"/>
      <c r="I72" s="1346"/>
      <c r="J72" s="1346"/>
    </row>
    <row r="73" spans="1:12" ht="69" hidden="1" x14ac:dyDescent="0.3">
      <c r="A73" s="1346"/>
      <c r="B73" s="1346"/>
      <c r="C73" s="1346"/>
      <c r="D73" s="1346"/>
      <c r="E73" s="182" t="s">
        <v>10</v>
      </c>
      <c r="F73" s="182" t="s">
        <v>11</v>
      </c>
      <c r="G73" s="182" t="s">
        <v>12</v>
      </c>
      <c r="H73" s="1346"/>
      <c r="I73" s="1346"/>
      <c r="J73" s="1346"/>
    </row>
    <row r="74" spans="1:12" hidden="1" x14ac:dyDescent="0.3">
      <c r="A74" s="186">
        <v>1</v>
      </c>
      <c r="B74" s="186">
        <v>2</v>
      </c>
      <c r="C74" s="186">
        <v>3</v>
      </c>
      <c r="D74" s="186">
        <v>4</v>
      </c>
      <c r="E74" s="186">
        <v>5</v>
      </c>
      <c r="F74" s="186">
        <v>6</v>
      </c>
      <c r="G74" s="186">
        <v>7</v>
      </c>
      <c r="H74" s="186">
        <v>8</v>
      </c>
      <c r="I74" s="186">
        <v>9</v>
      </c>
      <c r="J74" s="186">
        <v>10</v>
      </c>
    </row>
    <row r="75" spans="1:12" hidden="1" x14ac:dyDescent="0.3">
      <c r="A75" s="1347" t="s">
        <v>313</v>
      </c>
      <c r="B75" s="1354"/>
      <c r="C75" s="1354"/>
      <c r="D75" s="1354"/>
      <c r="E75" s="1354"/>
      <c r="F75" s="1354"/>
      <c r="G75" s="1354"/>
      <c r="H75" s="1354"/>
      <c r="I75" s="1354"/>
      <c r="J75" s="1354"/>
    </row>
    <row r="76" spans="1:12" ht="41.4" hidden="1" x14ac:dyDescent="0.3">
      <c r="A76" s="186">
        <v>1</v>
      </c>
      <c r="B76" s="111" t="s">
        <v>314</v>
      </c>
      <c r="C76" s="186"/>
      <c r="D76" s="124">
        <f>E76+F76+G76</f>
        <v>0</v>
      </c>
      <c r="E76" s="139"/>
      <c r="F76" s="124"/>
      <c r="G76" s="124">
        <f>(E76+F76)*20%</f>
        <v>0</v>
      </c>
      <c r="H76" s="113">
        <v>50</v>
      </c>
      <c r="I76" s="186">
        <v>1.7</v>
      </c>
      <c r="J76" s="125">
        <f>(C76*D76*(H76/100+I76))*12.5</f>
        <v>0</v>
      </c>
      <c r="L76" s="86"/>
    </row>
    <row r="77" spans="1:12" ht="15.75" hidden="1" customHeight="1" x14ac:dyDescent="0.3">
      <c r="A77" s="186">
        <v>2</v>
      </c>
      <c r="B77" s="111" t="s">
        <v>315</v>
      </c>
      <c r="C77" s="186"/>
      <c r="D77" s="124">
        <f t="shared" ref="D77:D78" si="11">E77+F77+G77</f>
        <v>0</v>
      </c>
      <c r="E77" s="139"/>
      <c r="F77" s="124"/>
      <c r="G77" s="124">
        <f>(E77+F77)*20%</f>
        <v>0</v>
      </c>
      <c r="H77" s="113">
        <v>50</v>
      </c>
      <c r="I77" s="186">
        <v>1.7</v>
      </c>
      <c r="J77" s="125">
        <f>(C77*D77*(H77/100+I77))*12.5</f>
        <v>0</v>
      </c>
    </row>
    <row r="78" spans="1:12" ht="27.6" hidden="1" x14ac:dyDescent="0.3">
      <c r="A78" s="186">
        <v>3</v>
      </c>
      <c r="B78" s="111" t="s">
        <v>316</v>
      </c>
      <c r="C78" s="186"/>
      <c r="D78" s="124">
        <f t="shared" si="11"/>
        <v>0</v>
      </c>
      <c r="E78" s="124"/>
      <c r="F78" s="124"/>
      <c r="G78" s="124">
        <f>(E78+F78)*20%</f>
        <v>0</v>
      </c>
      <c r="H78" s="113">
        <v>50</v>
      </c>
      <c r="I78" s="186">
        <v>1.7</v>
      </c>
      <c r="J78" s="125">
        <f>(C78*D78*(H78/100+I78))*12.5</f>
        <v>0</v>
      </c>
    </row>
    <row r="79" spans="1:12" hidden="1" x14ac:dyDescent="0.3">
      <c r="A79" s="186">
        <v>4</v>
      </c>
      <c r="B79" s="111" t="s">
        <v>317</v>
      </c>
      <c r="C79" s="186"/>
      <c r="D79" s="124">
        <f>E79+F79+G79</f>
        <v>0</v>
      </c>
      <c r="E79" s="124"/>
      <c r="F79" s="124"/>
      <c r="G79" s="124">
        <f>(E79+F79)*20%</f>
        <v>0</v>
      </c>
      <c r="H79" s="113">
        <v>50</v>
      </c>
      <c r="I79" s="186">
        <v>1.7</v>
      </c>
      <c r="J79" s="125">
        <f>(C79*D79*(H79/100+I79))*12.5</f>
        <v>0</v>
      </c>
    </row>
    <row r="80" spans="1:12" ht="21.75" hidden="1" customHeight="1" x14ac:dyDescent="0.3">
      <c r="A80" s="186">
        <v>5</v>
      </c>
      <c r="B80" s="111" t="s">
        <v>318</v>
      </c>
      <c r="C80" s="186"/>
      <c r="D80" s="124">
        <f t="shared" ref="D80" si="12">E80+F80+G80</f>
        <v>0</v>
      </c>
      <c r="E80" s="124"/>
      <c r="F80" s="124"/>
      <c r="G80" s="124">
        <f t="shared" ref="G80" si="13">(E80+F80)*20%</f>
        <v>0</v>
      </c>
      <c r="H80" s="113">
        <v>50</v>
      </c>
      <c r="I80" s="186">
        <v>1.7</v>
      </c>
      <c r="J80" s="125">
        <f>(C80*D80*(H80/100+I80))*12.5</f>
        <v>0</v>
      </c>
      <c r="K80" s="86"/>
    </row>
    <row r="81" spans="1:12" ht="16.5" hidden="1" customHeight="1" x14ac:dyDescent="0.3">
      <c r="A81" s="115"/>
      <c r="B81" s="126" t="s">
        <v>319</v>
      </c>
      <c r="C81" s="127">
        <f>SUM(C76:C80)</f>
        <v>0</v>
      </c>
      <c r="D81" s="128">
        <f>SUM(D76:D80)</f>
        <v>0</v>
      </c>
      <c r="E81" s="127" t="s">
        <v>14</v>
      </c>
      <c r="F81" s="127" t="s">
        <v>14</v>
      </c>
      <c r="G81" s="127" t="s">
        <v>14</v>
      </c>
      <c r="H81" s="127" t="s">
        <v>14</v>
      </c>
      <c r="I81" s="127" t="s">
        <v>14</v>
      </c>
      <c r="J81" s="129">
        <f>SUM(J76:J80)</f>
        <v>0</v>
      </c>
    </row>
    <row r="82" spans="1:12" ht="15.75" hidden="1" customHeight="1" x14ac:dyDescent="0.3">
      <c r="A82" s="1365" t="s">
        <v>343</v>
      </c>
      <c r="B82" s="1366"/>
      <c r="C82" s="1366"/>
      <c r="D82" s="1366"/>
      <c r="E82" s="1366"/>
      <c r="F82" s="1366"/>
      <c r="G82" s="1366"/>
      <c r="H82" s="1366"/>
      <c r="I82" s="1367"/>
      <c r="J82" s="129"/>
    </row>
    <row r="83" spans="1:12" s="41" customFormat="1" ht="13.8" hidden="1" x14ac:dyDescent="0.3">
      <c r="A83" s="1365" t="s">
        <v>467</v>
      </c>
      <c r="B83" s="1366"/>
      <c r="C83" s="1366"/>
      <c r="D83" s="1366"/>
      <c r="E83" s="1366"/>
      <c r="F83" s="1366"/>
      <c r="G83" s="1366"/>
      <c r="H83" s="1366"/>
      <c r="I83" s="1367"/>
      <c r="J83" s="143"/>
    </row>
    <row r="84" spans="1:12" s="41" customFormat="1" hidden="1" x14ac:dyDescent="0.3">
      <c r="A84" s="218" t="s">
        <v>379</v>
      </c>
      <c r="B84" s="219"/>
      <c r="C84" s="220"/>
      <c r="D84" s="220"/>
      <c r="E84" s="220"/>
      <c r="F84" s="220"/>
      <c r="G84" s="220"/>
      <c r="H84" s="220"/>
      <c r="I84" s="220"/>
      <c r="J84" s="143"/>
    </row>
    <row r="85" spans="1:12" s="41" customFormat="1" ht="15.6" hidden="1" x14ac:dyDescent="0.3">
      <c r="A85" s="1368" t="s">
        <v>511</v>
      </c>
      <c r="B85" s="1369"/>
      <c r="C85" s="1369"/>
      <c r="D85" s="1369"/>
      <c r="E85" s="1369"/>
      <c r="F85" s="1369"/>
      <c r="G85" s="1369"/>
      <c r="H85" s="1369"/>
      <c r="I85" s="1369"/>
      <c r="J85" s="1370"/>
    </row>
    <row r="86" spans="1:12" ht="21" hidden="1" customHeight="1" x14ac:dyDescent="0.3">
      <c r="A86" s="1371" t="s">
        <v>512</v>
      </c>
      <c r="B86" s="1372"/>
      <c r="C86" s="130">
        <v>2.4</v>
      </c>
      <c r="D86" s="131">
        <f>D81</f>
        <v>0</v>
      </c>
      <c r="E86" s="132" t="s">
        <v>14</v>
      </c>
      <c r="F86" s="132" t="s">
        <v>14</v>
      </c>
      <c r="G86" s="132" t="s">
        <v>14</v>
      </c>
      <c r="H86" s="132" t="s">
        <v>14</v>
      </c>
      <c r="I86" s="132" t="s">
        <v>14</v>
      </c>
      <c r="J86" s="228">
        <v>0</v>
      </c>
      <c r="K86" s="86"/>
      <c r="L86" s="86"/>
    </row>
    <row r="87" spans="1:12" ht="21" customHeight="1" x14ac:dyDescent="0.3">
      <c r="A87" s="1373" t="s">
        <v>921</v>
      </c>
      <c r="B87" s="1374"/>
      <c r="C87" s="1374"/>
      <c r="D87" s="1374"/>
      <c r="E87" s="1374"/>
      <c r="F87" s="1374"/>
      <c r="G87" s="1374"/>
      <c r="H87" s="1374"/>
      <c r="I87" s="1374"/>
      <c r="J87" s="229">
        <f>J86+J68</f>
        <v>4220000</v>
      </c>
      <c r="K87" s="86"/>
      <c r="L87" s="86"/>
    </row>
    <row r="88" spans="1:12" ht="21" hidden="1" customHeight="1" x14ac:dyDescent="0.3">
      <c r="A88" s="222"/>
      <c r="B88" s="223"/>
      <c r="C88" s="224"/>
      <c r="D88" s="225"/>
      <c r="E88" s="226"/>
      <c r="F88" s="226"/>
      <c r="G88" s="226"/>
      <c r="H88" s="226"/>
      <c r="I88" s="226"/>
      <c r="J88" s="227"/>
      <c r="K88" s="86"/>
      <c r="L88" s="86"/>
    </row>
    <row r="89" spans="1:12" ht="20.25" hidden="1" customHeight="1" x14ac:dyDescent="0.3">
      <c r="A89" s="1325" t="s">
        <v>359</v>
      </c>
      <c r="B89" s="1326"/>
      <c r="C89" s="1326"/>
      <c r="D89" s="1326"/>
      <c r="E89" s="1326"/>
      <c r="F89" s="1326"/>
      <c r="G89" s="1326"/>
      <c r="H89" s="1326"/>
      <c r="I89" s="1326"/>
      <c r="J89" s="1327"/>
    </row>
    <row r="90" spans="1:12" ht="30" hidden="1" customHeight="1" x14ac:dyDescent="0.3">
      <c r="A90" s="187" t="s">
        <v>1</v>
      </c>
      <c r="B90" s="1335" t="s">
        <v>44</v>
      </c>
      <c r="C90" s="1335"/>
      <c r="D90" s="1335"/>
      <c r="E90" s="1335" t="s">
        <v>45</v>
      </c>
      <c r="F90" s="1335"/>
      <c r="G90" s="1335" t="s">
        <v>46</v>
      </c>
      <c r="H90" s="1335"/>
      <c r="I90" s="1335" t="s">
        <v>102</v>
      </c>
      <c r="J90" s="1335"/>
    </row>
    <row r="91" spans="1:12" ht="16.5" hidden="1" customHeight="1" x14ac:dyDescent="0.3">
      <c r="A91" s="188">
        <v>1</v>
      </c>
      <c r="B91" s="1302">
        <v>2</v>
      </c>
      <c r="C91" s="1302"/>
      <c r="D91" s="1302"/>
      <c r="E91" s="1302">
        <v>3</v>
      </c>
      <c r="F91" s="1302"/>
      <c r="G91" s="1302">
        <v>4</v>
      </c>
      <c r="H91" s="1302"/>
      <c r="I91" s="1302">
        <v>5</v>
      </c>
      <c r="J91" s="1302"/>
    </row>
    <row r="92" spans="1:12" ht="47.25" hidden="1" customHeight="1" x14ac:dyDescent="0.3">
      <c r="A92" s="159">
        <v>1</v>
      </c>
      <c r="B92" s="1226" t="s">
        <v>370</v>
      </c>
      <c r="C92" s="1227"/>
      <c r="D92" s="1228"/>
      <c r="E92" s="1336">
        <f>I92/G92</f>
        <v>0</v>
      </c>
      <c r="F92" s="1336"/>
      <c r="G92" s="1307">
        <v>12</v>
      </c>
      <c r="H92" s="1307"/>
      <c r="I92" s="1340">
        <v>0</v>
      </c>
      <c r="J92" s="1340"/>
    </row>
    <row r="93" spans="1:12" ht="51.75" hidden="1" customHeight="1" x14ac:dyDescent="0.3">
      <c r="A93" s="159" t="s">
        <v>75</v>
      </c>
      <c r="B93" s="1226" t="s">
        <v>723</v>
      </c>
      <c r="C93" s="1227"/>
      <c r="D93" s="1228"/>
      <c r="E93" s="1336">
        <v>0</v>
      </c>
      <c r="F93" s="1336"/>
      <c r="G93" s="1307"/>
      <c r="H93" s="1307"/>
      <c r="I93" s="1340">
        <v>0</v>
      </c>
      <c r="J93" s="1340"/>
      <c r="K93" s="1">
        <v>0</v>
      </c>
    </row>
    <row r="94" spans="1:12" ht="33.75" hidden="1" customHeight="1" x14ac:dyDescent="0.3">
      <c r="A94" s="248"/>
      <c r="B94" s="1341" t="s">
        <v>331</v>
      </c>
      <c r="C94" s="1342"/>
      <c r="D94" s="1343"/>
      <c r="E94" s="1337" t="s">
        <v>14</v>
      </c>
      <c r="F94" s="1338"/>
      <c r="G94" s="1337" t="s">
        <v>14</v>
      </c>
      <c r="H94" s="1339"/>
      <c r="I94" s="249"/>
      <c r="J94" s="250">
        <f>I93</f>
        <v>0</v>
      </c>
    </row>
    <row r="95" spans="1:12" s="41" customFormat="1" ht="40.5" customHeight="1" x14ac:dyDescent="0.3">
      <c r="A95" s="1275" t="s">
        <v>596</v>
      </c>
      <c r="B95" s="1275"/>
      <c r="C95" s="1275"/>
      <c r="D95" s="1275"/>
      <c r="E95" s="1275"/>
      <c r="F95" s="1275"/>
      <c r="G95" s="1275"/>
      <c r="H95" s="1275"/>
      <c r="I95" s="1275"/>
      <c r="J95" s="1275"/>
    </row>
    <row r="96" spans="1:12" ht="39.6" x14ac:dyDescent="0.3">
      <c r="A96" s="188" t="s">
        <v>1</v>
      </c>
      <c r="B96" s="1302" t="s">
        <v>15</v>
      </c>
      <c r="C96" s="1302"/>
      <c r="D96" s="1302"/>
      <c r="E96" s="1302" t="s">
        <v>16</v>
      </c>
      <c r="F96" s="1302"/>
      <c r="G96" s="188" t="s">
        <v>17</v>
      </c>
      <c r="H96" s="188" t="s">
        <v>18</v>
      </c>
      <c r="I96" s="1302" t="s">
        <v>104</v>
      </c>
      <c r="J96" s="1302"/>
    </row>
    <row r="97" spans="1:10" x14ac:dyDescent="0.3">
      <c r="A97" s="188">
        <v>1</v>
      </c>
      <c r="B97" s="1302">
        <v>2</v>
      </c>
      <c r="C97" s="1302"/>
      <c r="D97" s="1302"/>
      <c r="E97" s="1302">
        <v>3</v>
      </c>
      <c r="F97" s="1302"/>
      <c r="G97" s="188">
        <v>4</v>
      </c>
      <c r="H97" s="188">
        <v>5</v>
      </c>
      <c r="I97" s="1302">
        <v>6</v>
      </c>
      <c r="J97" s="1302"/>
    </row>
    <row r="98" spans="1:10" ht="16.5" customHeight="1" x14ac:dyDescent="0.3">
      <c r="A98" s="1330" t="s">
        <v>361</v>
      </c>
      <c r="B98" s="1331"/>
      <c r="C98" s="1331"/>
      <c r="D98" s="1331"/>
      <c r="E98" s="1331"/>
      <c r="F98" s="1331"/>
      <c r="G98" s="1331"/>
      <c r="H98" s="1331"/>
      <c r="I98" s="1331"/>
      <c r="J98" s="1332"/>
    </row>
    <row r="99" spans="1:10" ht="59.25" hidden="1" customHeight="1" x14ac:dyDescent="0.3">
      <c r="A99" s="1112" t="s">
        <v>570</v>
      </c>
      <c r="B99" s="1113"/>
      <c r="C99" s="1113"/>
      <c r="D99" s="1113"/>
      <c r="E99" s="1113"/>
      <c r="F99" s="1113"/>
      <c r="G99" s="1113"/>
      <c r="H99" s="1113"/>
      <c r="I99" s="1113"/>
      <c r="J99" s="1114"/>
    </row>
    <row r="100" spans="1:10" ht="49.5" hidden="1" customHeight="1" x14ac:dyDescent="0.3">
      <c r="A100" s="180">
        <v>1</v>
      </c>
      <c r="B100" s="1095" t="s">
        <v>571</v>
      </c>
      <c r="C100" s="1096"/>
      <c r="D100" s="1097"/>
      <c r="E100" s="1159">
        <v>0</v>
      </c>
      <c r="F100" s="1160"/>
      <c r="G100" s="1159">
        <v>300</v>
      </c>
      <c r="H100" s="1160"/>
      <c r="I100" s="1153">
        <f>E100*G100</f>
        <v>0</v>
      </c>
      <c r="J100" s="1154"/>
    </row>
    <row r="101" spans="1:10" ht="16.5" hidden="1" customHeight="1" x14ac:dyDescent="0.3">
      <c r="A101" s="252"/>
      <c r="B101" s="1155"/>
      <c r="C101" s="1158"/>
      <c r="D101" s="1156"/>
      <c r="E101" s="1155"/>
      <c r="F101" s="1156"/>
      <c r="G101" s="1155"/>
      <c r="H101" s="1156"/>
      <c r="I101" s="1155"/>
      <c r="J101" s="1156"/>
    </row>
    <row r="102" spans="1:10" ht="42.75" customHeight="1" x14ac:dyDescent="0.3">
      <c r="A102" s="1118" t="s">
        <v>572</v>
      </c>
      <c r="B102" s="1119"/>
      <c r="C102" s="1119"/>
      <c r="D102" s="1119"/>
      <c r="E102" s="1119"/>
      <c r="F102" s="1119"/>
      <c r="G102" s="1119"/>
      <c r="H102" s="1119"/>
      <c r="I102" s="1119"/>
      <c r="J102" s="1120"/>
    </row>
    <row r="103" spans="1:10" ht="36.75" customHeight="1" x14ac:dyDescent="0.3">
      <c r="A103" s="179">
        <v>1</v>
      </c>
      <c r="B103" s="1151" t="s">
        <v>573</v>
      </c>
      <c r="C103" s="1151"/>
      <c r="D103" s="1151"/>
      <c r="E103" s="1328" t="s">
        <v>574</v>
      </c>
      <c r="F103" s="1328"/>
      <c r="G103" s="1161">
        <v>300</v>
      </c>
      <c r="H103" s="1162"/>
      <c r="I103" s="1157">
        <v>16200</v>
      </c>
      <c r="J103" s="1157"/>
    </row>
    <row r="104" spans="1:10" ht="16.5" customHeight="1" x14ac:dyDescent="0.3">
      <c r="A104" s="253"/>
      <c r="B104" s="1329"/>
      <c r="C104" s="1329"/>
      <c r="D104" s="1329"/>
      <c r="E104" s="1158"/>
      <c r="F104" s="1158"/>
      <c r="G104" s="1158"/>
      <c r="H104" s="1158"/>
      <c r="I104" s="1158"/>
      <c r="J104" s="1156"/>
    </row>
    <row r="105" spans="1:10" ht="16.5" hidden="1" customHeight="1" x14ac:dyDescent="0.3">
      <c r="A105" s="184"/>
      <c r="B105" s="1158"/>
      <c r="C105" s="1158"/>
      <c r="D105" s="1158"/>
      <c r="E105" s="1158"/>
      <c r="F105" s="1158"/>
      <c r="G105" s="1158"/>
      <c r="H105" s="1158"/>
      <c r="I105" s="1158"/>
      <c r="J105" s="1156"/>
    </row>
    <row r="106" spans="1:10" ht="16.5" hidden="1" customHeight="1" x14ac:dyDescent="0.3">
      <c r="A106" s="184"/>
      <c r="B106" s="1158"/>
      <c r="C106" s="1158"/>
      <c r="D106" s="1158"/>
      <c r="E106" s="1158"/>
      <c r="F106" s="1158"/>
      <c r="G106" s="1158"/>
      <c r="H106" s="1158"/>
      <c r="I106" s="1158"/>
      <c r="J106" s="1156"/>
    </row>
    <row r="107" spans="1:10" ht="15" hidden="1" customHeight="1" x14ac:dyDescent="0.3">
      <c r="A107" s="1325" t="s">
        <v>363</v>
      </c>
      <c r="B107" s="1326"/>
      <c r="C107" s="1326"/>
      <c r="D107" s="1326"/>
      <c r="E107" s="1326"/>
      <c r="F107" s="1326"/>
      <c r="G107" s="1326"/>
      <c r="H107" s="1326"/>
      <c r="I107" s="1326"/>
      <c r="J107" s="1327"/>
    </row>
    <row r="108" spans="1:10" ht="53.25" hidden="1" customHeight="1" x14ac:dyDescent="0.3">
      <c r="A108" s="204" t="s">
        <v>70</v>
      </c>
      <c r="B108" s="1320" t="s">
        <v>513</v>
      </c>
      <c r="C108" s="1321"/>
      <c r="D108" s="1322"/>
      <c r="E108" s="1329"/>
      <c r="F108" s="1329"/>
      <c r="G108" s="230"/>
      <c r="H108" s="230">
        <v>1</v>
      </c>
      <c r="I108" s="1333">
        <v>0</v>
      </c>
      <c r="J108" s="1334"/>
    </row>
    <row r="109" spans="1:10" ht="48.75" hidden="1" customHeight="1" x14ac:dyDescent="0.3">
      <c r="A109" s="185" t="s">
        <v>75</v>
      </c>
      <c r="B109" s="1320" t="s">
        <v>514</v>
      </c>
      <c r="C109" s="1321"/>
      <c r="D109" s="1322"/>
      <c r="E109" s="1323"/>
      <c r="F109" s="1323"/>
      <c r="G109" s="140"/>
      <c r="H109" s="160">
        <v>1</v>
      </c>
      <c r="I109" s="1324">
        <f>E109*G109</f>
        <v>0</v>
      </c>
      <c r="J109" s="1324"/>
    </row>
    <row r="110" spans="1:10" x14ac:dyDescent="0.3">
      <c r="A110" s="1325" t="s">
        <v>364</v>
      </c>
      <c r="B110" s="1326"/>
      <c r="C110" s="1326"/>
      <c r="D110" s="1326"/>
      <c r="E110" s="1326"/>
      <c r="F110" s="1326"/>
      <c r="G110" s="1326"/>
      <c r="H110" s="1326"/>
      <c r="I110" s="1326"/>
      <c r="J110" s="1327"/>
    </row>
    <row r="111" spans="1:10" ht="51.75" hidden="1" customHeight="1" x14ac:dyDescent="0.3">
      <c r="A111" s="1112" t="s">
        <v>570</v>
      </c>
      <c r="B111" s="1113"/>
      <c r="C111" s="1113"/>
      <c r="D111" s="1113"/>
      <c r="E111" s="1113"/>
      <c r="F111" s="1113"/>
      <c r="G111" s="1113"/>
      <c r="H111" s="1113"/>
      <c r="I111" s="1113"/>
      <c r="J111" s="1114"/>
    </row>
    <row r="112" spans="1:10" ht="47.25" hidden="1" customHeight="1" x14ac:dyDescent="0.3">
      <c r="A112" s="254">
        <v>1</v>
      </c>
      <c r="B112" s="1115" t="s">
        <v>575</v>
      </c>
      <c r="C112" s="1115"/>
      <c r="D112" s="1115"/>
      <c r="E112" s="1116">
        <v>0</v>
      </c>
      <c r="F112" s="1117"/>
      <c r="G112" s="254"/>
      <c r="H112" s="254">
        <v>1</v>
      </c>
      <c r="I112" s="1121">
        <v>0</v>
      </c>
      <c r="J112" s="1122"/>
    </row>
    <row r="113" spans="1:10" ht="47.25" hidden="1" customHeight="1" x14ac:dyDescent="0.3">
      <c r="A113" s="107">
        <v>2</v>
      </c>
      <c r="B113" s="1115" t="s">
        <v>576</v>
      </c>
      <c r="C113" s="1115"/>
      <c r="D113" s="1115"/>
      <c r="E113" s="1355">
        <v>0</v>
      </c>
      <c r="F113" s="1356"/>
      <c r="G113" s="255"/>
      <c r="H113" s="255">
        <v>1</v>
      </c>
      <c r="I113" s="1121">
        <v>0</v>
      </c>
      <c r="J113" s="1122"/>
    </row>
    <row r="114" spans="1:10" ht="50.25" customHeight="1" x14ac:dyDescent="0.3">
      <c r="A114" s="1118" t="s">
        <v>578</v>
      </c>
      <c r="B114" s="1119"/>
      <c r="C114" s="1119"/>
      <c r="D114" s="1119"/>
      <c r="E114" s="1119"/>
      <c r="F114" s="1119"/>
      <c r="G114" s="1119"/>
      <c r="H114" s="1119"/>
      <c r="I114" s="1119"/>
      <c r="J114" s="1120"/>
    </row>
    <row r="115" spans="1:10" ht="35.25" customHeight="1" x14ac:dyDescent="0.3">
      <c r="A115" s="254">
        <v>2</v>
      </c>
      <c r="B115" s="1151" t="s">
        <v>581</v>
      </c>
      <c r="C115" s="1151"/>
      <c r="D115" s="1151"/>
      <c r="E115" s="1116">
        <v>0</v>
      </c>
      <c r="F115" s="1117"/>
      <c r="G115" s="254"/>
      <c r="H115" s="254">
        <v>0</v>
      </c>
      <c r="I115" s="1308">
        <v>76680</v>
      </c>
      <c r="J115" s="1309"/>
    </row>
    <row r="116" spans="1:10" ht="35.25" customHeight="1" x14ac:dyDescent="0.3">
      <c r="A116" s="255">
        <v>3</v>
      </c>
      <c r="B116" s="1151" t="s">
        <v>920</v>
      </c>
      <c r="C116" s="1151"/>
      <c r="D116" s="1151"/>
      <c r="E116" s="1116">
        <v>0</v>
      </c>
      <c r="F116" s="1117"/>
      <c r="G116" s="255"/>
      <c r="H116" s="255">
        <v>0</v>
      </c>
      <c r="I116" s="1357">
        <v>57120</v>
      </c>
      <c r="J116" s="1358"/>
    </row>
    <row r="117" spans="1:10" x14ac:dyDescent="0.3">
      <c r="A117" s="185"/>
      <c r="B117" s="1306" t="s">
        <v>13</v>
      </c>
      <c r="C117" s="1306"/>
      <c r="D117" s="1306"/>
      <c r="E117" s="1307" t="s">
        <v>14</v>
      </c>
      <c r="F117" s="1307"/>
      <c r="G117" s="185" t="s">
        <v>14</v>
      </c>
      <c r="H117" s="185" t="s">
        <v>14</v>
      </c>
      <c r="I117" s="1310">
        <f>I100+I103+I112+I115+I113+I116</f>
        <v>150000</v>
      </c>
      <c r="J117" s="1310"/>
    </row>
    <row r="118" spans="1:10" ht="19.5" hidden="1" customHeight="1" x14ac:dyDescent="0.3">
      <c r="A118" s="1243" t="s">
        <v>366</v>
      </c>
      <c r="B118" s="1243"/>
      <c r="C118" s="1243"/>
      <c r="D118" s="1243"/>
      <c r="E118" s="1243"/>
      <c r="F118" s="1243"/>
      <c r="G118" s="1243"/>
      <c r="H118" s="1243"/>
      <c r="I118" s="1243"/>
      <c r="J118" s="1243"/>
    </row>
    <row r="119" spans="1:10" ht="52.8" hidden="1" x14ac:dyDescent="0.3">
      <c r="A119" s="188" t="s">
        <v>1</v>
      </c>
      <c r="B119" s="1302" t="s">
        <v>15</v>
      </c>
      <c r="C119" s="1302"/>
      <c r="D119" s="1302"/>
      <c r="E119" s="1311" t="s">
        <v>20</v>
      </c>
      <c r="F119" s="1312"/>
      <c r="G119" s="188" t="s">
        <v>21</v>
      </c>
      <c r="H119" s="188" t="s">
        <v>22</v>
      </c>
      <c r="I119" s="1302" t="s">
        <v>19</v>
      </c>
      <c r="J119" s="1302"/>
    </row>
    <row r="120" spans="1:10" hidden="1" x14ac:dyDescent="0.3">
      <c r="A120" s="188">
        <v>1</v>
      </c>
      <c r="B120" s="1302">
        <v>2</v>
      </c>
      <c r="C120" s="1302"/>
      <c r="D120" s="1302"/>
      <c r="E120" s="1311">
        <v>3</v>
      </c>
      <c r="F120" s="1312"/>
      <c r="G120" s="188">
        <v>4</v>
      </c>
      <c r="H120" s="188">
        <v>5</v>
      </c>
      <c r="I120" s="1302">
        <v>6</v>
      </c>
      <c r="J120" s="1302"/>
    </row>
    <row r="121" spans="1:10" ht="47.25" hidden="1" customHeight="1" x14ac:dyDescent="0.3">
      <c r="A121" s="186" t="s">
        <v>70</v>
      </c>
      <c r="B121" s="1313" t="s">
        <v>79</v>
      </c>
      <c r="C121" s="1314"/>
      <c r="D121" s="1315"/>
      <c r="E121" s="1316"/>
      <c r="F121" s="1317"/>
      <c r="G121" s="163">
        <v>12</v>
      </c>
      <c r="H121" s="163">
        <v>85</v>
      </c>
      <c r="I121" s="1318">
        <f>E121*G121*H121</f>
        <v>0</v>
      </c>
      <c r="J121" s="1318"/>
    </row>
    <row r="122" spans="1:10" ht="17.25" hidden="1" customHeight="1" x14ac:dyDescent="0.3">
      <c r="A122" s="162"/>
      <c r="B122" s="1303" t="s">
        <v>13</v>
      </c>
      <c r="C122" s="1303"/>
      <c r="D122" s="1303"/>
      <c r="E122" s="1304" t="s">
        <v>14</v>
      </c>
      <c r="F122" s="1305"/>
      <c r="G122" s="185" t="s">
        <v>14</v>
      </c>
      <c r="H122" s="185" t="s">
        <v>14</v>
      </c>
      <c r="I122" s="1310">
        <f>SUM(I121)</f>
        <v>0</v>
      </c>
      <c r="J122" s="1319"/>
    </row>
    <row r="123" spans="1:10" s="41" customFormat="1" ht="54" customHeight="1" x14ac:dyDescent="0.3">
      <c r="A123" s="1275" t="s">
        <v>295</v>
      </c>
      <c r="B123" s="1275"/>
      <c r="C123" s="1275"/>
      <c r="D123" s="1275"/>
      <c r="E123" s="1275"/>
      <c r="F123" s="1275"/>
      <c r="G123" s="1275"/>
      <c r="H123" s="1275"/>
      <c r="I123" s="1275"/>
      <c r="J123" s="1275"/>
    </row>
    <row r="124" spans="1:10" ht="25.5" customHeight="1" x14ac:dyDescent="0.3">
      <c r="A124" s="183" t="s">
        <v>1</v>
      </c>
      <c r="B124" s="1276" t="s">
        <v>23</v>
      </c>
      <c r="C124" s="1276"/>
      <c r="D124" s="1276"/>
      <c r="E124" s="1276"/>
      <c r="F124" s="1276"/>
      <c r="G124" s="1276" t="s">
        <v>24</v>
      </c>
      <c r="H124" s="1276"/>
      <c r="I124" s="1276" t="s">
        <v>25</v>
      </c>
      <c r="J124" s="1276"/>
    </row>
    <row r="125" spans="1:10" ht="12" customHeight="1" x14ac:dyDescent="0.3">
      <c r="A125" s="199">
        <v>1</v>
      </c>
      <c r="B125" s="1110">
        <v>2</v>
      </c>
      <c r="C125" s="1110"/>
      <c r="D125" s="1110"/>
      <c r="E125" s="1110"/>
      <c r="F125" s="1110"/>
      <c r="G125" s="1110">
        <v>3</v>
      </c>
      <c r="H125" s="1110"/>
      <c r="I125" s="1110">
        <v>4</v>
      </c>
      <c r="J125" s="1110"/>
    </row>
    <row r="126" spans="1:10" ht="17.25" customHeight="1" x14ac:dyDescent="0.3">
      <c r="A126" s="198" t="s">
        <v>70</v>
      </c>
      <c r="B126" s="1295" t="s">
        <v>26</v>
      </c>
      <c r="C126" s="1295"/>
      <c r="D126" s="1295"/>
      <c r="E126" s="1295"/>
      <c r="F126" s="1295"/>
      <c r="G126" s="1300" t="s">
        <v>14</v>
      </c>
      <c r="H126" s="1300"/>
      <c r="I126" s="1299">
        <f>SUM(I128:J130)</f>
        <v>928400</v>
      </c>
      <c r="J126" s="1299"/>
    </row>
    <row r="127" spans="1:10" ht="16.5" customHeight="1" x14ac:dyDescent="0.3">
      <c r="A127" s="98"/>
      <c r="B127" s="1116" t="s">
        <v>9</v>
      </c>
      <c r="C127" s="1212"/>
      <c r="D127" s="1212"/>
      <c r="E127" s="1212"/>
      <c r="F127" s="1117"/>
      <c r="G127" s="1273"/>
      <c r="H127" s="1273"/>
      <c r="I127" s="1272"/>
      <c r="J127" s="1272"/>
    </row>
    <row r="128" spans="1:10" ht="17.25" customHeight="1" x14ac:dyDescent="0.3">
      <c r="A128" s="202" t="s">
        <v>27</v>
      </c>
      <c r="B128" s="1301" t="s">
        <v>28</v>
      </c>
      <c r="C128" s="1301"/>
      <c r="D128" s="1301"/>
      <c r="E128" s="1301"/>
      <c r="F128" s="1301"/>
      <c r="G128" s="1271">
        <f>J68</f>
        <v>4220000</v>
      </c>
      <c r="H128" s="1271"/>
      <c r="I128" s="1272">
        <f>G128*22%</f>
        <v>928400</v>
      </c>
      <c r="J128" s="1272"/>
    </row>
    <row r="129" spans="1:10" ht="15" customHeight="1" x14ac:dyDescent="0.3">
      <c r="A129" s="202" t="s">
        <v>29</v>
      </c>
      <c r="B129" s="1143" t="s">
        <v>30</v>
      </c>
      <c r="C129" s="1143"/>
      <c r="D129" s="1143"/>
      <c r="E129" s="1143"/>
      <c r="F129" s="1143"/>
      <c r="G129" s="1273"/>
      <c r="H129" s="1273"/>
      <c r="I129" s="1272">
        <f>G129*10%</f>
        <v>0</v>
      </c>
      <c r="J129" s="1272"/>
    </row>
    <row r="130" spans="1:10" ht="29.4" customHeight="1" x14ac:dyDescent="0.3">
      <c r="A130" s="202" t="s">
        <v>31</v>
      </c>
      <c r="B130" s="1274" t="s">
        <v>32</v>
      </c>
      <c r="C130" s="1274"/>
      <c r="D130" s="1274"/>
      <c r="E130" s="1274"/>
      <c r="F130" s="1274"/>
      <c r="G130" s="1273"/>
      <c r="H130" s="1273"/>
      <c r="I130" s="1272"/>
      <c r="J130" s="1272"/>
    </row>
    <row r="131" spans="1:10" ht="29.25" customHeight="1" x14ac:dyDescent="0.3">
      <c r="A131" s="198" t="s">
        <v>75</v>
      </c>
      <c r="B131" s="1295" t="s">
        <v>33</v>
      </c>
      <c r="C131" s="1295"/>
      <c r="D131" s="1295"/>
      <c r="E131" s="1295"/>
      <c r="F131" s="1295"/>
      <c r="G131" s="1300" t="s">
        <v>14</v>
      </c>
      <c r="H131" s="1300"/>
      <c r="I131" s="1299">
        <f>SUM(I133:J137)</f>
        <v>130819.99999999999</v>
      </c>
      <c r="J131" s="1299"/>
    </row>
    <row r="132" spans="1:10" ht="15.75" customHeight="1" x14ac:dyDescent="0.3">
      <c r="A132" s="98"/>
      <c r="B132" s="1116" t="s">
        <v>9</v>
      </c>
      <c r="C132" s="1212"/>
      <c r="D132" s="1212"/>
      <c r="E132" s="1212"/>
      <c r="F132" s="1117"/>
      <c r="G132" s="1273"/>
      <c r="H132" s="1273"/>
      <c r="I132" s="1272"/>
      <c r="J132" s="1272"/>
    </row>
    <row r="133" spans="1:10" ht="27.75" customHeight="1" x14ac:dyDescent="0.3">
      <c r="A133" s="202" t="s">
        <v>34</v>
      </c>
      <c r="B133" s="1274" t="s">
        <v>35</v>
      </c>
      <c r="C133" s="1274"/>
      <c r="D133" s="1274"/>
      <c r="E133" s="1274"/>
      <c r="F133" s="1274"/>
      <c r="G133" s="1271">
        <f>G128+G129</f>
        <v>4220000</v>
      </c>
      <c r="H133" s="1271"/>
      <c r="I133" s="1272">
        <f>G133*2.9%</f>
        <v>122379.99999999999</v>
      </c>
      <c r="J133" s="1272"/>
    </row>
    <row r="134" spans="1:10" ht="15" customHeight="1" x14ac:dyDescent="0.3">
      <c r="A134" s="202" t="s">
        <v>36</v>
      </c>
      <c r="B134" s="1274" t="s">
        <v>37</v>
      </c>
      <c r="C134" s="1274"/>
      <c r="D134" s="1274"/>
      <c r="E134" s="1274"/>
      <c r="F134" s="1274"/>
      <c r="G134" s="1273"/>
      <c r="H134" s="1273"/>
      <c r="I134" s="1272"/>
      <c r="J134" s="1272"/>
    </row>
    <row r="135" spans="1:10" ht="35.25" customHeight="1" x14ac:dyDescent="0.3">
      <c r="A135" s="202" t="s">
        <v>38</v>
      </c>
      <c r="B135" s="1274" t="s">
        <v>39</v>
      </c>
      <c r="C135" s="1274"/>
      <c r="D135" s="1274"/>
      <c r="E135" s="1274"/>
      <c r="F135" s="1274"/>
      <c r="G135" s="1271">
        <f>G128+G129</f>
        <v>4220000</v>
      </c>
      <c r="H135" s="1271"/>
      <c r="I135" s="1272">
        <f>G135*0.2%</f>
        <v>8440</v>
      </c>
      <c r="J135" s="1272"/>
    </row>
    <row r="136" spans="1:10" s="41" customFormat="1" ht="15" customHeight="1" x14ac:dyDescent="0.3">
      <c r="A136" s="202" t="s">
        <v>40</v>
      </c>
      <c r="B136" s="1274" t="s">
        <v>41</v>
      </c>
      <c r="C136" s="1274"/>
      <c r="D136" s="1274"/>
      <c r="E136" s="1274"/>
      <c r="F136" s="1274"/>
      <c r="G136" s="1273"/>
      <c r="H136" s="1273"/>
      <c r="I136" s="1272"/>
      <c r="J136" s="1272"/>
    </row>
    <row r="137" spans="1:10" ht="15" customHeight="1" x14ac:dyDescent="0.3">
      <c r="A137" s="202" t="s">
        <v>42</v>
      </c>
      <c r="B137" s="1274" t="s">
        <v>41</v>
      </c>
      <c r="C137" s="1274"/>
      <c r="D137" s="1274"/>
      <c r="E137" s="1274"/>
      <c r="F137" s="1274"/>
      <c r="G137" s="1273"/>
      <c r="H137" s="1273"/>
      <c r="I137" s="1272"/>
      <c r="J137" s="1272"/>
    </row>
    <row r="138" spans="1:10" ht="30" customHeight="1" x14ac:dyDescent="0.3">
      <c r="A138" s="198" t="s">
        <v>77</v>
      </c>
      <c r="B138" s="1295" t="s">
        <v>43</v>
      </c>
      <c r="C138" s="1295"/>
      <c r="D138" s="1295"/>
      <c r="E138" s="1295"/>
      <c r="F138" s="1295"/>
      <c r="G138" s="1298">
        <f>G128+G129</f>
        <v>4220000</v>
      </c>
      <c r="H138" s="1298"/>
      <c r="I138" s="1299">
        <f>G138*5.1%-51440+400</f>
        <v>164180</v>
      </c>
      <c r="J138" s="1299"/>
    </row>
    <row r="139" spans="1:10" ht="19.5" customHeight="1" x14ac:dyDescent="0.3">
      <c r="A139" s="202"/>
      <c r="B139" s="1098" t="s">
        <v>722</v>
      </c>
      <c r="C139" s="1098"/>
      <c r="D139" s="1098"/>
      <c r="E139" s="1098"/>
      <c r="F139" s="1098"/>
      <c r="G139" s="1090" t="s">
        <v>14</v>
      </c>
      <c r="H139" s="1090"/>
      <c r="I139" s="1297">
        <f>I126+I131+I138</f>
        <v>1223400</v>
      </c>
      <c r="J139" s="1297"/>
    </row>
    <row r="140" spans="1:10" ht="36" hidden="1" customHeight="1" x14ac:dyDescent="0.3">
      <c r="A140" s="183" t="s">
        <v>1</v>
      </c>
      <c r="B140" s="1269" t="s">
        <v>23</v>
      </c>
      <c r="C140" s="1296"/>
      <c r="D140" s="1296"/>
      <c r="E140" s="1296"/>
      <c r="F140" s="1270"/>
      <c r="G140" s="1269" t="s">
        <v>24</v>
      </c>
      <c r="H140" s="1270"/>
      <c r="I140" s="1269" t="s">
        <v>25</v>
      </c>
      <c r="J140" s="1270"/>
    </row>
    <row r="141" spans="1:10" ht="11.25" hidden="1" customHeight="1" x14ac:dyDescent="0.3">
      <c r="A141" s="199">
        <v>1</v>
      </c>
      <c r="B141" s="1139">
        <v>2</v>
      </c>
      <c r="C141" s="1210"/>
      <c r="D141" s="1210"/>
      <c r="E141" s="1210"/>
      <c r="F141" s="1140"/>
      <c r="G141" s="1139">
        <v>3</v>
      </c>
      <c r="H141" s="1140"/>
      <c r="I141" s="1139">
        <v>4</v>
      </c>
      <c r="J141" s="1140"/>
    </row>
    <row r="142" spans="1:10" ht="20.25" hidden="1" customHeight="1" x14ac:dyDescent="0.3">
      <c r="A142" s="198" t="s">
        <v>70</v>
      </c>
      <c r="B142" s="1252" t="s">
        <v>26</v>
      </c>
      <c r="C142" s="1253"/>
      <c r="D142" s="1253"/>
      <c r="E142" s="1253"/>
      <c r="F142" s="1254"/>
      <c r="G142" s="1187" t="s">
        <v>14</v>
      </c>
      <c r="H142" s="1188"/>
      <c r="I142" s="1255">
        <f>SUM(I144:J146)</f>
        <v>0</v>
      </c>
      <c r="J142" s="1256"/>
    </row>
    <row r="143" spans="1:10" ht="18" hidden="1" customHeight="1" x14ac:dyDescent="0.3">
      <c r="A143" s="98"/>
      <c r="B143" s="1116" t="s">
        <v>9</v>
      </c>
      <c r="C143" s="1212"/>
      <c r="D143" s="1212"/>
      <c r="E143" s="1212"/>
      <c r="F143" s="1117"/>
      <c r="G143" s="1257"/>
      <c r="H143" s="1258"/>
      <c r="I143" s="1259"/>
      <c r="J143" s="1260"/>
    </row>
    <row r="144" spans="1:10" s="41" customFormat="1" ht="20.25" hidden="1" customHeight="1" x14ac:dyDescent="0.3">
      <c r="A144" s="202" t="s">
        <v>27</v>
      </c>
      <c r="B144" s="1263" t="s">
        <v>28</v>
      </c>
      <c r="C144" s="1264"/>
      <c r="D144" s="1264"/>
      <c r="E144" s="1264"/>
      <c r="F144" s="1265"/>
      <c r="G144" s="1261">
        <f>J86</f>
        <v>0</v>
      </c>
      <c r="H144" s="1262"/>
      <c r="I144" s="1259">
        <f>G144*22%</f>
        <v>0</v>
      </c>
      <c r="J144" s="1260"/>
    </row>
    <row r="145" spans="1:12" hidden="1" x14ac:dyDescent="0.3">
      <c r="A145" s="202" t="s">
        <v>29</v>
      </c>
      <c r="B145" s="1197" t="s">
        <v>30</v>
      </c>
      <c r="C145" s="1198"/>
      <c r="D145" s="1198"/>
      <c r="E145" s="1198"/>
      <c r="F145" s="1199"/>
      <c r="G145" s="1257"/>
      <c r="H145" s="1258"/>
      <c r="I145" s="1259"/>
      <c r="J145" s="1260"/>
    </row>
    <row r="146" spans="1:12" ht="15" hidden="1" customHeight="1" x14ac:dyDescent="0.3">
      <c r="A146" s="202" t="s">
        <v>31</v>
      </c>
      <c r="B146" s="1266" t="s">
        <v>32</v>
      </c>
      <c r="C146" s="1267"/>
      <c r="D146" s="1267"/>
      <c r="E146" s="1267"/>
      <c r="F146" s="1268"/>
      <c r="G146" s="1257"/>
      <c r="H146" s="1258"/>
      <c r="I146" s="1259"/>
      <c r="J146" s="1260"/>
    </row>
    <row r="147" spans="1:12" ht="15" hidden="1" customHeight="1" x14ac:dyDescent="0.3">
      <c r="A147" s="198" t="s">
        <v>75</v>
      </c>
      <c r="B147" s="1252" t="s">
        <v>33</v>
      </c>
      <c r="C147" s="1253"/>
      <c r="D147" s="1253"/>
      <c r="E147" s="1253"/>
      <c r="F147" s="1254"/>
      <c r="G147" s="1187" t="s">
        <v>14</v>
      </c>
      <c r="H147" s="1188"/>
      <c r="I147" s="1255">
        <f>SUM(I149:J153)</f>
        <v>-4.0000000000000001E-3</v>
      </c>
      <c r="J147" s="1256"/>
    </row>
    <row r="148" spans="1:12" ht="15" hidden="1" customHeight="1" x14ac:dyDescent="0.3">
      <c r="A148" s="98"/>
      <c r="B148" s="1116" t="s">
        <v>9</v>
      </c>
      <c r="C148" s="1212"/>
      <c r="D148" s="1212"/>
      <c r="E148" s="1212"/>
      <c r="F148" s="1117"/>
      <c r="G148" s="1257"/>
      <c r="H148" s="1258"/>
      <c r="I148" s="1259"/>
      <c r="J148" s="1260"/>
    </row>
    <row r="149" spans="1:12" ht="26.25" hidden="1" customHeight="1" x14ac:dyDescent="0.3">
      <c r="A149" s="202" t="s">
        <v>34</v>
      </c>
      <c r="B149" s="1266" t="s">
        <v>35</v>
      </c>
      <c r="C149" s="1267"/>
      <c r="D149" s="1267"/>
      <c r="E149" s="1267"/>
      <c r="F149" s="1268"/>
      <c r="G149" s="1261">
        <f>G144</f>
        <v>0</v>
      </c>
      <c r="H149" s="1262"/>
      <c r="I149" s="1259">
        <f>G149*2.9%</f>
        <v>0</v>
      </c>
      <c r="J149" s="1260"/>
    </row>
    <row r="150" spans="1:12" hidden="1" x14ac:dyDescent="0.3">
      <c r="A150" s="202" t="s">
        <v>36</v>
      </c>
      <c r="B150" s="1266" t="s">
        <v>37</v>
      </c>
      <c r="C150" s="1267"/>
      <c r="D150" s="1267"/>
      <c r="E150" s="1267"/>
      <c r="F150" s="1268"/>
      <c r="G150" s="1257"/>
      <c r="H150" s="1258"/>
      <c r="I150" s="1259"/>
      <c r="J150" s="1260"/>
    </row>
    <row r="151" spans="1:12" ht="26.25" hidden="1" customHeight="1" x14ac:dyDescent="0.3">
      <c r="A151" s="202" t="s">
        <v>38</v>
      </c>
      <c r="B151" s="1266" t="s">
        <v>39</v>
      </c>
      <c r="C151" s="1267"/>
      <c r="D151" s="1267"/>
      <c r="E151" s="1267"/>
      <c r="F151" s="1268"/>
      <c r="G151" s="1261">
        <f>G144</f>
        <v>0</v>
      </c>
      <c r="H151" s="1262"/>
      <c r="I151" s="1259">
        <f>G151*0.2%-0.004</f>
        <v>-4.0000000000000001E-3</v>
      </c>
      <c r="J151" s="1260"/>
    </row>
    <row r="152" spans="1:12" s="41" customFormat="1" ht="14.25" hidden="1" customHeight="1" x14ac:dyDescent="0.3">
      <c r="A152" s="202" t="s">
        <v>40</v>
      </c>
      <c r="B152" s="1266" t="s">
        <v>41</v>
      </c>
      <c r="C152" s="1267"/>
      <c r="D152" s="1267"/>
      <c r="E152" s="1267"/>
      <c r="F152" s="1268"/>
      <c r="G152" s="1257"/>
      <c r="H152" s="1258"/>
      <c r="I152" s="1259"/>
      <c r="J152" s="1260"/>
    </row>
    <row r="153" spans="1:12" ht="15" hidden="1" customHeight="1" x14ac:dyDescent="0.3">
      <c r="A153" s="202" t="s">
        <v>42</v>
      </c>
      <c r="B153" s="1266" t="s">
        <v>41</v>
      </c>
      <c r="C153" s="1267"/>
      <c r="D153" s="1267"/>
      <c r="E153" s="1267"/>
      <c r="F153" s="1268"/>
      <c r="G153" s="1257"/>
      <c r="H153" s="1258"/>
      <c r="I153" s="1259"/>
      <c r="J153" s="1260"/>
    </row>
    <row r="154" spans="1:12" hidden="1" x14ac:dyDescent="0.3">
      <c r="A154" s="198" t="s">
        <v>77</v>
      </c>
      <c r="B154" s="1252" t="s">
        <v>43</v>
      </c>
      <c r="C154" s="1253"/>
      <c r="D154" s="1253"/>
      <c r="E154" s="1253"/>
      <c r="F154" s="1254"/>
      <c r="G154" s="1292">
        <f>G144</f>
        <v>0</v>
      </c>
      <c r="H154" s="1293"/>
      <c r="I154" s="1255">
        <f>G154*5.1%</f>
        <v>0</v>
      </c>
      <c r="J154" s="1256"/>
    </row>
    <row r="155" spans="1:12" hidden="1" x14ac:dyDescent="0.3">
      <c r="A155" s="202"/>
      <c r="B155" s="1249" t="s">
        <v>380</v>
      </c>
      <c r="C155" s="1250"/>
      <c r="D155" s="1250"/>
      <c r="E155" s="1250"/>
      <c r="F155" s="1251"/>
      <c r="G155" s="1244" t="s">
        <v>14</v>
      </c>
      <c r="H155" s="1245"/>
      <c r="I155" s="1288">
        <f>I142+I147+I154</f>
        <v>-4.0000000000000001E-3</v>
      </c>
      <c r="J155" s="1289"/>
    </row>
    <row r="156" spans="1:12" hidden="1" x14ac:dyDescent="0.3">
      <c r="A156" s="202"/>
      <c r="B156" s="1249" t="s">
        <v>567</v>
      </c>
      <c r="C156" s="1250"/>
      <c r="D156" s="1250"/>
      <c r="E156" s="1250"/>
      <c r="F156" s="1251"/>
      <c r="G156" s="193"/>
      <c r="H156" s="194"/>
      <c r="I156" s="1288">
        <v>0</v>
      </c>
      <c r="J156" s="1289"/>
    </row>
    <row r="157" spans="1:12" s="41" customFormat="1" ht="18.75" customHeight="1" x14ac:dyDescent="0.3">
      <c r="A157" s="109"/>
      <c r="B157" s="1294" t="s">
        <v>922</v>
      </c>
      <c r="C157" s="1294"/>
      <c r="D157" s="1294"/>
      <c r="E157" s="1294"/>
      <c r="F157" s="1294"/>
      <c r="G157" s="1290" t="s">
        <v>14</v>
      </c>
      <c r="H157" s="1290"/>
      <c r="I157" s="1291">
        <f>I139+I155+I156</f>
        <v>1223399.996</v>
      </c>
      <c r="J157" s="1291"/>
      <c r="K157" s="1237"/>
      <c r="L157" s="1237"/>
    </row>
    <row r="158" spans="1:12" s="41" customFormat="1" ht="38.25" hidden="1" customHeight="1" x14ac:dyDescent="0.3">
      <c r="A158" s="1240" t="s">
        <v>468</v>
      </c>
      <c r="B158" s="1240"/>
      <c r="C158" s="1240"/>
      <c r="D158" s="1240"/>
      <c r="E158" s="1240"/>
      <c r="F158" s="1240"/>
      <c r="G158" s="1240"/>
      <c r="H158" s="1240"/>
      <c r="I158" s="1240"/>
      <c r="J158" s="1240"/>
    </row>
    <row r="159" spans="1:12" ht="19.5" hidden="1" customHeight="1" x14ac:dyDescent="0.3">
      <c r="A159" s="1243" t="s">
        <v>609</v>
      </c>
      <c r="B159" s="1243"/>
      <c r="C159" s="1243"/>
      <c r="D159" s="1243"/>
      <c r="E159" s="1243"/>
      <c r="F159" s="1243"/>
      <c r="G159" s="1243"/>
      <c r="H159" s="1243"/>
      <c r="I159" s="1243"/>
      <c r="J159" s="1243"/>
      <c r="K159" s="11"/>
      <c r="L159" s="11"/>
    </row>
    <row r="160" spans="1:12" ht="15" hidden="1" customHeight="1" x14ac:dyDescent="0.3">
      <c r="A160" s="89" t="s">
        <v>80</v>
      </c>
      <c r="B160" s="90"/>
      <c r="C160" s="93">
        <v>350</v>
      </c>
      <c r="D160" s="93"/>
      <c r="E160" s="93"/>
      <c r="F160" s="94"/>
      <c r="G160" s="94"/>
      <c r="H160" s="94"/>
      <c r="I160" s="94"/>
      <c r="J160" s="94"/>
      <c r="K160" s="11"/>
      <c r="L160" s="11"/>
    </row>
    <row r="161" spans="1:12" ht="16.5" hidden="1" customHeight="1" x14ac:dyDescent="0.3">
      <c r="A161" s="89" t="s">
        <v>81</v>
      </c>
      <c r="B161" s="90"/>
      <c r="C161" s="90"/>
      <c r="D161" s="90"/>
      <c r="E161" s="95"/>
      <c r="F161" s="96"/>
      <c r="G161" s="96"/>
      <c r="H161" s="96"/>
      <c r="I161" s="96"/>
      <c r="J161" s="96"/>
      <c r="K161" s="11"/>
      <c r="L161" s="11"/>
    </row>
    <row r="162" spans="1:12" ht="36" hidden="1" customHeight="1" x14ac:dyDescent="0.3">
      <c r="A162" s="199" t="s">
        <v>1</v>
      </c>
      <c r="B162" s="1139" t="s">
        <v>44</v>
      </c>
      <c r="C162" s="1210"/>
      <c r="D162" s="1140"/>
      <c r="E162" s="1139" t="s">
        <v>45</v>
      </c>
      <c r="F162" s="1140"/>
      <c r="G162" s="1139" t="s">
        <v>46</v>
      </c>
      <c r="H162" s="1140"/>
      <c r="I162" s="1139" t="s">
        <v>102</v>
      </c>
      <c r="J162" s="1140"/>
      <c r="K162" s="11"/>
      <c r="L162" s="11"/>
    </row>
    <row r="163" spans="1:12" ht="16.5" hidden="1" customHeight="1" x14ac:dyDescent="0.3">
      <c r="A163" s="199">
        <v>1</v>
      </c>
      <c r="B163" s="1139">
        <v>2</v>
      </c>
      <c r="C163" s="1210"/>
      <c r="D163" s="1140"/>
      <c r="E163" s="1139">
        <v>3</v>
      </c>
      <c r="F163" s="1140"/>
      <c r="G163" s="1139">
        <v>4</v>
      </c>
      <c r="H163" s="1140"/>
      <c r="I163" s="1139">
        <v>5</v>
      </c>
      <c r="J163" s="1140"/>
      <c r="K163" s="11"/>
      <c r="L163" s="11"/>
    </row>
    <row r="164" spans="1:12" ht="132" hidden="1" customHeight="1" x14ac:dyDescent="0.3">
      <c r="A164" s="1148" t="s">
        <v>612</v>
      </c>
      <c r="B164" s="1149"/>
      <c r="C164" s="1149"/>
      <c r="D164" s="1149"/>
      <c r="E164" s="1149"/>
      <c r="F164" s="1149"/>
      <c r="G164" s="1149"/>
      <c r="H164" s="1149"/>
      <c r="I164" s="1149"/>
      <c r="J164" s="1150"/>
    </row>
    <row r="165" spans="1:12" ht="40.5" hidden="1" customHeight="1" x14ac:dyDescent="0.3">
      <c r="A165" s="202">
        <v>1</v>
      </c>
      <c r="B165" s="1115" t="s">
        <v>610</v>
      </c>
      <c r="C165" s="1115"/>
      <c r="D165" s="1115"/>
      <c r="E165" s="1116"/>
      <c r="F165" s="1117"/>
      <c r="G165" s="1241"/>
      <c r="H165" s="1242"/>
      <c r="I165" s="1241"/>
      <c r="J165" s="1242"/>
    </row>
    <row r="166" spans="1:12" ht="33.75" hidden="1" customHeight="1" x14ac:dyDescent="0.3">
      <c r="A166" s="202">
        <v>2</v>
      </c>
      <c r="B166" s="1215" t="s">
        <v>611</v>
      </c>
      <c r="C166" s="1216"/>
      <c r="D166" s="1217"/>
      <c r="E166" s="1116"/>
      <c r="F166" s="1156"/>
      <c r="G166" s="1116"/>
      <c r="H166" s="1156"/>
      <c r="I166" s="1241"/>
      <c r="J166" s="1248"/>
    </row>
    <row r="167" spans="1:12" hidden="1" x14ac:dyDescent="0.3">
      <c r="A167" s="200"/>
      <c r="B167" s="1249" t="s">
        <v>13</v>
      </c>
      <c r="C167" s="1250"/>
      <c r="D167" s="1251"/>
      <c r="E167" s="1244" t="s">
        <v>14</v>
      </c>
      <c r="F167" s="1245"/>
      <c r="G167" s="1244" t="s">
        <v>14</v>
      </c>
      <c r="H167" s="1245"/>
      <c r="I167" s="1246">
        <f>SUM(I165:J166)</f>
        <v>0</v>
      </c>
      <c r="J167" s="1247"/>
    </row>
    <row r="168" spans="1:12" s="41" customFormat="1" ht="21" hidden="1" customHeight="1" x14ac:dyDescent="0.3">
      <c r="A168" s="1243" t="s">
        <v>369</v>
      </c>
      <c r="B168" s="1243"/>
      <c r="C168" s="1243"/>
      <c r="D168" s="1243"/>
      <c r="E168" s="1243"/>
      <c r="F168" s="1243"/>
      <c r="G168" s="1243"/>
      <c r="H168" s="1243"/>
      <c r="I168" s="1243"/>
      <c r="J168" s="1243"/>
    </row>
    <row r="169" spans="1:12" s="41" customFormat="1" ht="21" hidden="1" customHeight="1" x14ac:dyDescent="0.3">
      <c r="A169" s="89" t="s">
        <v>80</v>
      </c>
      <c r="B169" s="90"/>
      <c r="C169" s="93">
        <v>851</v>
      </c>
      <c r="D169" s="93">
        <v>852</v>
      </c>
      <c r="E169" s="93">
        <v>853</v>
      </c>
      <c r="F169" s="94"/>
      <c r="G169" s="94"/>
      <c r="H169" s="94"/>
      <c r="I169" s="94"/>
      <c r="J169" s="94"/>
      <c r="K169" s="42"/>
      <c r="L169" s="43"/>
    </row>
    <row r="170" spans="1:12" s="41" customFormat="1" ht="15.6" hidden="1" x14ac:dyDescent="0.3">
      <c r="A170" s="89" t="s">
        <v>81</v>
      </c>
      <c r="B170" s="90"/>
      <c r="C170" s="90"/>
      <c r="D170" s="90"/>
      <c r="E170" s="95"/>
      <c r="F170" s="96"/>
      <c r="G170" s="96"/>
      <c r="H170" s="96"/>
      <c r="I170" s="96"/>
      <c r="J170" s="96"/>
    </row>
    <row r="171" spans="1:12" ht="39.75" hidden="1" customHeight="1" x14ac:dyDescent="0.3">
      <c r="A171" s="199" t="s">
        <v>1</v>
      </c>
      <c r="B171" s="1110" t="s">
        <v>15</v>
      </c>
      <c r="C171" s="1110"/>
      <c r="D171" s="1110"/>
      <c r="E171" s="1110" t="s">
        <v>47</v>
      </c>
      <c r="F171" s="1110"/>
      <c r="G171" s="1110" t="s">
        <v>48</v>
      </c>
      <c r="H171" s="1110"/>
      <c r="I171" s="1110" t="s">
        <v>103</v>
      </c>
      <c r="J171" s="1110"/>
    </row>
    <row r="172" spans="1:12" ht="15" hidden="1" customHeight="1" x14ac:dyDescent="0.3">
      <c r="A172" s="199">
        <v>1</v>
      </c>
      <c r="B172" s="1110">
        <v>2</v>
      </c>
      <c r="C172" s="1110"/>
      <c r="D172" s="1110"/>
      <c r="E172" s="1110">
        <v>3</v>
      </c>
      <c r="F172" s="1110"/>
      <c r="G172" s="1110">
        <v>4</v>
      </c>
      <c r="H172" s="1110"/>
      <c r="I172" s="1110">
        <v>5</v>
      </c>
      <c r="J172" s="1110"/>
    </row>
    <row r="173" spans="1:12" ht="20.25" hidden="1" customHeight="1" x14ac:dyDescent="0.3">
      <c r="A173" s="1280" t="s">
        <v>70</v>
      </c>
      <c r="B173" s="1285" t="s">
        <v>296</v>
      </c>
      <c r="C173" s="1286"/>
      <c r="D173" s="205" t="s">
        <v>515</v>
      </c>
      <c r="E173" s="1287"/>
      <c r="F173" s="1287"/>
      <c r="G173" s="1284">
        <v>2.1999999999999999E-2</v>
      </c>
      <c r="H173" s="1284"/>
      <c r="I173" s="1231">
        <v>0</v>
      </c>
      <c r="J173" s="1231"/>
    </row>
    <row r="174" spans="1:12" ht="17.25" hidden="1" customHeight="1" x14ac:dyDescent="0.3">
      <c r="A174" s="1281"/>
      <c r="B174" s="1286"/>
      <c r="C174" s="1286"/>
      <c r="D174" s="206" t="s">
        <v>516</v>
      </c>
      <c r="E174" s="1287"/>
      <c r="F174" s="1287"/>
      <c r="G174" s="1284">
        <v>2.1999999999999999E-2</v>
      </c>
      <c r="H174" s="1284"/>
      <c r="I174" s="1231">
        <v>0</v>
      </c>
      <c r="J174" s="1231"/>
    </row>
    <row r="175" spans="1:12" ht="18" hidden="1" customHeight="1" x14ac:dyDescent="0.3">
      <c r="A175" s="202" t="s">
        <v>75</v>
      </c>
      <c r="B175" s="1197" t="s">
        <v>298</v>
      </c>
      <c r="C175" s="1198"/>
      <c r="D175" s="1199"/>
      <c r="E175" s="1213">
        <v>0</v>
      </c>
      <c r="F175" s="1213"/>
      <c r="G175" s="1213">
        <v>0</v>
      </c>
      <c r="H175" s="1213"/>
      <c r="I175" s="1231">
        <v>0</v>
      </c>
      <c r="J175" s="1231"/>
    </row>
    <row r="176" spans="1:12" ht="31.5" hidden="1" customHeight="1" x14ac:dyDescent="0.3">
      <c r="A176" s="202" t="s">
        <v>77</v>
      </c>
      <c r="B176" s="1197" t="s">
        <v>299</v>
      </c>
      <c r="C176" s="1198"/>
      <c r="D176" s="1199"/>
      <c r="E176" s="1213">
        <v>0</v>
      </c>
      <c r="F176" s="1213"/>
      <c r="G176" s="1213">
        <v>0</v>
      </c>
      <c r="H176" s="1213"/>
      <c r="I176" s="1231">
        <v>0</v>
      </c>
      <c r="J176" s="1231"/>
    </row>
    <row r="177" spans="1:12" ht="31.5" hidden="1" customHeight="1" x14ac:dyDescent="0.3">
      <c r="A177" s="202" t="s">
        <v>86</v>
      </c>
      <c r="B177" s="1197" t="s">
        <v>297</v>
      </c>
      <c r="C177" s="1198"/>
      <c r="D177" s="1199"/>
      <c r="E177" s="1116">
        <v>0</v>
      </c>
      <c r="F177" s="1117"/>
      <c r="G177" s="1116">
        <v>0</v>
      </c>
      <c r="H177" s="1117"/>
      <c r="I177" s="1282">
        <v>0</v>
      </c>
      <c r="J177" s="1283"/>
    </row>
    <row r="178" spans="1:12" ht="15.75" hidden="1" customHeight="1" x14ac:dyDescent="0.3">
      <c r="A178" s="200"/>
      <c r="B178" s="1098" t="s">
        <v>13</v>
      </c>
      <c r="C178" s="1098"/>
      <c r="D178" s="1098"/>
      <c r="E178" s="1090" t="s">
        <v>74</v>
      </c>
      <c r="F178" s="1090"/>
      <c r="G178" s="1090" t="s">
        <v>14</v>
      </c>
      <c r="H178" s="1090"/>
      <c r="I178" s="1101">
        <f>SUM(I173:J177)</f>
        <v>0</v>
      </c>
      <c r="J178" s="1090"/>
    </row>
    <row r="179" spans="1:12" ht="27" hidden="1" customHeight="1" x14ac:dyDescent="0.3">
      <c r="A179" s="1243" t="s">
        <v>85</v>
      </c>
      <c r="B179" s="1243"/>
      <c r="C179" s="1243"/>
      <c r="D179" s="1243"/>
      <c r="E179" s="1243"/>
      <c r="F179" s="1243"/>
      <c r="G179" s="1243"/>
      <c r="H179" s="1243"/>
      <c r="I179" s="1243"/>
      <c r="J179" s="1243"/>
      <c r="K179" s="1237"/>
      <c r="L179" s="1237"/>
    </row>
    <row r="180" spans="1:12" s="41" customFormat="1" ht="15.75" hidden="1" customHeight="1" x14ac:dyDescent="0.3">
      <c r="A180" s="89" t="s">
        <v>80</v>
      </c>
      <c r="B180" s="90"/>
      <c r="C180" s="93"/>
      <c r="D180" s="93"/>
      <c r="E180" s="93"/>
      <c r="F180" s="94"/>
      <c r="G180" s="94"/>
      <c r="H180" s="94"/>
      <c r="I180" s="94"/>
      <c r="J180" s="94"/>
      <c r="K180" s="42"/>
      <c r="L180" s="43"/>
    </row>
    <row r="181" spans="1:12" s="41" customFormat="1" ht="15.6" hidden="1" x14ac:dyDescent="0.3">
      <c r="A181" s="89" t="s">
        <v>81</v>
      </c>
      <c r="B181" s="90"/>
      <c r="C181" s="90"/>
      <c r="D181" s="90"/>
      <c r="E181" s="95"/>
      <c r="F181" s="96"/>
      <c r="G181" s="96"/>
      <c r="H181" s="96"/>
      <c r="I181" s="96"/>
      <c r="J181" s="96"/>
    </row>
    <row r="182" spans="1:12" ht="24.75" hidden="1" customHeight="1" x14ac:dyDescent="0.3">
      <c r="A182" s="199" t="s">
        <v>1</v>
      </c>
      <c r="B182" s="1110" t="s">
        <v>44</v>
      </c>
      <c r="C182" s="1110"/>
      <c r="D182" s="1110"/>
      <c r="E182" s="1110" t="s">
        <v>45</v>
      </c>
      <c r="F182" s="1110"/>
      <c r="G182" s="1110" t="s">
        <v>46</v>
      </c>
      <c r="H182" s="1110"/>
      <c r="I182" s="1110" t="s">
        <v>102</v>
      </c>
      <c r="J182" s="1110"/>
      <c r="K182" s="11"/>
      <c r="L182" s="11"/>
    </row>
    <row r="183" spans="1:12" ht="14.25" hidden="1" customHeight="1" x14ac:dyDescent="0.3">
      <c r="A183" s="199">
        <v>1</v>
      </c>
      <c r="B183" s="1110">
        <v>2</v>
      </c>
      <c r="C183" s="1110"/>
      <c r="D183" s="1110"/>
      <c r="E183" s="1110">
        <v>3</v>
      </c>
      <c r="F183" s="1110"/>
      <c r="G183" s="1110">
        <v>4</v>
      </c>
      <c r="H183" s="1110"/>
      <c r="I183" s="1110">
        <v>5</v>
      </c>
      <c r="J183" s="1110"/>
      <c r="K183" s="212"/>
      <c r="L183" s="213"/>
    </row>
    <row r="184" spans="1:12" ht="15" hidden="1" customHeight="1" x14ac:dyDescent="0.3">
      <c r="A184" s="202"/>
      <c r="B184" s="1116"/>
      <c r="C184" s="1212"/>
      <c r="D184" s="1117"/>
      <c r="E184" s="1116"/>
      <c r="F184" s="1117"/>
      <c r="G184" s="1116"/>
      <c r="H184" s="1117"/>
      <c r="I184" s="1116"/>
      <c r="J184" s="1117"/>
      <c r="K184" s="11"/>
      <c r="L184" s="11"/>
    </row>
    <row r="185" spans="1:12" ht="17.25" hidden="1" customHeight="1" x14ac:dyDescent="0.3">
      <c r="A185" s="200"/>
      <c r="B185" s="1098" t="s">
        <v>13</v>
      </c>
      <c r="C185" s="1098"/>
      <c r="D185" s="1098"/>
      <c r="E185" s="1090" t="s">
        <v>14</v>
      </c>
      <c r="F185" s="1090"/>
      <c r="G185" s="1090" t="s">
        <v>14</v>
      </c>
      <c r="H185" s="1090"/>
      <c r="I185" s="1090"/>
      <c r="J185" s="1090"/>
      <c r="K185" s="11"/>
      <c r="L185" s="11"/>
    </row>
    <row r="186" spans="1:12" ht="16.5" hidden="1" customHeight="1" x14ac:dyDescent="0.3">
      <c r="A186" s="1218" t="s">
        <v>91</v>
      </c>
      <c r="B186" s="1218"/>
      <c r="C186" s="1218"/>
      <c r="D186" s="1218"/>
      <c r="E186" s="1218"/>
      <c r="F186" s="1218"/>
      <c r="G186" s="1218"/>
      <c r="H186" s="1218"/>
      <c r="I186" s="1218"/>
      <c r="J186" s="1218"/>
      <c r="K186" s="11"/>
      <c r="L186" s="11"/>
    </row>
    <row r="187" spans="1:12" ht="18" hidden="1" customHeight="1" x14ac:dyDescent="0.3">
      <c r="A187" s="89" t="s">
        <v>80</v>
      </c>
      <c r="B187" s="90"/>
      <c r="C187" s="93">
        <v>244</v>
      </c>
      <c r="D187" s="93"/>
      <c r="E187" s="93"/>
      <c r="F187" s="94"/>
      <c r="G187" s="94"/>
      <c r="H187" s="94"/>
      <c r="I187" s="94"/>
      <c r="J187" s="94"/>
      <c r="K187" s="11"/>
      <c r="L187" s="11"/>
    </row>
    <row r="188" spans="1:12" ht="18" hidden="1" customHeight="1" x14ac:dyDescent="0.3">
      <c r="A188" s="89" t="s">
        <v>81</v>
      </c>
      <c r="B188" s="90"/>
      <c r="C188" s="90"/>
      <c r="D188" s="90"/>
      <c r="E188" s="95" t="s">
        <v>82</v>
      </c>
      <c r="F188" s="96"/>
      <c r="G188" s="95"/>
      <c r="H188" s="96"/>
      <c r="I188" s="96"/>
      <c r="J188" s="96"/>
      <c r="K188" s="11"/>
      <c r="L188" s="11"/>
    </row>
    <row r="189" spans="1:12" ht="18" hidden="1" customHeight="1" x14ac:dyDescent="0.3">
      <c r="A189" s="1214" t="s">
        <v>568</v>
      </c>
      <c r="B189" s="1214"/>
      <c r="C189" s="1214"/>
      <c r="D189" s="1214"/>
      <c r="E189" s="1214"/>
      <c r="F189" s="1214"/>
      <c r="G189" s="1214"/>
      <c r="H189" s="1214"/>
      <c r="I189" s="1214"/>
      <c r="J189" s="1214"/>
      <c r="K189" s="11"/>
      <c r="L189" s="11"/>
    </row>
    <row r="190" spans="1:12" ht="30" hidden="1" customHeight="1" x14ac:dyDescent="0.3">
      <c r="A190" s="199" t="s">
        <v>1</v>
      </c>
      <c r="B190" s="1110" t="s">
        <v>44</v>
      </c>
      <c r="C190" s="1110"/>
      <c r="D190" s="1110"/>
      <c r="E190" s="1110" t="s">
        <v>45</v>
      </c>
      <c r="F190" s="1110"/>
      <c r="G190" s="1110" t="s">
        <v>46</v>
      </c>
      <c r="H190" s="1110"/>
      <c r="I190" s="1110" t="s">
        <v>102</v>
      </c>
      <c r="J190" s="1110"/>
      <c r="K190" s="144"/>
      <c r="L190" s="11"/>
    </row>
    <row r="191" spans="1:12" ht="17.25" hidden="1" customHeight="1" x14ac:dyDescent="0.3">
      <c r="A191" s="199">
        <v>1</v>
      </c>
      <c r="B191" s="1110">
        <v>2</v>
      </c>
      <c r="C191" s="1110"/>
      <c r="D191" s="1110"/>
      <c r="E191" s="1110">
        <v>3</v>
      </c>
      <c r="F191" s="1110"/>
      <c r="G191" s="1110">
        <v>4</v>
      </c>
      <c r="H191" s="1110"/>
      <c r="I191" s="1110">
        <v>5</v>
      </c>
      <c r="J191" s="1110"/>
      <c r="K191" s="11"/>
      <c r="L191" s="11"/>
    </row>
    <row r="192" spans="1:12" ht="21.75" hidden="1" customHeight="1" x14ac:dyDescent="0.3">
      <c r="A192" s="202" t="s">
        <v>70</v>
      </c>
      <c r="B192" s="1197" t="s">
        <v>569</v>
      </c>
      <c r="C192" s="1198"/>
      <c r="D192" s="1199"/>
      <c r="E192" s="1116">
        <v>0</v>
      </c>
      <c r="F192" s="1117"/>
      <c r="G192" s="1116">
        <v>1</v>
      </c>
      <c r="H192" s="1117"/>
      <c r="I192" s="1238">
        <f>E192*G192</f>
        <v>0</v>
      </c>
      <c r="J192" s="1239"/>
      <c r="K192" s="11"/>
      <c r="L192" s="145"/>
    </row>
    <row r="193" spans="1:14" ht="38.25" hidden="1" customHeight="1" x14ac:dyDescent="0.3">
      <c r="A193" s="202" t="s">
        <v>75</v>
      </c>
      <c r="B193" s="1215" t="s">
        <v>542</v>
      </c>
      <c r="C193" s="1216"/>
      <c r="D193" s="1217"/>
      <c r="E193" s="1116">
        <v>0</v>
      </c>
      <c r="F193" s="1117"/>
      <c r="G193" s="1116">
        <v>2</v>
      </c>
      <c r="H193" s="1117"/>
      <c r="I193" s="1238">
        <f>E193*G193</f>
        <v>0</v>
      </c>
      <c r="J193" s="1239"/>
      <c r="K193" s="11"/>
      <c r="L193" s="145"/>
    </row>
    <row r="194" spans="1:14" ht="15" hidden="1" customHeight="1" x14ac:dyDescent="0.3">
      <c r="A194" s="251"/>
      <c r="B194" s="1277" t="s">
        <v>13</v>
      </c>
      <c r="C194" s="1277"/>
      <c r="D194" s="1277"/>
      <c r="E194" s="1278" t="s">
        <v>14</v>
      </c>
      <c r="F194" s="1278"/>
      <c r="G194" s="1278" t="s">
        <v>14</v>
      </c>
      <c r="H194" s="1278"/>
      <c r="I194" s="1279">
        <f>I192+I193</f>
        <v>0</v>
      </c>
      <c r="J194" s="1279"/>
      <c r="K194" s="11"/>
      <c r="L194" s="11"/>
      <c r="M194" s="14"/>
    </row>
    <row r="195" spans="1:14" ht="22.5" customHeight="1" x14ac:dyDescent="0.3">
      <c r="A195" s="1218" t="s">
        <v>49</v>
      </c>
      <c r="B195" s="1218"/>
      <c r="C195" s="1218"/>
      <c r="D195" s="1218"/>
      <c r="E195" s="1218"/>
      <c r="F195" s="1218"/>
      <c r="G195" s="1218"/>
      <c r="H195" s="1218"/>
      <c r="I195" s="1218"/>
      <c r="J195" s="1218"/>
      <c r="K195" s="11"/>
      <c r="L195" s="11"/>
      <c r="M195" s="14"/>
    </row>
    <row r="196" spans="1:14" ht="19.5" customHeight="1" x14ac:dyDescent="0.3">
      <c r="A196" s="89" t="s">
        <v>80</v>
      </c>
      <c r="B196" s="90"/>
      <c r="C196" s="93">
        <v>244</v>
      </c>
      <c r="D196" s="93"/>
      <c r="E196" s="93"/>
      <c r="F196" s="94"/>
      <c r="G196" s="94"/>
      <c r="H196" s="94"/>
      <c r="I196" s="94"/>
      <c r="J196" s="94"/>
      <c r="K196" s="11"/>
      <c r="L196" s="11"/>
      <c r="M196" s="14"/>
    </row>
    <row r="197" spans="1:14" ht="17.25" customHeight="1" x14ac:dyDescent="0.3">
      <c r="A197" s="89" t="s">
        <v>81</v>
      </c>
      <c r="B197" s="90"/>
      <c r="C197" s="90"/>
      <c r="D197" s="90"/>
      <c r="E197" s="95" t="s">
        <v>82</v>
      </c>
      <c r="F197" s="96"/>
      <c r="G197" s="95" t="s">
        <v>195</v>
      </c>
      <c r="H197" s="96"/>
      <c r="I197" s="96"/>
      <c r="J197" s="96"/>
      <c r="K197" s="11"/>
      <c r="L197" s="11"/>
      <c r="M197" s="14"/>
    </row>
    <row r="198" spans="1:14" ht="17.25" hidden="1" customHeight="1" x14ac:dyDescent="0.3">
      <c r="A198" s="1218" t="s">
        <v>301</v>
      </c>
      <c r="B198" s="1218"/>
      <c r="C198" s="1218"/>
      <c r="D198" s="1218"/>
      <c r="E198" s="1218"/>
      <c r="F198" s="1218"/>
      <c r="G198" s="1218"/>
      <c r="H198" s="1218"/>
      <c r="I198" s="1218"/>
      <c r="J198" s="1218"/>
      <c r="K198" s="11"/>
      <c r="L198" s="11"/>
      <c r="M198" s="14"/>
    </row>
    <row r="199" spans="1:14" ht="39.75" hidden="1" customHeight="1" x14ac:dyDescent="0.3">
      <c r="A199" s="199" t="s">
        <v>1</v>
      </c>
      <c r="B199" s="1110" t="s">
        <v>15</v>
      </c>
      <c r="C199" s="1110"/>
      <c r="D199" s="1110"/>
      <c r="E199" s="199" t="s">
        <v>50</v>
      </c>
      <c r="F199" s="199" t="s">
        <v>51</v>
      </c>
      <c r="G199" s="1110" t="s">
        <v>52</v>
      </c>
      <c r="H199" s="1110"/>
      <c r="I199" s="1110" t="s">
        <v>104</v>
      </c>
      <c r="J199" s="1110"/>
      <c r="K199" s="11"/>
      <c r="L199" s="11"/>
      <c r="M199" s="14"/>
    </row>
    <row r="200" spans="1:14" ht="15" hidden="1" customHeight="1" x14ac:dyDescent="0.3">
      <c r="A200" s="199">
        <v>1</v>
      </c>
      <c r="B200" s="1110">
        <v>2</v>
      </c>
      <c r="C200" s="1110"/>
      <c r="D200" s="1110"/>
      <c r="E200" s="199">
        <v>3</v>
      </c>
      <c r="F200" s="199">
        <v>4</v>
      </c>
      <c r="G200" s="1110">
        <v>5</v>
      </c>
      <c r="H200" s="1110"/>
      <c r="I200" s="1110">
        <v>6</v>
      </c>
      <c r="J200" s="1110"/>
      <c r="K200" s="11"/>
      <c r="L200" s="11"/>
      <c r="M200" s="14"/>
    </row>
    <row r="201" spans="1:14" ht="14.25" hidden="1" customHeight="1" x14ac:dyDescent="0.3">
      <c r="A201" s="198">
        <v>1</v>
      </c>
      <c r="B201" s="1125" t="s">
        <v>348</v>
      </c>
      <c r="C201" s="1126"/>
      <c r="D201" s="1127"/>
      <c r="E201" s="155" t="s">
        <v>74</v>
      </c>
      <c r="F201" s="155" t="s">
        <v>74</v>
      </c>
      <c r="G201" s="1232" t="s">
        <v>74</v>
      </c>
      <c r="H201" s="1232"/>
      <c r="I201" s="1233">
        <f>I202+I203+I204+I205</f>
        <v>0</v>
      </c>
      <c r="J201" s="1233"/>
      <c r="K201" s="11"/>
      <c r="L201" s="11"/>
      <c r="M201" s="14"/>
    </row>
    <row r="202" spans="1:14" ht="15" hidden="1" customHeight="1" x14ac:dyDescent="0.3">
      <c r="A202" s="202" t="s">
        <v>349</v>
      </c>
      <c r="B202" s="1143" t="s">
        <v>93</v>
      </c>
      <c r="C202" s="1143"/>
      <c r="D202" s="1143"/>
      <c r="E202" s="202">
        <v>6</v>
      </c>
      <c r="F202" s="202">
        <v>12</v>
      </c>
      <c r="G202" s="1234">
        <v>0</v>
      </c>
      <c r="H202" s="1234"/>
      <c r="I202" s="1231">
        <v>0</v>
      </c>
      <c r="J202" s="1231"/>
      <c r="K202" s="13"/>
      <c r="L202" s="13"/>
      <c r="M202" s="14"/>
    </row>
    <row r="203" spans="1:14" hidden="1" x14ac:dyDescent="0.3">
      <c r="A203" s="202" t="s">
        <v>350</v>
      </c>
      <c r="B203" s="1143" t="s">
        <v>95</v>
      </c>
      <c r="C203" s="1143"/>
      <c r="D203" s="1143"/>
      <c r="E203" s="202"/>
      <c r="F203" s="202"/>
      <c r="G203" s="1235"/>
      <c r="H203" s="1235"/>
      <c r="I203" s="1231"/>
      <c r="J203" s="1231"/>
      <c r="M203" s="14"/>
    </row>
    <row r="204" spans="1:14" hidden="1" x14ac:dyDescent="0.3">
      <c r="A204" s="202" t="s">
        <v>351</v>
      </c>
      <c r="B204" s="1143" t="s">
        <v>96</v>
      </c>
      <c r="C204" s="1143"/>
      <c r="D204" s="1143"/>
      <c r="E204" s="202"/>
      <c r="F204" s="202"/>
      <c r="G204" s="1230"/>
      <c r="H204" s="1230"/>
      <c r="I204" s="1236"/>
      <c r="J204" s="1236"/>
      <c r="M204" s="14"/>
    </row>
    <row r="205" spans="1:14" hidden="1" x14ac:dyDescent="0.3">
      <c r="A205" s="202" t="s">
        <v>268</v>
      </c>
      <c r="B205" s="1143" t="s">
        <v>199</v>
      </c>
      <c r="C205" s="1143"/>
      <c r="D205" s="1143"/>
      <c r="E205" s="202"/>
      <c r="F205" s="202"/>
      <c r="G205" s="1230"/>
      <c r="H205" s="1230"/>
      <c r="I205" s="1231"/>
      <c r="J205" s="1231"/>
      <c r="M205" s="14"/>
    </row>
    <row r="206" spans="1:14" hidden="1" x14ac:dyDescent="0.3">
      <c r="A206" s="198">
        <v>2</v>
      </c>
      <c r="B206" s="1125" t="s">
        <v>352</v>
      </c>
      <c r="C206" s="1126"/>
      <c r="D206" s="1127"/>
      <c r="E206" s="155" t="s">
        <v>74</v>
      </c>
      <c r="F206" s="155" t="s">
        <v>74</v>
      </c>
      <c r="G206" s="1232" t="s">
        <v>74</v>
      </c>
      <c r="H206" s="1232"/>
      <c r="I206" s="1233">
        <f>I207</f>
        <v>0</v>
      </c>
      <c r="J206" s="1233"/>
      <c r="M206" s="14"/>
    </row>
    <row r="207" spans="1:14" s="41" customFormat="1" ht="19.5" hidden="1" customHeight="1" x14ac:dyDescent="0.3">
      <c r="A207" s="202" t="s">
        <v>353</v>
      </c>
      <c r="B207" s="1143" t="s">
        <v>199</v>
      </c>
      <c r="C207" s="1143"/>
      <c r="D207" s="1143"/>
      <c r="E207" s="202">
        <v>1</v>
      </c>
      <c r="F207" s="202">
        <v>10</v>
      </c>
      <c r="G207" s="1230">
        <v>25000</v>
      </c>
      <c r="H207" s="1230"/>
      <c r="I207" s="1231">
        <v>0</v>
      </c>
      <c r="J207" s="1231"/>
    </row>
    <row r="208" spans="1:14" ht="16.5" hidden="1" customHeight="1" x14ac:dyDescent="0.3">
      <c r="A208" s="202"/>
      <c r="B208" s="1098" t="s">
        <v>332</v>
      </c>
      <c r="C208" s="1098"/>
      <c r="D208" s="1098"/>
      <c r="E208" s="200" t="s">
        <v>14</v>
      </c>
      <c r="F208" s="200" t="s">
        <v>14</v>
      </c>
      <c r="G208" s="1090" t="s">
        <v>14</v>
      </c>
      <c r="H208" s="1090"/>
      <c r="I208" s="1101">
        <f>I201+I206</f>
        <v>0</v>
      </c>
      <c r="J208" s="1090"/>
      <c r="K208" s="133"/>
      <c r="N208" s="135"/>
    </row>
    <row r="209" spans="1:13" ht="12" hidden="1" customHeight="1" x14ac:dyDescent="0.3">
      <c r="A209" s="97"/>
      <c r="B209" s="90"/>
      <c r="C209" s="90"/>
      <c r="D209" s="90"/>
      <c r="E209" s="90"/>
      <c r="F209" s="90"/>
      <c r="G209" s="90"/>
      <c r="H209" s="90"/>
      <c r="I209" s="90"/>
      <c r="J209" s="90"/>
      <c r="K209" s="14"/>
      <c r="M209" s="82"/>
    </row>
    <row r="210" spans="1:13" ht="18.75" hidden="1" customHeight="1" x14ac:dyDescent="0.3">
      <c r="A210" s="1218" t="s">
        <v>285</v>
      </c>
      <c r="B210" s="1218"/>
      <c r="C210" s="1218"/>
      <c r="D210" s="1218"/>
      <c r="E210" s="1218"/>
      <c r="F210" s="1218"/>
      <c r="G210" s="1218"/>
      <c r="H210" s="1218"/>
      <c r="I210" s="1218"/>
      <c r="J210" s="1218"/>
      <c r="K210" s="14"/>
      <c r="M210" s="82"/>
    </row>
    <row r="211" spans="1:13" ht="12.75" hidden="1" customHeight="1" x14ac:dyDescent="0.3">
      <c r="A211" s="199" t="s">
        <v>1</v>
      </c>
      <c r="B211" s="1110" t="s">
        <v>15</v>
      </c>
      <c r="C211" s="1110"/>
      <c r="D211" s="1110"/>
      <c r="E211" s="1110" t="s">
        <v>53</v>
      </c>
      <c r="F211" s="1110"/>
      <c r="G211" s="1110" t="s">
        <v>54</v>
      </c>
      <c r="H211" s="1110"/>
      <c r="I211" s="1110" t="s">
        <v>264</v>
      </c>
      <c r="J211" s="1110"/>
      <c r="K211" s="14"/>
      <c r="M211" s="82"/>
    </row>
    <row r="212" spans="1:13" ht="15" hidden="1" customHeight="1" x14ac:dyDescent="0.3">
      <c r="A212" s="199">
        <v>1</v>
      </c>
      <c r="B212" s="1110">
        <v>2</v>
      </c>
      <c r="C212" s="1110"/>
      <c r="D212" s="1110"/>
      <c r="E212" s="1110">
        <v>3</v>
      </c>
      <c r="F212" s="1110"/>
      <c r="G212" s="1110">
        <v>4</v>
      </c>
      <c r="H212" s="1110"/>
      <c r="I212" s="1110">
        <v>5</v>
      </c>
      <c r="J212" s="1110"/>
      <c r="K212" s="14"/>
      <c r="M212" s="82"/>
    </row>
    <row r="213" spans="1:13" ht="17.25" hidden="1" customHeight="1" x14ac:dyDescent="0.3">
      <c r="A213" s="202">
        <v>1</v>
      </c>
      <c r="B213" s="1226" t="s">
        <v>329</v>
      </c>
      <c r="C213" s="1227"/>
      <c r="D213" s="1228"/>
      <c r="E213" s="1213"/>
      <c r="F213" s="1213"/>
      <c r="G213" s="1229"/>
      <c r="H213" s="1229"/>
      <c r="I213" s="1229">
        <f>E213*G213</f>
        <v>0</v>
      </c>
      <c r="J213" s="1229"/>
      <c r="K213" s="14"/>
      <c r="M213" s="82"/>
    </row>
    <row r="214" spans="1:13" hidden="1" x14ac:dyDescent="0.3">
      <c r="A214" s="202"/>
      <c r="B214" s="1098" t="s">
        <v>13</v>
      </c>
      <c r="C214" s="1098"/>
      <c r="D214" s="1098"/>
      <c r="E214" s="1090" t="s">
        <v>74</v>
      </c>
      <c r="F214" s="1090"/>
      <c r="G214" s="1090" t="s">
        <v>74</v>
      </c>
      <c r="H214" s="1090"/>
      <c r="I214" s="1203">
        <f>I213</f>
        <v>0</v>
      </c>
      <c r="J214" s="1090"/>
    </row>
    <row r="215" spans="1:13" ht="24" hidden="1" customHeight="1" x14ac:dyDescent="0.3">
      <c r="A215" s="1218" t="s">
        <v>281</v>
      </c>
      <c r="B215" s="1218"/>
      <c r="C215" s="1218"/>
      <c r="D215" s="1218"/>
      <c r="E215" s="1218"/>
      <c r="F215" s="1218"/>
      <c r="G215" s="1218"/>
      <c r="H215" s="1218"/>
      <c r="I215" s="1218"/>
      <c r="J215" s="1218"/>
    </row>
    <row r="216" spans="1:13" s="41" customFormat="1" ht="25.5" hidden="1" customHeight="1" x14ac:dyDescent="0.3">
      <c r="A216" s="199" t="s">
        <v>1</v>
      </c>
      <c r="B216" s="1110" t="s">
        <v>44</v>
      </c>
      <c r="C216" s="1110"/>
      <c r="D216" s="1110"/>
      <c r="E216" s="199" t="s">
        <v>55</v>
      </c>
      <c r="F216" s="1110" t="s">
        <v>56</v>
      </c>
      <c r="G216" s="1110"/>
      <c r="H216" s="199" t="s">
        <v>57</v>
      </c>
      <c r="I216" s="1110" t="s">
        <v>104</v>
      </c>
      <c r="J216" s="1110"/>
    </row>
    <row r="217" spans="1:13" s="41" customFormat="1" ht="13.8" hidden="1" x14ac:dyDescent="0.3">
      <c r="A217" s="199">
        <v>1</v>
      </c>
      <c r="B217" s="1110">
        <v>2</v>
      </c>
      <c r="C217" s="1110"/>
      <c r="D217" s="1110"/>
      <c r="E217" s="199">
        <v>3</v>
      </c>
      <c r="F217" s="1110">
        <v>4</v>
      </c>
      <c r="G217" s="1110"/>
      <c r="H217" s="199">
        <v>5</v>
      </c>
      <c r="I217" s="1110">
        <v>6</v>
      </c>
      <c r="J217" s="1110"/>
    </row>
    <row r="218" spans="1:13" ht="15" hidden="1" customHeight="1" x14ac:dyDescent="0.3">
      <c r="A218" s="198" t="s">
        <v>70</v>
      </c>
      <c r="B218" s="1125" t="s">
        <v>151</v>
      </c>
      <c r="C218" s="1126"/>
      <c r="D218" s="1127"/>
      <c r="E218" s="99">
        <f>E219+E220</f>
        <v>1242.06</v>
      </c>
      <c r="F218" s="1223"/>
      <c r="G218" s="1224"/>
      <c r="H218" s="100">
        <f>F220/F219-100%</f>
        <v>3.5000412984224072E-2</v>
      </c>
      <c r="I218" s="1225"/>
      <c r="J218" s="1225"/>
      <c r="K218" s="14"/>
    </row>
    <row r="219" spans="1:13" ht="15" hidden="1" customHeight="1" x14ac:dyDescent="0.3">
      <c r="A219" s="202"/>
      <c r="B219" s="1213" t="s">
        <v>100</v>
      </c>
      <c r="C219" s="1213"/>
      <c r="D219" s="1213"/>
      <c r="E219" s="201">
        <f>679+21.16</f>
        <v>700.16</v>
      </c>
      <c r="F219" s="1192">
        <v>1937.12</v>
      </c>
      <c r="G219" s="1193"/>
      <c r="H219" s="202"/>
      <c r="I219" s="1222"/>
      <c r="J219" s="1222"/>
      <c r="K219" s="14"/>
    </row>
    <row r="220" spans="1:13" ht="15" hidden="1" customHeight="1" x14ac:dyDescent="0.3">
      <c r="A220" s="202"/>
      <c r="B220" s="1213" t="s">
        <v>101</v>
      </c>
      <c r="C220" s="1213"/>
      <c r="D220" s="1213"/>
      <c r="E220" s="201">
        <f>318+203+14.4+4.5+2</f>
        <v>541.9</v>
      </c>
      <c r="F220" s="1192">
        <v>2004.92</v>
      </c>
      <c r="G220" s="1193"/>
      <c r="H220" s="202"/>
      <c r="I220" s="1222"/>
      <c r="J220" s="1222"/>
      <c r="K220" s="14"/>
    </row>
    <row r="221" spans="1:13" ht="15" hidden="1" customHeight="1" x14ac:dyDescent="0.3">
      <c r="A221" s="198" t="s">
        <v>75</v>
      </c>
      <c r="B221" s="1125" t="s">
        <v>152</v>
      </c>
      <c r="C221" s="1126"/>
      <c r="D221" s="1127"/>
      <c r="E221" s="99">
        <f>E222+E223</f>
        <v>854</v>
      </c>
      <c r="F221" s="1223"/>
      <c r="G221" s="1224"/>
      <c r="H221" s="100">
        <f>F223/F222-100%</f>
        <v>3.5040944581984368E-2</v>
      </c>
      <c r="I221" s="1225"/>
      <c r="J221" s="1225"/>
      <c r="K221" s="14"/>
    </row>
    <row r="222" spans="1:13" ht="15" hidden="1" customHeight="1" x14ac:dyDescent="0.3">
      <c r="A222" s="202"/>
      <c r="B222" s="1213" t="s">
        <v>100</v>
      </c>
      <c r="C222" s="1213"/>
      <c r="D222" s="1213"/>
      <c r="E222" s="201">
        <v>460</v>
      </c>
      <c r="F222" s="1192">
        <v>52.51</v>
      </c>
      <c r="G222" s="1193"/>
      <c r="H222" s="202"/>
      <c r="I222" s="1222"/>
      <c r="J222" s="1222"/>
      <c r="K222" s="14"/>
    </row>
    <row r="223" spans="1:13" ht="15" hidden="1" customHeight="1" x14ac:dyDescent="0.3">
      <c r="A223" s="202"/>
      <c r="B223" s="1213" t="s">
        <v>101</v>
      </c>
      <c r="C223" s="1213"/>
      <c r="D223" s="1213"/>
      <c r="E223" s="201">
        <f>313+81</f>
        <v>394</v>
      </c>
      <c r="F223" s="1192">
        <v>54.35</v>
      </c>
      <c r="G223" s="1193"/>
      <c r="H223" s="202"/>
      <c r="I223" s="1222"/>
      <c r="J223" s="1222"/>
      <c r="K223" s="108"/>
    </row>
    <row r="224" spans="1:13" ht="15" hidden="1" customHeight="1" x14ac:dyDescent="0.3">
      <c r="A224" s="198" t="s">
        <v>77</v>
      </c>
      <c r="B224" s="1125" t="s">
        <v>153</v>
      </c>
      <c r="C224" s="1126"/>
      <c r="D224" s="1127"/>
      <c r="E224" s="99">
        <f>E225+E226</f>
        <v>1517</v>
      </c>
      <c r="F224" s="1223"/>
      <c r="G224" s="1224"/>
      <c r="H224" s="100">
        <f>F226/F225-100%</f>
        <v>3.5040944581984368E-2</v>
      </c>
      <c r="I224" s="1225"/>
      <c r="J224" s="1225"/>
      <c r="K224" s="14"/>
    </row>
    <row r="225" spans="1:11" ht="15" hidden="1" customHeight="1" x14ac:dyDescent="0.3">
      <c r="A225" s="202"/>
      <c r="B225" s="1213" t="s">
        <v>100</v>
      </c>
      <c r="C225" s="1213"/>
      <c r="D225" s="1213"/>
      <c r="E225" s="201">
        <f>722</f>
        <v>722</v>
      </c>
      <c r="F225" s="1192">
        <v>52.51</v>
      </c>
      <c r="G225" s="1193"/>
      <c r="H225" s="202"/>
      <c r="I225" s="1222"/>
      <c r="J225" s="1222"/>
      <c r="K225" s="14"/>
    </row>
    <row r="226" spans="1:11" ht="15" hidden="1" customHeight="1" x14ac:dyDescent="0.3">
      <c r="A226" s="202"/>
      <c r="B226" s="1213" t="s">
        <v>101</v>
      </c>
      <c r="C226" s="1213"/>
      <c r="D226" s="1213"/>
      <c r="E226" s="201">
        <f>559+236</f>
        <v>795</v>
      </c>
      <c r="F226" s="1192">
        <v>54.35</v>
      </c>
      <c r="G226" s="1193"/>
      <c r="H226" s="202"/>
      <c r="I226" s="1222"/>
      <c r="J226" s="1222"/>
      <c r="K226" s="14"/>
    </row>
    <row r="227" spans="1:11" ht="15" hidden="1" customHeight="1" x14ac:dyDescent="0.3">
      <c r="A227" s="198" t="s">
        <v>86</v>
      </c>
      <c r="B227" s="1125" t="s">
        <v>154</v>
      </c>
      <c r="C227" s="1126"/>
      <c r="D227" s="1127"/>
      <c r="E227" s="99">
        <f>E228+E229</f>
        <v>2426</v>
      </c>
      <c r="F227" s="1223"/>
      <c r="G227" s="1224"/>
      <c r="H227" s="100">
        <f>F229/F228-100%</f>
        <v>3.461841070023608E-2</v>
      </c>
      <c r="I227" s="1225"/>
      <c r="J227" s="1225"/>
      <c r="K227" s="176">
        <f>I227+I224</f>
        <v>0</v>
      </c>
    </row>
    <row r="228" spans="1:11" ht="15" hidden="1" customHeight="1" x14ac:dyDescent="0.4">
      <c r="A228" s="202"/>
      <c r="B228" s="1213" t="s">
        <v>100</v>
      </c>
      <c r="C228" s="1213"/>
      <c r="D228" s="1213"/>
      <c r="E228" s="201">
        <v>1249</v>
      </c>
      <c r="F228" s="1192">
        <v>63.55</v>
      </c>
      <c r="G228" s="1193"/>
      <c r="H228" s="202"/>
      <c r="I228" s="1222"/>
      <c r="J228" s="1222"/>
      <c r="K228" s="146"/>
    </row>
    <row r="229" spans="1:11" ht="15" hidden="1" customHeight="1" x14ac:dyDescent="0.3">
      <c r="A229" s="202"/>
      <c r="B229" s="1213" t="s">
        <v>101</v>
      </c>
      <c r="C229" s="1213"/>
      <c r="D229" s="1213"/>
      <c r="E229" s="201">
        <f>860+317</f>
        <v>1177</v>
      </c>
      <c r="F229" s="1192">
        <v>65.75</v>
      </c>
      <c r="G229" s="1193"/>
      <c r="H229" s="202"/>
      <c r="I229" s="1222"/>
      <c r="J229" s="1222"/>
      <c r="K229" s="15"/>
    </row>
    <row r="230" spans="1:11" ht="15" hidden="1" customHeight="1" x14ac:dyDescent="0.3">
      <c r="A230" s="198" t="s">
        <v>87</v>
      </c>
      <c r="B230" s="1125" t="s">
        <v>155</v>
      </c>
      <c r="C230" s="1126"/>
      <c r="D230" s="1127"/>
      <c r="E230" s="241">
        <f>E231+E232</f>
        <v>149022</v>
      </c>
      <c r="F230" s="1223"/>
      <c r="G230" s="1224"/>
      <c r="H230" s="100">
        <f>F232/F231-100%</f>
        <v>3.7676609105180559E-2</v>
      </c>
      <c r="I230" s="1225"/>
      <c r="J230" s="1225"/>
      <c r="K230" s="14"/>
    </row>
    <row r="231" spans="1:11" ht="15" hidden="1" customHeight="1" x14ac:dyDescent="0.3">
      <c r="A231" s="202"/>
      <c r="B231" s="1213" t="s">
        <v>100</v>
      </c>
      <c r="C231" s="1213"/>
      <c r="D231" s="1213"/>
      <c r="E231" s="207">
        <v>75960</v>
      </c>
      <c r="F231" s="1192">
        <v>6.37</v>
      </c>
      <c r="G231" s="1193"/>
      <c r="H231" s="202"/>
      <c r="I231" s="1222"/>
      <c r="J231" s="1222"/>
      <c r="K231" s="14"/>
    </row>
    <row r="232" spans="1:11" ht="15" hidden="1" customHeight="1" x14ac:dyDescent="0.3">
      <c r="A232" s="202"/>
      <c r="B232" s="1213" t="s">
        <v>101</v>
      </c>
      <c r="C232" s="1213"/>
      <c r="D232" s="1213"/>
      <c r="E232" s="207">
        <f>53108+19954</f>
        <v>73062</v>
      </c>
      <c r="F232" s="1192">
        <v>6.61</v>
      </c>
      <c r="G232" s="1193"/>
      <c r="H232" s="202"/>
      <c r="I232" s="1222"/>
      <c r="J232" s="1222"/>
    </row>
    <row r="233" spans="1:11" ht="15" hidden="1" customHeight="1" x14ac:dyDescent="0.3">
      <c r="A233" s="198" t="s">
        <v>97</v>
      </c>
      <c r="B233" s="1125" t="s">
        <v>378</v>
      </c>
      <c r="C233" s="1126"/>
      <c r="D233" s="1127"/>
      <c r="E233" s="241">
        <f>E234+E235</f>
        <v>147.19999999999999</v>
      </c>
      <c r="F233" s="1223"/>
      <c r="G233" s="1224"/>
      <c r="H233" s="100">
        <v>0</v>
      </c>
      <c r="I233" s="1225"/>
      <c r="J233" s="1225"/>
      <c r="K233" s="135"/>
    </row>
    <row r="234" spans="1:11" ht="15" hidden="1" customHeight="1" x14ac:dyDescent="0.3">
      <c r="A234" s="202"/>
      <c r="B234" s="1213" t="s">
        <v>100</v>
      </c>
      <c r="C234" s="1213"/>
      <c r="D234" s="1213"/>
      <c r="E234" s="207">
        <v>73.599999999999994</v>
      </c>
      <c r="F234" s="1192">
        <v>747.07</v>
      </c>
      <c r="G234" s="1193"/>
      <c r="H234" s="202"/>
      <c r="I234" s="1222"/>
      <c r="J234" s="1222"/>
    </row>
    <row r="235" spans="1:11" ht="15" hidden="1" customHeight="1" x14ac:dyDescent="0.3">
      <c r="A235" s="202"/>
      <c r="B235" s="1213" t="s">
        <v>101</v>
      </c>
      <c r="C235" s="1213"/>
      <c r="D235" s="1213"/>
      <c r="E235" s="207">
        <v>73.599999999999994</v>
      </c>
      <c r="F235" s="1192">
        <v>747.07</v>
      </c>
      <c r="G235" s="1193"/>
      <c r="H235" s="202"/>
      <c r="I235" s="1222"/>
      <c r="J235" s="1222"/>
    </row>
    <row r="236" spans="1:11" ht="15" hidden="1" customHeight="1" x14ac:dyDescent="0.3">
      <c r="A236" s="202"/>
      <c r="B236" s="1098" t="s">
        <v>13</v>
      </c>
      <c r="C236" s="1098"/>
      <c r="D236" s="1098"/>
      <c r="E236" s="200" t="s">
        <v>14</v>
      </c>
      <c r="F236" s="1090" t="s">
        <v>14</v>
      </c>
      <c r="G236" s="1090"/>
      <c r="H236" s="200" t="s">
        <v>14</v>
      </c>
      <c r="I236" s="1101">
        <f>I218+I221+I224+I227+I230+I233</f>
        <v>0</v>
      </c>
      <c r="J236" s="1101"/>
    </row>
    <row r="237" spans="1:11" s="41" customFormat="1" ht="19.5" hidden="1" customHeight="1" x14ac:dyDescent="0.3">
      <c r="A237" s="1218" t="s">
        <v>286</v>
      </c>
      <c r="B237" s="1218"/>
      <c r="C237" s="1218"/>
      <c r="D237" s="1218"/>
      <c r="E237" s="1218"/>
      <c r="F237" s="1218"/>
      <c r="G237" s="1218"/>
      <c r="H237" s="1218"/>
      <c r="I237" s="1218"/>
      <c r="J237" s="1218"/>
    </row>
    <row r="238" spans="1:11" s="41" customFormat="1" ht="15" hidden="1" customHeight="1" x14ac:dyDescent="0.3">
      <c r="A238" s="199" t="s">
        <v>1</v>
      </c>
      <c r="B238" s="1110" t="s">
        <v>44</v>
      </c>
      <c r="C238" s="1110"/>
      <c r="D238" s="1110"/>
      <c r="E238" s="1110" t="s">
        <v>58</v>
      </c>
      <c r="F238" s="1110"/>
      <c r="G238" s="1110" t="s">
        <v>59</v>
      </c>
      <c r="H238" s="1110"/>
      <c r="I238" s="1110" t="s">
        <v>60</v>
      </c>
      <c r="J238" s="1110"/>
    </row>
    <row r="239" spans="1:11" ht="15" hidden="1" customHeight="1" x14ac:dyDescent="0.3">
      <c r="A239" s="199">
        <v>1</v>
      </c>
      <c r="B239" s="1110">
        <v>2</v>
      </c>
      <c r="C239" s="1110"/>
      <c r="D239" s="1110"/>
      <c r="E239" s="1110">
        <v>3</v>
      </c>
      <c r="F239" s="1110"/>
      <c r="G239" s="1110">
        <v>4</v>
      </c>
      <c r="H239" s="1110"/>
      <c r="I239" s="1110">
        <v>5</v>
      </c>
      <c r="J239" s="1110"/>
      <c r="K239" s="15"/>
    </row>
    <row r="240" spans="1:11" ht="15" hidden="1" customHeight="1" x14ac:dyDescent="0.3">
      <c r="A240" s="202"/>
      <c r="B240" s="1116"/>
      <c r="C240" s="1212"/>
      <c r="D240" s="1117"/>
      <c r="E240" s="1213"/>
      <c r="F240" s="1213"/>
      <c r="G240" s="1213"/>
      <c r="H240" s="1213"/>
      <c r="I240" s="1213"/>
      <c r="J240" s="1213"/>
      <c r="K240" s="14"/>
    </row>
    <row r="241" spans="1:12" ht="15" hidden="1" customHeight="1" x14ac:dyDescent="0.3">
      <c r="A241" s="200"/>
      <c r="B241" s="1098" t="s">
        <v>13</v>
      </c>
      <c r="C241" s="1098"/>
      <c r="D241" s="1098"/>
      <c r="E241" s="1090" t="s">
        <v>14</v>
      </c>
      <c r="F241" s="1090"/>
      <c r="G241" s="1090" t="s">
        <v>14</v>
      </c>
      <c r="H241" s="1090"/>
      <c r="I241" s="1090"/>
      <c r="J241" s="1090"/>
    </row>
    <row r="242" spans="1:12" ht="16.5" customHeight="1" x14ac:dyDescent="0.3">
      <c r="A242" s="1218" t="s">
        <v>282</v>
      </c>
      <c r="B242" s="1218"/>
      <c r="C242" s="1218"/>
      <c r="D242" s="1218"/>
      <c r="E242" s="1218"/>
      <c r="F242" s="1218"/>
      <c r="G242" s="1218"/>
      <c r="H242" s="1218"/>
      <c r="I242" s="1218"/>
      <c r="J242" s="1218"/>
    </row>
    <row r="243" spans="1:12" ht="15" customHeight="1" x14ac:dyDescent="0.3">
      <c r="A243" s="1174" t="s">
        <v>1</v>
      </c>
      <c r="B243" s="1176" t="s">
        <v>15</v>
      </c>
      <c r="C243" s="1177"/>
      <c r="D243" s="1178"/>
      <c r="E243" s="1174" t="s">
        <v>61</v>
      </c>
      <c r="F243" s="1174" t="s">
        <v>62</v>
      </c>
      <c r="G243" s="1110" t="s">
        <v>63</v>
      </c>
      <c r="H243" s="1110"/>
      <c r="I243" s="1110"/>
      <c r="J243" s="1110"/>
    </row>
    <row r="244" spans="1:12" ht="24" customHeight="1" x14ac:dyDescent="0.3">
      <c r="A244" s="1175"/>
      <c r="B244" s="1179"/>
      <c r="C244" s="1180"/>
      <c r="D244" s="1181"/>
      <c r="E244" s="1175"/>
      <c r="F244" s="1175"/>
      <c r="G244" s="199" t="s">
        <v>305</v>
      </c>
      <c r="H244" s="199" t="s">
        <v>302</v>
      </c>
      <c r="I244" s="195" t="s">
        <v>303</v>
      </c>
      <c r="J244" s="199" t="s">
        <v>304</v>
      </c>
    </row>
    <row r="245" spans="1:12" ht="11.25" customHeight="1" x14ac:dyDescent="0.3">
      <c r="A245" s="199">
        <v>1</v>
      </c>
      <c r="B245" s="1110">
        <v>2</v>
      </c>
      <c r="C245" s="1110"/>
      <c r="D245" s="1110"/>
      <c r="E245" s="199">
        <v>3</v>
      </c>
      <c r="F245" s="199">
        <v>4</v>
      </c>
      <c r="G245" s="1139">
        <v>5</v>
      </c>
      <c r="H245" s="1210"/>
      <c r="I245" s="1210"/>
      <c r="J245" s="1140"/>
    </row>
    <row r="246" spans="1:12" ht="37.5" customHeight="1" x14ac:dyDescent="0.3">
      <c r="A246" s="1092" t="s">
        <v>990</v>
      </c>
      <c r="B246" s="1093"/>
      <c r="C246" s="1093"/>
      <c r="D246" s="1093"/>
      <c r="E246" s="1093"/>
      <c r="F246" s="1093"/>
      <c r="G246" s="1093"/>
      <c r="H246" s="1093"/>
      <c r="I246" s="1093"/>
      <c r="J246" s="1094"/>
    </row>
    <row r="247" spans="1:12" ht="2.25" hidden="1" customHeight="1" x14ac:dyDescent="0.3">
      <c r="A247" s="202" t="s">
        <v>75</v>
      </c>
      <c r="B247" s="835"/>
      <c r="C247" s="835"/>
      <c r="D247" s="835"/>
      <c r="E247" s="706"/>
      <c r="F247" s="706"/>
      <c r="G247" s="706"/>
      <c r="H247" s="706"/>
      <c r="I247" s="172"/>
      <c r="J247" s="707"/>
    </row>
    <row r="248" spans="1:12" ht="30" customHeight="1" x14ac:dyDescent="0.3">
      <c r="A248" s="202">
        <v>1</v>
      </c>
      <c r="B248" s="835" t="s">
        <v>966</v>
      </c>
      <c r="C248" s="835"/>
      <c r="D248" s="835"/>
      <c r="E248" s="202" t="s">
        <v>910</v>
      </c>
      <c r="F248" s="202">
        <v>1</v>
      </c>
      <c r="G248" s="202" t="s">
        <v>306</v>
      </c>
      <c r="H248" s="202">
        <v>1</v>
      </c>
      <c r="I248" s="172">
        <v>44700</v>
      </c>
      <c r="J248" s="165">
        <f>H248*I248</f>
        <v>44700</v>
      </c>
      <c r="K248" s="175">
        <v>34000</v>
      </c>
    </row>
    <row r="249" spans="1:12" ht="30" hidden="1" customHeight="1" x14ac:dyDescent="0.3">
      <c r="A249" s="268">
        <v>2</v>
      </c>
      <c r="B249" s="809"/>
      <c r="C249" s="810"/>
      <c r="D249" s="811"/>
      <c r="E249" s="272"/>
      <c r="F249" s="272">
        <v>1</v>
      </c>
      <c r="G249" s="272" t="s">
        <v>306</v>
      </c>
      <c r="H249" s="272">
        <v>1</v>
      </c>
      <c r="I249" s="172">
        <v>0</v>
      </c>
      <c r="J249" s="274">
        <f>I249</f>
        <v>0</v>
      </c>
      <c r="K249" s="269"/>
    </row>
    <row r="250" spans="1:12" ht="30" hidden="1" customHeight="1" x14ac:dyDescent="0.3">
      <c r="A250" s="276"/>
      <c r="B250" s="820"/>
      <c r="C250" s="821"/>
      <c r="D250" s="822"/>
      <c r="E250" s="276"/>
      <c r="F250" s="276">
        <v>1</v>
      </c>
      <c r="G250" s="276" t="s">
        <v>306</v>
      </c>
      <c r="H250" s="276">
        <v>1</v>
      </c>
      <c r="I250" s="172">
        <v>0</v>
      </c>
      <c r="J250" s="280">
        <f>I250</f>
        <v>0</v>
      </c>
      <c r="K250" s="269"/>
    </row>
    <row r="251" spans="1:12" ht="66" hidden="1" customHeight="1" x14ac:dyDescent="0.3">
      <c r="A251" s="1136" t="s">
        <v>629</v>
      </c>
      <c r="B251" s="1137"/>
      <c r="C251" s="1137"/>
      <c r="D251" s="1137"/>
      <c r="E251" s="1137"/>
      <c r="F251" s="1137"/>
      <c r="G251" s="1137"/>
      <c r="H251" s="1137"/>
      <c r="I251" s="1137"/>
      <c r="J251" s="1138"/>
    </row>
    <row r="252" spans="1:12" ht="41.25" hidden="1" customHeight="1" x14ac:dyDescent="0.3">
      <c r="A252" s="202">
        <v>2</v>
      </c>
      <c r="B252" s="835" t="s">
        <v>620</v>
      </c>
      <c r="C252" s="835"/>
      <c r="D252" s="835"/>
      <c r="E252" s="202"/>
      <c r="F252" s="202">
        <v>1</v>
      </c>
      <c r="G252" s="202" t="s">
        <v>306</v>
      </c>
      <c r="H252" s="202">
        <v>1</v>
      </c>
      <c r="I252" s="172"/>
      <c r="J252" s="165">
        <f>I252</f>
        <v>0</v>
      </c>
    </row>
    <row r="253" spans="1:12" ht="42" hidden="1" customHeight="1" x14ac:dyDescent="0.3">
      <c r="A253" s="202"/>
      <c r="B253" s="835"/>
      <c r="C253" s="835"/>
      <c r="D253" s="835"/>
      <c r="E253" s="202"/>
      <c r="F253" s="202"/>
      <c r="G253" s="202"/>
      <c r="H253" s="202"/>
      <c r="I253" s="172"/>
      <c r="J253" s="165"/>
      <c r="K253" s="166"/>
      <c r="L253" s="142"/>
    </row>
    <row r="254" spans="1:12" ht="45.75" hidden="1" customHeight="1" x14ac:dyDescent="0.3">
      <c r="A254" s="202"/>
      <c r="B254" s="835"/>
      <c r="C254" s="835"/>
      <c r="D254" s="835"/>
      <c r="E254" s="202"/>
      <c r="F254" s="202"/>
      <c r="G254" s="202"/>
      <c r="H254" s="202"/>
      <c r="I254" s="172"/>
      <c r="J254" s="165"/>
      <c r="K254" s="166"/>
      <c r="L254" s="142"/>
    </row>
    <row r="255" spans="1:12" ht="24" hidden="1" customHeight="1" x14ac:dyDescent="0.3">
      <c r="A255" s="202"/>
      <c r="B255" s="835"/>
      <c r="C255" s="835"/>
      <c r="D255" s="835"/>
      <c r="E255" s="202"/>
      <c r="F255" s="202"/>
      <c r="G255" s="202"/>
      <c r="H255" s="202"/>
      <c r="I255" s="172"/>
      <c r="J255" s="165"/>
    </row>
    <row r="256" spans="1:12" ht="30" hidden="1" customHeight="1" x14ac:dyDescent="0.3">
      <c r="A256" s="202"/>
      <c r="B256" s="1219"/>
      <c r="C256" s="1219"/>
      <c r="D256" s="1219"/>
      <c r="E256" s="202"/>
      <c r="F256" s="202"/>
      <c r="G256" s="202"/>
      <c r="H256" s="202"/>
      <c r="I256" s="171"/>
      <c r="J256" s="164"/>
      <c r="K256" s="11"/>
      <c r="L256" s="11"/>
    </row>
    <row r="257" spans="1:12" ht="29.25" hidden="1" customHeight="1" x14ac:dyDescent="0.3">
      <c r="A257" s="202"/>
      <c r="B257" s="835"/>
      <c r="C257" s="835"/>
      <c r="D257" s="835"/>
      <c r="E257" s="202"/>
      <c r="F257" s="202"/>
      <c r="G257" s="202"/>
      <c r="H257" s="202"/>
      <c r="I257" s="172"/>
      <c r="J257" s="165"/>
      <c r="K257" s="11"/>
      <c r="L257" s="11"/>
    </row>
    <row r="258" spans="1:12" ht="23.25" hidden="1" customHeight="1" x14ac:dyDescent="0.3">
      <c r="A258" s="202"/>
      <c r="B258" s="835"/>
      <c r="C258" s="835"/>
      <c r="D258" s="835"/>
      <c r="E258" s="202"/>
      <c r="F258" s="202"/>
      <c r="G258" s="202"/>
      <c r="H258" s="202"/>
      <c r="I258" s="172"/>
      <c r="J258" s="165"/>
      <c r="K258" s="11"/>
      <c r="L258" s="11"/>
    </row>
    <row r="259" spans="1:12" ht="46.5" hidden="1" customHeight="1" x14ac:dyDescent="0.3">
      <c r="A259" s="202"/>
      <c r="B259" s="835"/>
      <c r="C259" s="835"/>
      <c r="D259" s="835"/>
      <c r="E259" s="202"/>
      <c r="F259" s="202"/>
      <c r="G259" s="202"/>
      <c r="H259" s="202"/>
      <c r="I259" s="172"/>
      <c r="J259" s="165"/>
    </row>
    <row r="260" spans="1:12" ht="25.5" hidden="1" customHeight="1" x14ac:dyDescent="0.3">
      <c r="A260" s="202"/>
      <c r="B260" s="809"/>
      <c r="C260" s="1220"/>
      <c r="D260" s="1221"/>
      <c r="E260" s="202"/>
      <c r="F260" s="202"/>
      <c r="G260" s="202"/>
      <c r="H260" s="202"/>
      <c r="I260" s="172"/>
      <c r="J260" s="165"/>
    </row>
    <row r="261" spans="1:12" ht="38.25" hidden="1" customHeight="1" x14ac:dyDescent="0.3">
      <c r="A261" s="202"/>
      <c r="B261" s="835"/>
      <c r="C261" s="835"/>
      <c r="D261" s="835"/>
      <c r="E261" s="202"/>
      <c r="F261" s="202"/>
      <c r="G261" s="202"/>
      <c r="H261" s="202"/>
      <c r="I261" s="172"/>
      <c r="J261" s="165"/>
    </row>
    <row r="262" spans="1:12" ht="38.25" hidden="1" customHeight="1" x14ac:dyDescent="0.3">
      <c r="A262" s="202"/>
      <c r="B262" s="809"/>
      <c r="C262" s="810"/>
      <c r="D262" s="811"/>
      <c r="E262" s="202"/>
      <c r="F262" s="202"/>
      <c r="G262" s="202"/>
      <c r="H262" s="202"/>
      <c r="I262" s="172"/>
      <c r="J262" s="165"/>
    </row>
    <row r="263" spans="1:12" ht="38.25" hidden="1" customHeight="1" x14ac:dyDescent="0.3">
      <c r="A263" s="202"/>
      <c r="B263" s="809"/>
      <c r="C263" s="810"/>
      <c r="D263" s="811"/>
      <c r="E263" s="202"/>
      <c r="F263" s="202"/>
      <c r="G263" s="202"/>
      <c r="H263" s="202"/>
      <c r="I263" s="172"/>
      <c r="J263" s="165"/>
    </row>
    <row r="264" spans="1:12" ht="38.25" hidden="1" customHeight="1" x14ac:dyDescent="0.3">
      <c r="A264" s="202"/>
      <c r="B264" s="820"/>
      <c r="C264" s="821"/>
      <c r="D264" s="822"/>
      <c r="E264" s="202"/>
      <c r="F264" s="202"/>
      <c r="G264" s="202"/>
      <c r="H264" s="202"/>
      <c r="I264" s="172"/>
      <c r="J264" s="165"/>
    </row>
    <row r="265" spans="1:12" ht="38.25" hidden="1" customHeight="1" x14ac:dyDescent="0.3">
      <c r="A265" s="202"/>
      <c r="B265" s="820"/>
      <c r="C265" s="821"/>
      <c r="D265" s="822"/>
      <c r="E265" s="202"/>
      <c r="F265" s="202"/>
      <c r="G265" s="202"/>
      <c r="H265" s="202"/>
      <c r="I265" s="172"/>
      <c r="J265" s="165"/>
    </row>
    <row r="266" spans="1:12" x14ac:dyDescent="0.3">
      <c r="A266" s="200"/>
      <c r="B266" s="1098" t="s">
        <v>13</v>
      </c>
      <c r="C266" s="1098"/>
      <c r="D266" s="1098"/>
      <c r="E266" s="200" t="s">
        <v>14</v>
      </c>
      <c r="F266" s="200" t="s">
        <v>14</v>
      </c>
      <c r="G266" s="1167">
        <f>J252+J249+J248+J250</f>
        <v>44700</v>
      </c>
      <c r="H266" s="1168"/>
      <c r="I266" s="1168"/>
      <c r="J266" s="1168"/>
    </row>
    <row r="267" spans="1:12" ht="17.25" customHeight="1" x14ac:dyDescent="0.3">
      <c r="A267" s="1218" t="s">
        <v>287</v>
      </c>
      <c r="B267" s="1218"/>
      <c r="C267" s="1218"/>
      <c r="D267" s="1218"/>
      <c r="E267" s="1218"/>
      <c r="F267" s="1218"/>
      <c r="G267" s="1218"/>
      <c r="H267" s="1218"/>
      <c r="I267" s="1218"/>
      <c r="J267" s="1218"/>
    </row>
    <row r="268" spans="1:12" ht="17.25" customHeight="1" x14ac:dyDescent="0.3">
      <c r="A268" s="1174" t="s">
        <v>1</v>
      </c>
      <c r="B268" s="1176" t="s">
        <v>15</v>
      </c>
      <c r="C268" s="1177"/>
      <c r="D268" s="1178"/>
      <c r="E268" s="1176" t="s">
        <v>64</v>
      </c>
      <c r="F268" s="1178"/>
      <c r="G268" s="1110" t="s">
        <v>65</v>
      </c>
      <c r="H268" s="1110"/>
      <c r="I268" s="1110"/>
      <c r="J268" s="1110"/>
    </row>
    <row r="269" spans="1:12" ht="27.75" customHeight="1" x14ac:dyDescent="0.3">
      <c r="A269" s="1175"/>
      <c r="B269" s="1179"/>
      <c r="C269" s="1180"/>
      <c r="D269" s="1181"/>
      <c r="E269" s="1179"/>
      <c r="F269" s="1181"/>
      <c r="G269" s="199" t="s">
        <v>305</v>
      </c>
      <c r="H269" s="199" t="s">
        <v>302</v>
      </c>
      <c r="I269" s="199" t="s">
        <v>303</v>
      </c>
      <c r="J269" s="199" t="s">
        <v>304</v>
      </c>
    </row>
    <row r="270" spans="1:12" ht="14.25" customHeight="1" x14ac:dyDescent="0.3">
      <c r="A270" s="199">
        <v>1</v>
      </c>
      <c r="B270" s="1110">
        <v>2</v>
      </c>
      <c r="C270" s="1110"/>
      <c r="D270" s="1110"/>
      <c r="E270" s="1139">
        <v>3</v>
      </c>
      <c r="F270" s="1140"/>
      <c r="G270" s="1110">
        <v>4</v>
      </c>
      <c r="H270" s="1110"/>
      <c r="I270" s="1110"/>
      <c r="J270" s="1110"/>
    </row>
    <row r="271" spans="1:12" ht="51.75" hidden="1" customHeight="1" x14ac:dyDescent="0.3">
      <c r="A271" s="1112" t="s">
        <v>570</v>
      </c>
      <c r="B271" s="1113"/>
      <c r="C271" s="1113"/>
      <c r="D271" s="1113"/>
      <c r="E271" s="1113"/>
      <c r="F271" s="1113"/>
      <c r="G271" s="1113"/>
      <c r="H271" s="1113"/>
      <c r="I271" s="1113"/>
      <c r="J271" s="1114"/>
    </row>
    <row r="272" spans="1:12" ht="24" hidden="1" customHeight="1" x14ac:dyDescent="0.3">
      <c r="A272" s="202">
        <v>1</v>
      </c>
      <c r="B272" s="1115" t="s">
        <v>577</v>
      </c>
      <c r="C272" s="1115"/>
      <c r="D272" s="1115"/>
      <c r="E272" s="1116">
        <v>1</v>
      </c>
      <c r="F272" s="1117"/>
      <c r="G272" s="202"/>
      <c r="H272" s="202">
        <v>1</v>
      </c>
      <c r="I272" s="170">
        <v>0</v>
      </c>
      <c r="J272" s="165">
        <f t="shared" ref="J272" si="14">H272*I272</f>
        <v>0</v>
      </c>
    </row>
    <row r="273" spans="1:11" ht="33.75" customHeight="1" x14ac:dyDescent="0.3">
      <c r="A273" s="1118" t="s">
        <v>991</v>
      </c>
      <c r="B273" s="1119"/>
      <c r="C273" s="1119"/>
      <c r="D273" s="1119"/>
      <c r="E273" s="1119"/>
      <c r="F273" s="1119"/>
      <c r="G273" s="1119"/>
      <c r="H273" s="1119"/>
      <c r="I273" s="1119"/>
      <c r="J273" s="1120"/>
    </row>
    <row r="274" spans="1:11" ht="22.5" customHeight="1" x14ac:dyDescent="0.3">
      <c r="A274" s="202">
        <v>1</v>
      </c>
      <c r="B274" s="1215" t="s">
        <v>579</v>
      </c>
      <c r="C274" s="1216"/>
      <c r="D274" s="1217"/>
      <c r="E274" s="1116">
        <v>1</v>
      </c>
      <c r="F274" s="1117"/>
      <c r="G274" s="202"/>
      <c r="H274" s="202">
        <v>1</v>
      </c>
      <c r="I274" s="170">
        <v>20000</v>
      </c>
      <c r="J274" s="110">
        <f>H274*I274</f>
        <v>20000</v>
      </c>
    </row>
    <row r="275" spans="1:11" ht="30" customHeight="1" x14ac:dyDescent="0.3">
      <c r="A275" s="202">
        <v>2</v>
      </c>
      <c r="B275" s="1151" t="s">
        <v>580</v>
      </c>
      <c r="C275" s="1151"/>
      <c r="D275" s="1151"/>
      <c r="E275" s="1116">
        <v>1</v>
      </c>
      <c r="F275" s="1117"/>
      <c r="G275" s="202"/>
      <c r="H275" s="202">
        <v>1</v>
      </c>
      <c r="I275" s="170">
        <v>30000</v>
      </c>
      <c r="J275" s="110">
        <f t="shared" ref="J275:J277" si="15">H275*I275</f>
        <v>30000</v>
      </c>
    </row>
    <row r="276" spans="1:11" ht="30" customHeight="1" x14ac:dyDescent="0.3">
      <c r="A276" s="202">
        <v>3</v>
      </c>
      <c r="B276" s="1151" t="s">
        <v>923</v>
      </c>
      <c r="C276" s="1151"/>
      <c r="D276" s="1151"/>
      <c r="E276" s="820">
        <v>1</v>
      </c>
      <c r="F276" s="822"/>
      <c r="G276" s="169"/>
      <c r="H276" s="169">
        <v>1</v>
      </c>
      <c r="I276" s="170">
        <v>8000</v>
      </c>
      <c r="J276" s="110">
        <f t="shared" si="15"/>
        <v>8000</v>
      </c>
      <c r="K276" s="173"/>
    </row>
    <row r="277" spans="1:11" ht="51.75" hidden="1" customHeight="1" x14ac:dyDescent="0.3">
      <c r="A277" s="202">
        <v>4</v>
      </c>
      <c r="B277" s="1215"/>
      <c r="C277" s="1216"/>
      <c r="D277" s="1217"/>
      <c r="E277" s="1116">
        <v>1</v>
      </c>
      <c r="F277" s="1117"/>
      <c r="G277" s="202"/>
      <c r="H277" s="202">
        <v>1</v>
      </c>
      <c r="I277" s="170">
        <f>6000-6000</f>
        <v>0</v>
      </c>
      <c r="J277" s="110">
        <f t="shared" si="15"/>
        <v>0</v>
      </c>
    </row>
    <row r="278" spans="1:11" ht="48" hidden="1" customHeight="1" x14ac:dyDescent="0.3">
      <c r="A278" s="202"/>
      <c r="B278" s="1143"/>
      <c r="C278" s="1143"/>
      <c r="D278" s="1143"/>
      <c r="E278" s="1116"/>
      <c r="F278" s="1117"/>
      <c r="G278" s="202"/>
      <c r="H278" s="202"/>
      <c r="I278" s="170"/>
      <c r="J278" s="110"/>
    </row>
    <row r="279" spans="1:11" ht="30" hidden="1" customHeight="1" x14ac:dyDescent="0.3">
      <c r="A279" s="202"/>
      <c r="B279" s="1143"/>
      <c r="C279" s="1143"/>
      <c r="D279" s="1143"/>
      <c r="E279" s="1116"/>
      <c r="F279" s="1117"/>
      <c r="G279" s="202"/>
      <c r="H279" s="201"/>
      <c r="I279" s="170"/>
      <c r="J279" s="110"/>
    </row>
    <row r="280" spans="1:11" ht="30" hidden="1" customHeight="1" x14ac:dyDescent="0.3">
      <c r="A280" s="202"/>
      <c r="B280" s="835"/>
      <c r="C280" s="835"/>
      <c r="D280" s="835"/>
      <c r="E280" s="1116"/>
      <c r="F280" s="1117"/>
      <c r="G280" s="202"/>
      <c r="H280" s="202"/>
      <c r="I280" s="170"/>
      <c r="J280" s="110"/>
    </row>
    <row r="281" spans="1:11" ht="30" customHeight="1" x14ac:dyDescent="0.3">
      <c r="A281" s="1118" t="s">
        <v>992</v>
      </c>
      <c r="B281" s="1119"/>
      <c r="C281" s="1119"/>
      <c r="D281" s="1119"/>
      <c r="E281" s="1119"/>
      <c r="F281" s="1119"/>
      <c r="G281" s="1119"/>
      <c r="H281" s="1119"/>
      <c r="I281" s="1119"/>
      <c r="J281" s="1120"/>
    </row>
    <row r="282" spans="1:11" ht="30" customHeight="1" x14ac:dyDescent="0.3">
      <c r="A282" s="202">
        <v>4</v>
      </c>
      <c r="B282" s="1143" t="s">
        <v>924</v>
      </c>
      <c r="C282" s="1143"/>
      <c r="D282" s="1143"/>
      <c r="E282" s="1116">
        <v>1</v>
      </c>
      <c r="F282" s="1117"/>
      <c r="G282" s="202"/>
      <c r="H282" s="202">
        <v>1</v>
      </c>
      <c r="I282" s="101">
        <v>20000</v>
      </c>
      <c r="J282" s="110">
        <v>20000</v>
      </c>
    </row>
    <row r="283" spans="1:11" ht="30" hidden="1" customHeight="1" x14ac:dyDescent="0.3">
      <c r="A283" s="202">
        <v>5</v>
      </c>
      <c r="B283" s="1143"/>
      <c r="C283" s="1143"/>
      <c r="D283" s="1143"/>
      <c r="E283" s="1116"/>
      <c r="F283" s="1117"/>
      <c r="G283" s="202"/>
      <c r="H283" s="202"/>
      <c r="I283" s="101"/>
      <c r="J283" s="110"/>
    </row>
    <row r="284" spans="1:11" ht="30" hidden="1" customHeight="1" x14ac:dyDescent="0.3">
      <c r="A284" s="198" t="s">
        <v>86</v>
      </c>
      <c r="B284" s="1125" t="s">
        <v>356</v>
      </c>
      <c r="C284" s="1126"/>
      <c r="D284" s="1127"/>
      <c r="E284" s="1128" t="s">
        <v>74</v>
      </c>
      <c r="F284" s="1129"/>
      <c r="G284" s="155" t="s">
        <v>74</v>
      </c>
      <c r="H284" s="155" t="s">
        <v>74</v>
      </c>
      <c r="I284" s="156" t="s">
        <v>74</v>
      </c>
      <c r="J284" s="154">
        <f>J285+J286</f>
        <v>0</v>
      </c>
      <c r="K284" s="1" t="s">
        <v>533</v>
      </c>
    </row>
    <row r="285" spans="1:11" ht="30" hidden="1" customHeight="1" x14ac:dyDescent="0.3">
      <c r="A285" s="169" t="s">
        <v>528</v>
      </c>
      <c r="B285" s="809"/>
      <c r="C285" s="810"/>
      <c r="D285" s="811"/>
      <c r="E285" s="858"/>
      <c r="F285" s="859"/>
      <c r="G285" s="233"/>
      <c r="H285" s="233"/>
      <c r="I285" s="234"/>
      <c r="J285" s="165"/>
    </row>
    <row r="286" spans="1:11" ht="30" hidden="1" customHeight="1" x14ac:dyDescent="0.3">
      <c r="A286" s="169" t="s">
        <v>529</v>
      </c>
      <c r="B286" s="809"/>
      <c r="C286" s="810"/>
      <c r="D286" s="811"/>
      <c r="E286" s="236"/>
      <c r="F286" s="235"/>
      <c r="G286" s="233"/>
      <c r="H286" s="233"/>
      <c r="I286" s="234"/>
      <c r="J286" s="165"/>
    </row>
    <row r="287" spans="1:11" ht="55.5" hidden="1" customHeight="1" x14ac:dyDescent="0.3">
      <c r="A287" s="198" t="s">
        <v>87</v>
      </c>
      <c r="B287" s="1125" t="s">
        <v>530</v>
      </c>
      <c r="C287" s="1126"/>
      <c r="D287" s="1127"/>
      <c r="E287" s="1128" t="s">
        <v>74</v>
      </c>
      <c r="F287" s="1129"/>
      <c r="G287" s="155" t="s">
        <v>74</v>
      </c>
      <c r="H287" s="155" t="s">
        <v>74</v>
      </c>
      <c r="I287" s="156" t="s">
        <v>74</v>
      </c>
      <c r="J287" s="238">
        <f>J288</f>
        <v>0</v>
      </c>
    </row>
    <row r="288" spans="1:11" ht="30" hidden="1" customHeight="1" x14ac:dyDescent="0.3">
      <c r="A288" s="169" t="s">
        <v>531</v>
      </c>
      <c r="B288" s="809"/>
      <c r="C288" s="810"/>
      <c r="D288" s="811"/>
      <c r="E288" s="858"/>
      <c r="F288" s="859"/>
      <c r="G288" s="233"/>
      <c r="H288" s="233"/>
      <c r="I288" s="234"/>
      <c r="J288" s="237"/>
    </row>
    <row r="289" spans="1:11" ht="54.75" hidden="1" customHeight="1" x14ac:dyDescent="0.3">
      <c r="A289" s="198" t="s">
        <v>97</v>
      </c>
      <c r="B289" s="1125" t="s">
        <v>534</v>
      </c>
      <c r="C289" s="1126"/>
      <c r="D289" s="1127"/>
      <c r="E289" s="1128" t="s">
        <v>74</v>
      </c>
      <c r="F289" s="1129"/>
      <c r="G289" s="155" t="s">
        <v>74</v>
      </c>
      <c r="H289" s="155" t="s">
        <v>74</v>
      </c>
      <c r="I289" s="156" t="s">
        <v>74</v>
      </c>
      <c r="J289" s="238">
        <f>J290+J291+J292+J293</f>
        <v>0</v>
      </c>
    </row>
    <row r="290" spans="1:11" ht="30" hidden="1" customHeight="1" x14ac:dyDescent="0.3">
      <c r="A290" s="169" t="s">
        <v>535</v>
      </c>
      <c r="B290" s="999"/>
      <c r="C290" s="1000"/>
      <c r="D290" s="1001"/>
      <c r="E290" s="858"/>
      <c r="F290" s="859"/>
      <c r="G290" s="233"/>
      <c r="H290" s="233"/>
      <c r="I290" s="234"/>
      <c r="J290" s="165"/>
    </row>
    <row r="291" spans="1:11" ht="30" hidden="1" customHeight="1" x14ac:dyDescent="0.3">
      <c r="A291" s="169" t="s">
        <v>536</v>
      </c>
      <c r="B291" s="999"/>
      <c r="C291" s="1000"/>
      <c r="D291" s="1001"/>
      <c r="E291" s="858"/>
      <c r="F291" s="859"/>
      <c r="G291" s="233"/>
      <c r="H291" s="233"/>
      <c r="I291" s="234"/>
      <c r="J291" s="165"/>
    </row>
    <row r="292" spans="1:11" ht="30" hidden="1" customHeight="1" x14ac:dyDescent="0.3">
      <c r="A292" s="169" t="s">
        <v>537</v>
      </c>
      <c r="B292" s="999"/>
      <c r="C292" s="1000"/>
      <c r="D292" s="1001"/>
      <c r="E292" s="858"/>
      <c r="F292" s="859"/>
      <c r="G292" s="233"/>
      <c r="H292" s="233"/>
      <c r="I292" s="234"/>
      <c r="J292" s="165"/>
    </row>
    <row r="293" spans="1:11" ht="30" hidden="1" customHeight="1" x14ac:dyDescent="0.3">
      <c r="A293" s="169" t="s">
        <v>538</v>
      </c>
      <c r="B293" s="1151"/>
      <c r="C293" s="1151"/>
      <c r="D293" s="1151"/>
      <c r="E293" s="1116"/>
      <c r="F293" s="1117"/>
      <c r="G293" s="202"/>
      <c r="H293" s="202"/>
      <c r="I293" s="101"/>
      <c r="J293" s="110"/>
    </row>
    <row r="294" spans="1:11" ht="30" customHeight="1" x14ac:dyDescent="0.3">
      <c r="A294" s="179"/>
      <c r="B294" s="1164" t="s">
        <v>332</v>
      </c>
      <c r="C294" s="1164"/>
      <c r="D294" s="1164"/>
      <c r="E294" s="1165" t="s">
        <v>14</v>
      </c>
      <c r="F294" s="1166"/>
      <c r="G294" s="1167">
        <f>J272+J274+J275+J276+J277+J282</f>
        <v>78000</v>
      </c>
      <c r="H294" s="1168"/>
      <c r="I294" s="1168"/>
      <c r="J294" s="1168"/>
    </row>
    <row r="295" spans="1:11" ht="30" hidden="1" customHeight="1" x14ac:dyDescent="0.3">
      <c r="A295" s="893" t="s">
        <v>382</v>
      </c>
      <c r="B295" s="893"/>
      <c r="C295" s="893"/>
      <c r="D295" s="893"/>
      <c r="E295" s="893"/>
      <c r="F295" s="893"/>
      <c r="G295" s="893"/>
      <c r="H295" s="893"/>
      <c r="I295" s="893"/>
      <c r="J295" s="893"/>
    </row>
    <row r="296" spans="1:11" ht="30" hidden="1" customHeight="1" x14ac:dyDescent="0.3">
      <c r="A296" s="199" t="s">
        <v>1</v>
      </c>
      <c r="B296" s="1110" t="s">
        <v>44</v>
      </c>
      <c r="C296" s="1110"/>
      <c r="D296" s="1110"/>
      <c r="E296" s="1110" t="s">
        <v>58</v>
      </c>
      <c r="F296" s="1110"/>
      <c r="G296" s="1139" t="s">
        <v>66</v>
      </c>
      <c r="H296" s="1140"/>
      <c r="I296" s="1110" t="s">
        <v>60</v>
      </c>
      <c r="J296" s="1110"/>
    </row>
    <row r="297" spans="1:11" ht="18" hidden="1" customHeight="1" x14ac:dyDescent="0.3">
      <c r="A297" s="199">
        <v>1</v>
      </c>
      <c r="B297" s="1110">
        <v>2</v>
      </c>
      <c r="C297" s="1110"/>
      <c r="D297" s="1110"/>
      <c r="E297" s="1110">
        <v>3</v>
      </c>
      <c r="F297" s="1110"/>
      <c r="G297" s="1110">
        <v>4</v>
      </c>
      <c r="H297" s="1110"/>
      <c r="I297" s="1110">
        <v>5</v>
      </c>
      <c r="J297" s="1110"/>
    </row>
    <row r="298" spans="1:11" ht="36.75" hidden="1" customHeight="1" x14ac:dyDescent="0.3">
      <c r="A298" s="1118"/>
      <c r="B298" s="1119"/>
      <c r="C298" s="1119"/>
      <c r="D298" s="1119"/>
      <c r="E298" s="1119"/>
      <c r="F298" s="1119"/>
      <c r="G298" s="1119"/>
      <c r="H298" s="1119"/>
      <c r="I298" s="1119"/>
      <c r="J298" s="1120"/>
    </row>
    <row r="299" spans="1:11" ht="36.75" hidden="1" customHeight="1" x14ac:dyDescent="0.3">
      <c r="A299" s="239">
        <v>1</v>
      </c>
      <c r="B299" s="854"/>
      <c r="C299" s="854"/>
      <c r="D299" s="854"/>
      <c r="E299" s="1141"/>
      <c r="F299" s="1142"/>
      <c r="G299" s="1134"/>
      <c r="H299" s="1135"/>
      <c r="I299" s="1134"/>
      <c r="J299" s="1135"/>
      <c r="K299" s="1">
        <v>57077</v>
      </c>
    </row>
    <row r="300" spans="1:11" ht="36.75" hidden="1" customHeight="1" x14ac:dyDescent="0.3">
      <c r="A300" s="239">
        <v>2</v>
      </c>
      <c r="B300" s="854"/>
      <c r="C300" s="854"/>
      <c r="D300" s="854"/>
      <c r="E300" s="1141"/>
      <c r="F300" s="1142"/>
      <c r="G300" s="1134"/>
      <c r="H300" s="1135"/>
      <c r="I300" s="1134"/>
      <c r="J300" s="1135"/>
      <c r="K300" s="1">
        <v>50925</v>
      </c>
    </row>
    <row r="301" spans="1:11" s="287" customFormat="1" ht="36.75" hidden="1" customHeight="1" x14ac:dyDescent="0.3">
      <c r="A301" s="286">
        <v>3</v>
      </c>
      <c r="B301" s="999"/>
      <c r="C301" s="1000"/>
      <c r="D301" s="1001"/>
      <c r="E301" s="1132"/>
      <c r="F301" s="1133"/>
      <c r="G301" s="1146"/>
      <c r="H301" s="1147"/>
      <c r="I301" s="1144"/>
      <c r="J301" s="1145"/>
    </row>
    <row r="302" spans="1:11" ht="30" hidden="1" customHeight="1" x14ac:dyDescent="0.3">
      <c r="A302" s="202"/>
      <c r="B302" s="1116"/>
      <c r="C302" s="1212"/>
      <c r="D302" s="1117"/>
      <c r="E302" s="1213"/>
      <c r="F302" s="1213"/>
      <c r="G302" s="1213"/>
      <c r="H302" s="1213"/>
      <c r="I302" s="1134"/>
      <c r="J302" s="1135"/>
    </row>
    <row r="303" spans="1:11" ht="30" hidden="1" customHeight="1" x14ac:dyDescent="0.3">
      <c r="A303" s="200"/>
      <c r="B303" s="1098" t="s">
        <v>13</v>
      </c>
      <c r="C303" s="1098"/>
      <c r="D303" s="1098"/>
      <c r="E303" s="1090" t="s">
        <v>14</v>
      </c>
      <c r="F303" s="1090"/>
      <c r="G303" s="1090" t="s">
        <v>14</v>
      </c>
      <c r="H303" s="1090"/>
      <c r="I303" s="1203">
        <f>SUM(I299:J302)</f>
        <v>0</v>
      </c>
      <c r="J303" s="1090"/>
    </row>
    <row r="304" spans="1:11" ht="15.75" customHeight="1" x14ac:dyDescent="0.3">
      <c r="A304" s="1214" t="s">
        <v>383</v>
      </c>
      <c r="B304" s="1214"/>
      <c r="C304" s="1214"/>
      <c r="D304" s="1214"/>
      <c r="E304" s="1214"/>
      <c r="F304" s="1214"/>
      <c r="G304" s="1214"/>
      <c r="H304" s="1214"/>
      <c r="I304" s="1214"/>
      <c r="J304" s="1214"/>
    </row>
    <row r="305" spans="1:11" ht="17.25" customHeight="1" x14ac:dyDescent="0.3">
      <c r="A305" s="199" t="s">
        <v>1</v>
      </c>
      <c r="B305" s="1139" t="s">
        <v>15</v>
      </c>
      <c r="C305" s="1210"/>
      <c r="D305" s="1140"/>
      <c r="E305" s="1139" t="s">
        <v>58</v>
      </c>
      <c r="F305" s="1140"/>
      <c r="G305" s="1139" t="s">
        <v>66</v>
      </c>
      <c r="H305" s="1140"/>
      <c r="I305" s="1139" t="s">
        <v>264</v>
      </c>
      <c r="J305" s="1140"/>
    </row>
    <row r="306" spans="1:11" ht="16.5" customHeight="1" x14ac:dyDescent="0.3">
      <c r="A306" s="199">
        <v>1</v>
      </c>
      <c r="B306" s="1139">
        <v>2</v>
      </c>
      <c r="C306" s="1210"/>
      <c r="D306" s="1140"/>
      <c r="E306" s="1139">
        <v>3</v>
      </c>
      <c r="F306" s="1140"/>
      <c r="G306" s="1139">
        <v>4</v>
      </c>
      <c r="H306" s="1140"/>
      <c r="I306" s="1139">
        <v>5</v>
      </c>
      <c r="J306" s="1140"/>
    </row>
    <row r="307" spans="1:11" ht="30" hidden="1" customHeight="1" x14ac:dyDescent="0.3">
      <c r="A307" s="198" t="s">
        <v>70</v>
      </c>
      <c r="B307" s="1125" t="s">
        <v>170</v>
      </c>
      <c r="C307" s="1126"/>
      <c r="D307" s="1127"/>
      <c r="E307" s="102"/>
      <c r="F307" s="102"/>
      <c r="G307" s="1187"/>
      <c r="H307" s="1188"/>
      <c r="I307" s="1211">
        <f>I308</f>
        <v>0</v>
      </c>
      <c r="J307" s="1190"/>
    </row>
    <row r="308" spans="1:11" ht="17.25" hidden="1" customHeight="1" x14ac:dyDescent="0.3">
      <c r="A308" s="202" t="s">
        <v>27</v>
      </c>
      <c r="B308" s="1104" t="s">
        <v>334</v>
      </c>
      <c r="C308" s="1105"/>
      <c r="D308" s="1106"/>
      <c r="E308" s="103" t="s">
        <v>307</v>
      </c>
      <c r="F308" s="103">
        <v>4</v>
      </c>
      <c r="G308" s="1192" t="s">
        <v>260</v>
      </c>
      <c r="H308" s="1193"/>
      <c r="I308" s="1204"/>
      <c r="J308" s="1109"/>
    </row>
    <row r="309" spans="1:11" ht="36" customHeight="1" x14ac:dyDescent="0.3">
      <c r="A309" s="1118" t="s">
        <v>993</v>
      </c>
      <c r="B309" s="1119"/>
      <c r="C309" s="1119"/>
      <c r="D309" s="1119"/>
      <c r="E309" s="1119"/>
      <c r="F309" s="1119"/>
      <c r="G309" s="1119"/>
      <c r="H309" s="1119"/>
      <c r="I309" s="1119"/>
      <c r="J309" s="1120"/>
    </row>
    <row r="310" spans="1:11" ht="17.25" customHeight="1" x14ac:dyDescent="0.3">
      <c r="A310" s="276">
        <v>1</v>
      </c>
      <c r="B310" s="854" t="s">
        <v>912</v>
      </c>
      <c r="C310" s="854"/>
      <c r="D310" s="854"/>
      <c r="E310" s="1141">
        <v>1</v>
      </c>
      <c r="F310" s="1142"/>
      <c r="G310" s="1134">
        <v>12230</v>
      </c>
      <c r="H310" s="1135"/>
      <c r="I310" s="1134">
        <f>E310*G310</f>
        <v>12230</v>
      </c>
      <c r="J310" s="1135"/>
    </row>
    <row r="311" spans="1:11" ht="17.25" customHeight="1" x14ac:dyDescent="0.3">
      <c r="A311" s="275">
        <v>2</v>
      </c>
      <c r="B311" s="854" t="s">
        <v>913</v>
      </c>
      <c r="C311" s="854"/>
      <c r="D311" s="854"/>
      <c r="E311" s="1141">
        <v>1</v>
      </c>
      <c r="F311" s="1142"/>
      <c r="G311" s="1134">
        <v>2770</v>
      </c>
      <c r="H311" s="1135"/>
      <c r="I311" s="1134">
        <f t="shared" ref="I311" si="16">E311*G311</f>
        <v>2770</v>
      </c>
      <c r="J311" s="1135"/>
    </row>
    <row r="312" spans="1:11" ht="51" hidden="1" customHeight="1" x14ac:dyDescent="0.3">
      <c r="A312" s="1112" t="s">
        <v>582</v>
      </c>
      <c r="B312" s="1113"/>
      <c r="C312" s="1113"/>
      <c r="D312" s="1113"/>
      <c r="E312" s="1113"/>
      <c r="F312" s="1113"/>
      <c r="G312" s="1113"/>
      <c r="H312" s="1113"/>
      <c r="I312" s="1113"/>
      <c r="J312" s="1114"/>
    </row>
    <row r="313" spans="1:11" s="41" customFormat="1" ht="30" hidden="1" customHeight="1" x14ac:dyDescent="0.3">
      <c r="A313" s="202">
        <v>1</v>
      </c>
      <c r="B313" s="1205" t="s">
        <v>583</v>
      </c>
      <c r="C313" s="1206"/>
      <c r="D313" s="1207"/>
      <c r="E313" s="103" t="s">
        <v>543</v>
      </c>
      <c r="F313" s="201">
        <v>33</v>
      </c>
      <c r="G313" s="1192" t="s">
        <v>74</v>
      </c>
      <c r="H313" s="1193"/>
      <c r="I313" s="1208"/>
      <c r="J313" s="1209"/>
    </row>
    <row r="314" spans="1:11" s="41" customFormat="1" ht="72.75" hidden="1" customHeight="1" x14ac:dyDescent="0.3">
      <c r="A314" s="1136" t="s">
        <v>640</v>
      </c>
      <c r="B314" s="1137"/>
      <c r="C314" s="1137"/>
      <c r="D314" s="1137"/>
      <c r="E314" s="1137"/>
      <c r="F314" s="1137"/>
      <c r="G314" s="1137"/>
      <c r="H314" s="1137"/>
      <c r="I314" s="1137"/>
      <c r="J314" s="1138"/>
    </row>
    <row r="315" spans="1:11" s="41" customFormat="1" ht="62.25" hidden="1" customHeight="1" x14ac:dyDescent="0.3">
      <c r="A315" s="202">
        <v>1</v>
      </c>
      <c r="B315" s="999" t="s">
        <v>622</v>
      </c>
      <c r="C315" s="1000"/>
      <c r="D315" s="1001"/>
      <c r="E315" s="103" t="s">
        <v>543</v>
      </c>
      <c r="F315" s="157">
        <v>33</v>
      </c>
      <c r="G315" s="1192" t="s">
        <v>74</v>
      </c>
      <c r="H315" s="1193"/>
      <c r="I315" s="1375"/>
      <c r="J315" s="1376"/>
    </row>
    <row r="316" spans="1:11" ht="30" hidden="1" customHeight="1" x14ac:dyDescent="0.3">
      <c r="A316" s="202"/>
      <c r="B316" s="999"/>
      <c r="C316" s="1000"/>
      <c r="D316" s="1001"/>
      <c r="E316" s="103" t="s">
        <v>543</v>
      </c>
      <c r="F316" s="157">
        <v>33</v>
      </c>
      <c r="G316" s="1192" t="s">
        <v>74</v>
      </c>
      <c r="H316" s="1193"/>
      <c r="I316" s="1377">
        <v>0</v>
      </c>
      <c r="J316" s="1378"/>
    </row>
    <row r="317" spans="1:11" ht="77.25" hidden="1" customHeight="1" x14ac:dyDescent="0.3">
      <c r="A317" s="1092" t="s">
        <v>641</v>
      </c>
      <c r="B317" s="1093"/>
      <c r="C317" s="1093"/>
      <c r="D317" s="1093"/>
      <c r="E317" s="1093"/>
      <c r="F317" s="1093"/>
      <c r="G317" s="1093"/>
      <c r="H317" s="1093"/>
      <c r="I317" s="1093"/>
      <c r="J317" s="1094"/>
    </row>
    <row r="318" spans="1:11" s="41" customFormat="1" ht="30" hidden="1" customHeight="1" x14ac:dyDescent="0.3">
      <c r="A318" s="262">
        <v>1</v>
      </c>
      <c r="B318" s="999" t="s">
        <v>618</v>
      </c>
      <c r="C318" s="1000"/>
      <c r="D318" s="1001"/>
      <c r="E318" s="103" t="s">
        <v>308</v>
      </c>
      <c r="F318" s="201"/>
      <c r="G318" s="1107" t="s">
        <v>260</v>
      </c>
      <c r="H318" s="1107"/>
      <c r="I318" s="1102">
        <v>0</v>
      </c>
      <c r="J318" s="1103"/>
    </row>
    <row r="319" spans="1:11" ht="30" hidden="1" customHeight="1" x14ac:dyDescent="0.3">
      <c r="A319" s="262">
        <v>2</v>
      </c>
      <c r="B319" s="1143" t="s">
        <v>195</v>
      </c>
      <c r="C319" s="1143"/>
      <c r="D319" s="1143"/>
      <c r="E319" s="103" t="s">
        <v>308</v>
      </c>
      <c r="F319" s="201"/>
      <c r="G319" s="1107" t="s">
        <v>260</v>
      </c>
      <c r="H319" s="1107"/>
      <c r="I319" s="1102">
        <v>0</v>
      </c>
      <c r="J319" s="1103"/>
      <c r="K319" s="15"/>
    </row>
    <row r="320" spans="1:11" ht="30" hidden="1" customHeight="1" x14ac:dyDescent="0.3">
      <c r="A320" s="262">
        <v>3</v>
      </c>
      <c r="B320" s="1143" t="s">
        <v>82</v>
      </c>
      <c r="C320" s="1143"/>
      <c r="D320" s="1143"/>
      <c r="E320" s="103" t="s">
        <v>308</v>
      </c>
      <c r="F320" s="201"/>
      <c r="G320" s="1107" t="s">
        <v>260</v>
      </c>
      <c r="H320" s="1107"/>
      <c r="I320" s="1102">
        <v>0</v>
      </c>
      <c r="J320" s="1103"/>
      <c r="K320" s="14"/>
    </row>
    <row r="321" spans="1:12" ht="30" hidden="1" customHeight="1" x14ac:dyDescent="0.3">
      <c r="A321" s="104"/>
      <c r="B321" s="1191"/>
      <c r="C321" s="1191"/>
      <c r="D321" s="1191"/>
      <c r="E321" s="103"/>
      <c r="F321" s="201"/>
      <c r="G321" s="1107"/>
      <c r="H321" s="1107"/>
      <c r="I321" s="1102"/>
      <c r="J321" s="1103"/>
    </row>
    <row r="322" spans="1:12" ht="17.25" customHeight="1" x14ac:dyDescent="0.3">
      <c r="A322" s="202"/>
      <c r="B322" s="1098" t="s">
        <v>13</v>
      </c>
      <c r="C322" s="1098"/>
      <c r="D322" s="1098"/>
      <c r="E322" s="1201" t="s">
        <v>74</v>
      </c>
      <c r="F322" s="1202"/>
      <c r="G322" s="1090" t="s">
        <v>14</v>
      </c>
      <c r="H322" s="1090"/>
      <c r="I322" s="1203">
        <f>I313+I318+I319+I320+I315+I310+I311</f>
        <v>15000</v>
      </c>
      <c r="J322" s="1203"/>
    </row>
    <row r="323" spans="1:12" ht="21.75" customHeight="1" x14ac:dyDescent="0.3">
      <c r="A323" s="1200" t="s">
        <v>384</v>
      </c>
      <c r="B323" s="1200"/>
      <c r="C323" s="1200"/>
      <c r="D323" s="1200"/>
      <c r="E323" s="1200"/>
      <c r="F323" s="1200"/>
      <c r="G323" s="1200"/>
      <c r="H323" s="1200"/>
      <c r="I323" s="1200"/>
      <c r="J323" s="1200"/>
    </row>
    <row r="324" spans="1:12" ht="21.75" hidden="1" customHeight="1" x14ac:dyDescent="0.3">
      <c r="A324" s="1196" t="s">
        <v>545</v>
      </c>
      <c r="B324" s="1196"/>
      <c r="C324" s="1196"/>
      <c r="D324" s="1196"/>
      <c r="E324" s="1196"/>
      <c r="F324" s="1196"/>
      <c r="G324" s="1196"/>
      <c r="H324" s="1196"/>
      <c r="I324" s="1196"/>
      <c r="J324" s="1196"/>
    </row>
    <row r="325" spans="1:12" ht="21.75" hidden="1" customHeight="1" x14ac:dyDescent="0.3">
      <c r="A325" s="199" t="s">
        <v>1</v>
      </c>
      <c r="B325" s="1110" t="s">
        <v>15</v>
      </c>
      <c r="C325" s="1110"/>
      <c r="D325" s="1110"/>
      <c r="E325" s="1110" t="s">
        <v>58</v>
      </c>
      <c r="F325" s="1110"/>
      <c r="G325" s="1110" t="s">
        <v>66</v>
      </c>
      <c r="H325" s="1110"/>
      <c r="I325" s="1110" t="s">
        <v>264</v>
      </c>
      <c r="J325" s="1110"/>
    </row>
    <row r="326" spans="1:12" ht="21.75" hidden="1" customHeight="1" x14ac:dyDescent="0.3">
      <c r="A326" s="199">
        <v>1</v>
      </c>
      <c r="B326" s="1110">
        <v>2</v>
      </c>
      <c r="C326" s="1110"/>
      <c r="D326" s="1110"/>
      <c r="E326" s="1110">
        <v>3</v>
      </c>
      <c r="F326" s="1110"/>
      <c r="G326" s="1110">
        <v>4</v>
      </c>
      <c r="H326" s="1110"/>
      <c r="I326" s="1110">
        <v>5</v>
      </c>
      <c r="J326" s="1110"/>
    </row>
    <row r="327" spans="1:12" ht="63.75" hidden="1" customHeight="1" x14ac:dyDescent="0.3">
      <c r="A327" s="1092" t="s">
        <v>641</v>
      </c>
      <c r="B327" s="1093"/>
      <c r="C327" s="1093"/>
      <c r="D327" s="1093"/>
      <c r="E327" s="1093"/>
      <c r="F327" s="1093"/>
      <c r="G327" s="1093"/>
      <c r="H327" s="1093"/>
      <c r="I327" s="1093"/>
      <c r="J327" s="1094"/>
    </row>
    <row r="328" spans="1:12" ht="39.75" hidden="1" customHeight="1" x14ac:dyDescent="0.3">
      <c r="A328" s="198" t="s">
        <v>70</v>
      </c>
      <c r="B328" s="1125" t="s">
        <v>172</v>
      </c>
      <c r="C328" s="1126"/>
      <c r="D328" s="1127"/>
      <c r="E328" s="102"/>
      <c r="F328" s="102"/>
      <c r="G328" s="1187"/>
      <c r="H328" s="1188"/>
      <c r="I328" s="1189">
        <f>SUM(I329:J331)</f>
        <v>0</v>
      </c>
      <c r="J328" s="1190"/>
    </row>
    <row r="329" spans="1:12" ht="22.5" hidden="1" customHeight="1" x14ac:dyDescent="0.3">
      <c r="A329" s="270"/>
      <c r="B329" s="999" t="s">
        <v>618</v>
      </c>
      <c r="C329" s="1000"/>
      <c r="D329" s="1001"/>
      <c r="E329" s="103" t="s">
        <v>308</v>
      </c>
      <c r="F329" s="167"/>
      <c r="G329" s="1107" t="s">
        <v>260</v>
      </c>
      <c r="H329" s="1107"/>
      <c r="I329" s="1073">
        <v>0</v>
      </c>
      <c r="J329" s="1099"/>
    </row>
    <row r="330" spans="1:12" ht="22.5" hidden="1" customHeight="1" x14ac:dyDescent="0.3">
      <c r="A330" s="104"/>
      <c r="B330" s="1143" t="s">
        <v>195</v>
      </c>
      <c r="C330" s="1143"/>
      <c r="D330" s="1143"/>
      <c r="E330" s="103" t="s">
        <v>308</v>
      </c>
      <c r="F330" s="201"/>
      <c r="G330" s="1107" t="s">
        <v>260</v>
      </c>
      <c r="H330" s="1107"/>
      <c r="I330" s="1102">
        <v>0</v>
      </c>
      <c r="J330" s="1103"/>
    </row>
    <row r="331" spans="1:12" ht="21.75" hidden="1" customHeight="1" x14ac:dyDescent="0.3">
      <c r="A331" s="104"/>
      <c r="B331" s="1197" t="s">
        <v>82</v>
      </c>
      <c r="C331" s="1198"/>
      <c r="D331" s="1199"/>
      <c r="E331" s="103" t="s">
        <v>308</v>
      </c>
      <c r="F331" s="147"/>
      <c r="G331" s="1107" t="s">
        <v>260</v>
      </c>
      <c r="H331" s="1107"/>
      <c r="I331" s="1108">
        <v>0</v>
      </c>
      <c r="J331" s="1109"/>
    </row>
    <row r="332" spans="1:12" ht="21.75" hidden="1" customHeight="1" x14ac:dyDescent="0.3">
      <c r="A332" s="202"/>
      <c r="B332" s="1098" t="s">
        <v>13</v>
      </c>
      <c r="C332" s="1098"/>
      <c r="D332" s="1098"/>
      <c r="E332" s="1123" t="s">
        <v>74</v>
      </c>
      <c r="F332" s="1124"/>
      <c r="G332" s="1090" t="s">
        <v>14</v>
      </c>
      <c r="H332" s="1090"/>
      <c r="I332" s="1101">
        <f>I328</f>
        <v>0</v>
      </c>
      <c r="J332" s="1090"/>
    </row>
    <row r="333" spans="1:12" ht="15.6" hidden="1" x14ac:dyDescent="0.3">
      <c r="A333" s="1196" t="s">
        <v>546</v>
      </c>
      <c r="B333" s="1196"/>
      <c r="C333" s="1196"/>
      <c r="D333" s="1196"/>
      <c r="E333" s="1196"/>
      <c r="F333" s="1196"/>
      <c r="G333" s="1196"/>
      <c r="H333" s="1196"/>
      <c r="I333" s="1196"/>
      <c r="J333" s="1196"/>
    </row>
    <row r="334" spans="1:12" ht="15" hidden="1" customHeight="1" x14ac:dyDescent="0.3">
      <c r="A334" s="199" t="s">
        <v>1</v>
      </c>
      <c r="B334" s="1110" t="s">
        <v>15</v>
      </c>
      <c r="C334" s="1110"/>
      <c r="D334" s="1110"/>
      <c r="E334" s="1110" t="s">
        <v>58</v>
      </c>
      <c r="F334" s="1110"/>
      <c r="G334" s="1110" t="s">
        <v>66</v>
      </c>
      <c r="H334" s="1110"/>
      <c r="I334" s="1110" t="s">
        <v>264</v>
      </c>
      <c r="J334" s="1110"/>
    </row>
    <row r="335" spans="1:12" hidden="1" x14ac:dyDescent="0.3">
      <c r="A335" s="199">
        <v>1</v>
      </c>
      <c r="B335" s="1110">
        <v>2</v>
      </c>
      <c r="C335" s="1110"/>
      <c r="D335" s="1110"/>
      <c r="E335" s="1110">
        <v>3</v>
      </c>
      <c r="F335" s="1110"/>
      <c r="G335" s="1110">
        <v>4</v>
      </c>
      <c r="H335" s="1110"/>
      <c r="I335" s="1110">
        <v>5</v>
      </c>
      <c r="J335" s="1110"/>
    </row>
    <row r="336" spans="1:12" ht="47.25" hidden="1" customHeight="1" x14ac:dyDescent="0.3">
      <c r="A336" s="1118" t="s">
        <v>578</v>
      </c>
      <c r="B336" s="1119"/>
      <c r="C336" s="1119"/>
      <c r="D336" s="1119"/>
      <c r="E336" s="1119"/>
      <c r="F336" s="1119"/>
      <c r="G336" s="1119"/>
      <c r="H336" s="1119"/>
      <c r="I336" s="1119"/>
      <c r="J336" s="1120"/>
      <c r="K336" s="148"/>
      <c r="L336" s="149"/>
    </row>
    <row r="337" spans="1:12" ht="37.5" hidden="1" customHeight="1" x14ac:dyDescent="0.3">
      <c r="A337" s="202">
        <v>1</v>
      </c>
      <c r="B337" s="1115" t="s">
        <v>584</v>
      </c>
      <c r="C337" s="1115"/>
      <c r="D337" s="1115"/>
      <c r="E337" s="103" t="s">
        <v>308</v>
      </c>
      <c r="F337" s="201"/>
      <c r="G337" s="1107" t="s">
        <v>260</v>
      </c>
      <c r="H337" s="1107"/>
      <c r="I337" s="1102">
        <f>3300-3300</f>
        <v>0</v>
      </c>
      <c r="J337" s="1103"/>
      <c r="K337" s="148"/>
      <c r="L337" s="149"/>
    </row>
    <row r="338" spans="1:12" hidden="1" x14ac:dyDescent="0.3">
      <c r="A338" s="104"/>
      <c r="B338" s="1104"/>
      <c r="C338" s="1105"/>
      <c r="D338" s="1106"/>
      <c r="E338" s="103"/>
      <c r="F338" s="147"/>
      <c r="G338" s="1107"/>
      <c r="H338" s="1107"/>
      <c r="I338" s="1108"/>
      <c r="J338" s="1109"/>
    </row>
    <row r="339" spans="1:12" s="45" customFormat="1" ht="15" hidden="1" customHeight="1" x14ac:dyDescent="0.3">
      <c r="A339" s="202"/>
      <c r="B339" s="1098" t="s">
        <v>13</v>
      </c>
      <c r="C339" s="1098"/>
      <c r="D339" s="1098"/>
      <c r="E339" s="1123" t="s">
        <v>74</v>
      </c>
      <c r="F339" s="1124"/>
      <c r="G339" s="1090" t="s">
        <v>14</v>
      </c>
      <c r="H339" s="1090"/>
      <c r="I339" s="1101">
        <f>I337+I338</f>
        <v>0</v>
      </c>
      <c r="J339" s="1090"/>
    </row>
    <row r="340" spans="1:12" s="45" customFormat="1" ht="15" hidden="1" customHeight="1" x14ac:dyDescent="0.3">
      <c r="A340" s="1196" t="s">
        <v>547</v>
      </c>
      <c r="B340" s="1196"/>
      <c r="C340" s="1196"/>
      <c r="D340" s="1196"/>
      <c r="E340" s="1196"/>
      <c r="F340" s="1196"/>
      <c r="G340" s="1196"/>
      <c r="H340" s="1196"/>
      <c r="I340" s="1196"/>
      <c r="J340" s="1196"/>
    </row>
    <row r="341" spans="1:12" s="45" customFormat="1" ht="15" hidden="1" customHeight="1" x14ac:dyDescent="0.3">
      <c r="A341" s="199" t="s">
        <v>1</v>
      </c>
      <c r="B341" s="1110" t="s">
        <v>15</v>
      </c>
      <c r="C341" s="1110"/>
      <c r="D341" s="1110"/>
      <c r="E341" s="1110" t="s">
        <v>58</v>
      </c>
      <c r="F341" s="1110"/>
      <c r="G341" s="1110" t="s">
        <v>66</v>
      </c>
      <c r="H341" s="1110"/>
      <c r="I341" s="1110" t="s">
        <v>264</v>
      </c>
      <c r="J341" s="1110"/>
    </row>
    <row r="342" spans="1:12" s="45" customFormat="1" ht="15" hidden="1" customHeight="1" x14ac:dyDescent="0.3">
      <c r="A342" s="199">
        <v>1</v>
      </c>
      <c r="B342" s="1110">
        <v>2</v>
      </c>
      <c r="C342" s="1110"/>
      <c r="D342" s="1110"/>
      <c r="E342" s="1110">
        <v>3</v>
      </c>
      <c r="F342" s="1110"/>
      <c r="G342" s="1110">
        <v>4</v>
      </c>
      <c r="H342" s="1110"/>
      <c r="I342" s="1110">
        <v>5</v>
      </c>
      <c r="J342" s="1110"/>
    </row>
    <row r="343" spans="1:12" s="45" customFormat="1" ht="39.75" hidden="1" customHeight="1" x14ac:dyDescent="0.3">
      <c r="A343" s="198" t="s">
        <v>70</v>
      </c>
      <c r="B343" s="1125" t="s">
        <v>172</v>
      </c>
      <c r="C343" s="1126"/>
      <c r="D343" s="1127"/>
      <c r="E343" s="102"/>
      <c r="F343" s="102"/>
      <c r="G343" s="1187"/>
      <c r="H343" s="1188"/>
      <c r="I343" s="1189">
        <f>SUM(I344:J345)</f>
        <v>0</v>
      </c>
      <c r="J343" s="1190"/>
    </row>
    <row r="344" spans="1:12" s="45" customFormat="1" ht="15" hidden="1" customHeight="1" x14ac:dyDescent="0.3">
      <c r="A344" s="202" t="s">
        <v>27</v>
      </c>
      <c r="B344" s="1191" t="s">
        <v>549</v>
      </c>
      <c r="C344" s="1191"/>
      <c r="D344" s="1191"/>
      <c r="E344" s="103"/>
      <c r="F344" s="201"/>
      <c r="G344" s="1107" t="s">
        <v>260</v>
      </c>
      <c r="H344" s="1107"/>
      <c r="I344" s="1102">
        <v>0</v>
      </c>
      <c r="J344" s="1103"/>
    </row>
    <row r="345" spans="1:12" s="46" customFormat="1" ht="15" hidden="1" customHeight="1" x14ac:dyDescent="0.3">
      <c r="A345" s="104" t="s">
        <v>27</v>
      </c>
      <c r="B345" s="1104"/>
      <c r="C345" s="1105"/>
      <c r="D345" s="1106"/>
      <c r="E345" s="103"/>
      <c r="F345" s="147"/>
      <c r="G345" s="1107"/>
      <c r="H345" s="1107"/>
      <c r="I345" s="1108"/>
      <c r="J345" s="1109"/>
    </row>
    <row r="346" spans="1:12" s="45" customFormat="1" ht="33" hidden="1" customHeight="1" x14ac:dyDescent="0.3">
      <c r="A346" s="202"/>
      <c r="B346" s="1098" t="s">
        <v>13</v>
      </c>
      <c r="C346" s="1098"/>
      <c r="D346" s="1098"/>
      <c r="E346" s="1123" t="s">
        <v>74</v>
      </c>
      <c r="F346" s="1124"/>
      <c r="G346" s="1090" t="s">
        <v>14</v>
      </c>
      <c r="H346" s="1090"/>
      <c r="I346" s="1101">
        <f>I343</f>
        <v>0</v>
      </c>
      <c r="J346" s="1090"/>
    </row>
    <row r="347" spans="1:12" s="46" customFormat="1" ht="15" hidden="1" customHeight="1" x14ac:dyDescent="0.3">
      <c r="A347" s="1196" t="s">
        <v>548</v>
      </c>
      <c r="B347" s="1196"/>
      <c r="C347" s="1196"/>
      <c r="D347" s="1196"/>
      <c r="E347" s="1196"/>
      <c r="F347" s="1196"/>
      <c r="G347" s="1196"/>
      <c r="H347" s="1196"/>
      <c r="I347" s="1196"/>
      <c r="J347" s="1196"/>
    </row>
    <row r="348" spans="1:12" s="46" customFormat="1" ht="15" hidden="1" customHeight="1" x14ac:dyDescent="0.3">
      <c r="A348" s="199" t="s">
        <v>1</v>
      </c>
      <c r="B348" s="1110" t="s">
        <v>15</v>
      </c>
      <c r="C348" s="1110"/>
      <c r="D348" s="1110"/>
      <c r="E348" s="1110" t="s">
        <v>58</v>
      </c>
      <c r="F348" s="1110"/>
      <c r="G348" s="1110" t="s">
        <v>66</v>
      </c>
      <c r="H348" s="1110"/>
      <c r="I348" s="1110" t="s">
        <v>264</v>
      </c>
      <c r="J348" s="1110"/>
    </row>
    <row r="349" spans="1:12" s="46" customFormat="1" ht="15" hidden="1" customHeight="1" x14ac:dyDescent="0.3">
      <c r="A349" s="199">
        <v>1</v>
      </c>
      <c r="B349" s="1110">
        <v>2</v>
      </c>
      <c r="C349" s="1110"/>
      <c r="D349" s="1110"/>
      <c r="E349" s="1110">
        <v>3</v>
      </c>
      <c r="F349" s="1110"/>
      <c r="G349" s="1110">
        <v>4</v>
      </c>
      <c r="H349" s="1110"/>
      <c r="I349" s="1110">
        <v>5</v>
      </c>
      <c r="J349" s="1110"/>
    </row>
    <row r="350" spans="1:12" s="46" customFormat="1" ht="38.25" hidden="1" customHeight="1" x14ac:dyDescent="0.3">
      <c r="A350" s="198" t="s">
        <v>70</v>
      </c>
      <c r="B350" s="1125" t="s">
        <v>172</v>
      </c>
      <c r="C350" s="1126"/>
      <c r="D350" s="1127"/>
      <c r="E350" s="102"/>
      <c r="F350" s="102"/>
      <c r="G350" s="1187"/>
      <c r="H350" s="1188"/>
      <c r="I350" s="1189">
        <f>SUM(I351:J352)</f>
        <v>0</v>
      </c>
      <c r="J350" s="1190"/>
    </row>
    <row r="351" spans="1:12" s="46" customFormat="1" ht="15" hidden="1" customHeight="1" x14ac:dyDescent="0.3">
      <c r="A351" s="202" t="s">
        <v>27</v>
      </c>
      <c r="B351" s="1191"/>
      <c r="C351" s="1191"/>
      <c r="D351" s="1191"/>
      <c r="E351" s="103" t="s">
        <v>308</v>
      </c>
      <c r="F351" s="201"/>
      <c r="G351" s="1107" t="s">
        <v>260</v>
      </c>
      <c r="H351" s="1107"/>
      <c r="I351" s="1102"/>
      <c r="J351" s="1103"/>
    </row>
    <row r="352" spans="1:12" s="46" customFormat="1" ht="15" hidden="1" customHeight="1" x14ac:dyDescent="0.3">
      <c r="A352" s="104" t="s">
        <v>27</v>
      </c>
      <c r="B352" s="1104"/>
      <c r="C352" s="1105"/>
      <c r="D352" s="1106"/>
      <c r="E352" s="103"/>
      <c r="F352" s="147"/>
      <c r="G352" s="1107"/>
      <c r="H352" s="1107"/>
      <c r="I352" s="1108"/>
      <c r="J352" s="1109"/>
    </row>
    <row r="353" spans="1:10" s="46" customFormat="1" ht="15" hidden="1" customHeight="1" x14ac:dyDescent="0.3">
      <c r="A353" s="202"/>
      <c r="B353" s="1098" t="s">
        <v>13</v>
      </c>
      <c r="C353" s="1098"/>
      <c r="D353" s="1098"/>
      <c r="E353" s="1123" t="s">
        <v>74</v>
      </c>
      <c r="F353" s="1124"/>
      <c r="G353" s="1090" t="s">
        <v>14</v>
      </c>
      <c r="H353" s="1090"/>
      <c r="I353" s="1101">
        <f>I350</f>
        <v>0</v>
      </c>
      <c r="J353" s="1090"/>
    </row>
    <row r="354" spans="1:10" s="46" customFormat="1" ht="15" customHeight="1" x14ac:dyDescent="0.3">
      <c r="A354" s="1186" t="s">
        <v>551</v>
      </c>
      <c r="B354" s="1186"/>
      <c r="C354" s="1186"/>
      <c r="D354" s="1186"/>
      <c r="E354" s="1186"/>
      <c r="F354" s="1186"/>
      <c r="G354" s="1186"/>
      <c r="H354" s="1186"/>
      <c r="I354" s="1186"/>
      <c r="J354" s="1186"/>
    </row>
    <row r="355" spans="1:10" s="46" customFormat="1" ht="15" customHeight="1" x14ac:dyDescent="0.3">
      <c r="A355" s="199" t="s">
        <v>1</v>
      </c>
      <c r="B355" s="1110" t="s">
        <v>15</v>
      </c>
      <c r="C355" s="1110"/>
      <c r="D355" s="1110"/>
      <c r="E355" s="1110" t="s">
        <v>58</v>
      </c>
      <c r="F355" s="1110"/>
      <c r="G355" s="1110" t="s">
        <v>66</v>
      </c>
      <c r="H355" s="1110"/>
      <c r="I355" s="1110" t="s">
        <v>264</v>
      </c>
      <c r="J355" s="1110"/>
    </row>
    <row r="356" spans="1:10" s="46" customFormat="1" ht="15" customHeight="1" x14ac:dyDescent="0.3">
      <c r="A356" s="199">
        <v>1</v>
      </c>
      <c r="B356" s="1110">
        <v>2</v>
      </c>
      <c r="C356" s="1110"/>
      <c r="D356" s="1110"/>
      <c r="E356" s="1110">
        <v>3</v>
      </c>
      <c r="F356" s="1110"/>
      <c r="G356" s="1110">
        <v>4</v>
      </c>
      <c r="H356" s="1110"/>
      <c r="I356" s="1110">
        <v>5</v>
      </c>
      <c r="J356" s="1110"/>
    </row>
    <row r="357" spans="1:10" s="46" customFormat="1" ht="36" customHeight="1" x14ac:dyDescent="0.3">
      <c r="A357" s="1118" t="s">
        <v>993</v>
      </c>
      <c r="B357" s="1119"/>
      <c r="C357" s="1119"/>
      <c r="D357" s="1119"/>
      <c r="E357" s="1119"/>
      <c r="F357" s="1119"/>
      <c r="G357" s="1119"/>
      <c r="H357" s="1119"/>
      <c r="I357" s="1119"/>
      <c r="J357" s="1120"/>
    </row>
    <row r="358" spans="1:10" s="46" customFormat="1" ht="15" customHeight="1" x14ac:dyDescent="0.3">
      <c r="A358" s="202">
        <v>1</v>
      </c>
      <c r="B358" s="1115" t="s">
        <v>585</v>
      </c>
      <c r="C358" s="1115"/>
      <c r="D358" s="1115"/>
      <c r="E358" s="103" t="s">
        <v>308</v>
      </c>
      <c r="F358" s="201"/>
      <c r="G358" s="1107" t="s">
        <v>260</v>
      </c>
      <c r="H358" s="1107"/>
      <c r="I358" s="1102">
        <v>15000</v>
      </c>
      <c r="J358" s="1103"/>
    </row>
    <row r="359" spans="1:10" s="46" customFormat="1" ht="15" hidden="1" customHeight="1" x14ac:dyDescent="0.3">
      <c r="A359" s="258">
        <v>2</v>
      </c>
      <c r="B359" s="1095"/>
      <c r="C359" s="1096"/>
      <c r="D359" s="1097"/>
      <c r="E359" s="103" t="s">
        <v>308</v>
      </c>
      <c r="F359" s="259"/>
      <c r="G359" s="1192" t="s">
        <v>260</v>
      </c>
      <c r="H359" s="1193"/>
      <c r="I359" s="1194">
        <v>0</v>
      </c>
      <c r="J359" s="1195"/>
    </row>
    <row r="360" spans="1:10" s="46" customFormat="1" ht="15" customHeight="1" x14ac:dyDescent="0.3">
      <c r="A360" s="104"/>
      <c r="B360" s="1098" t="s">
        <v>13</v>
      </c>
      <c r="C360" s="1098"/>
      <c r="D360" s="1098"/>
      <c r="E360" s="1123" t="s">
        <v>74</v>
      </c>
      <c r="F360" s="1124"/>
      <c r="G360" s="1090" t="s">
        <v>14</v>
      </c>
      <c r="H360" s="1090"/>
      <c r="I360" s="1101">
        <f>I358+I359</f>
        <v>15000</v>
      </c>
      <c r="J360" s="1090"/>
    </row>
    <row r="361" spans="1:10" s="46" customFormat="1" ht="71.25" hidden="1" customHeight="1" x14ac:dyDescent="0.3">
      <c r="A361" s="1092" t="s">
        <v>641</v>
      </c>
      <c r="B361" s="1093"/>
      <c r="C361" s="1093"/>
      <c r="D361" s="1093"/>
      <c r="E361" s="1093"/>
      <c r="F361" s="1093"/>
      <c r="G361" s="1093"/>
      <c r="H361" s="1093"/>
      <c r="I361" s="1093"/>
      <c r="J361" s="1094"/>
    </row>
    <row r="362" spans="1:10" s="46" customFormat="1" ht="15" hidden="1" customHeight="1" x14ac:dyDescent="0.3">
      <c r="A362" s="529"/>
      <c r="B362" s="1095"/>
      <c r="C362" s="1096"/>
      <c r="D362" s="1097"/>
      <c r="E362" s="525"/>
      <c r="F362" s="527"/>
      <c r="G362" s="978"/>
      <c r="H362" s="978"/>
      <c r="I362" s="991"/>
      <c r="J362" s="992"/>
    </row>
    <row r="363" spans="1:10" s="46" customFormat="1" ht="15" hidden="1" customHeight="1" x14ac:dyDescent="0.3">
      <c r="A363" s="529"/>
      <c r="B363" s="1095"/>
      <c r="C363" s="1096"/>
      <c r="D363" s="1097"/>
      <c r="E363" s="525"/>
      <c r="F363" s="527"/>
      <c r="G363" s="523"/>
      <c r="H363" s="524"/>
      <c r="I363" s="1073"/>
      <c r="J363" s="1099"/>
    </row>
    <row r="364" spans="1:10" s="46" customFormat="1" ht="15" hidden="1" customHeight="1" x14ac:dyDescent="0.3">
      <c r="A364" s="529"/>
      <c r="B364" s="1095"/>
      <c r="C364" s="1096"/>
      <c r="D364" s="1097"/>
      <c r="E364" s="525"/>
      <c r="F364" s="527"/>
      <c r="G364" s="523"/>
      <c r="H364" s="524"/>
      <c r="I364" s="1073"/>
      <c r="J364" s="1099"/>
    </row>
    <row r="365" spans="1:10" s="46" customFormat="1" ht="15" hidden="1" customHeight="1" x14ac:dyDescent="0.3">
      <c r="A365" s="529"/>
      <c r="B365" s="1095"/>
      <c r="C365" s="1096"/>
      <c r="D365" s="1097"/>
      <c r="E365" s="525"/>
      <c r="F365" s="527"/>
      <c r="G365" s="523"/>
      <c r="H365" s="524"/>
      <c r="I365" s="1073"/>
      <c r="J365" s="1099"/>
    </row>
    <row r="366" spans="1:10" s="46" customFormat="1" ht="15" hidden="1" customHeight="1" x14ac:dyDescent="0.3">
      <c r="A366" s="104"/>
      <c r="B366" s="1098" t="s">
        <v>13</v>
      </c>
      <c r="C366" s="1098"/>
      <c r="D366" s="1098"/>
      <c r="E366" s="1100" t="s">
        <v>74</v>
      </c>
      <c r="F366" s="1100"/>
      <c r="G366" s="1090" t="s">
        <v>14</v>
      </c>
      <c r="H366" s="1090"/>
      <c r="I366" s="1101">
        <f>I362+I363+I364</f>
        <v>0</v>
      </c>
      <c r="J366" s="1090"/>
    </row>
    <row r="367" spans="1:10" s="46" customFormat="1" ht="15" customHeight="1" x14ac:dyDescent="0.3">
      <c r="A367" s="104"/>
      <c r="B367" s="1090" t="s">
        <v>633</v>
      </c>
      <c r="C367" s="1090"/>
      <c r="D367" s="1090"/>
      <c r="E367" s="1100"/>
      <c r="F367" s="1100"/>
      <c r="G367" s="1090"/>
      <c r="H367" s="1090"/>
      <c r="I367" s="1101">
        <f>I366+I360</f>
        <v>15000</v>
      </c>
      <c r="J367" s="1101"/>
    </row>
    <row r="368" spans="1:10" s="45" customFormat="1" ht="15.6" x14ac:dyDescent="0.3">
      <c r="A368" s="1184" t="s">
        <v>552</v>
      </c>
      <c r="B368" s="1184"/>
      <c r="C368" s="1184"/>
      <c r="D368" s="1184"/>
      <c r="E368" s="1184"/>
      <c r="F368" s="1184"/>
      <c r="G368" s="1184"/>
      <c r="H368" s="1184"/>
      <c r="I368" s="1184"/>
      <c r="J368" s="1184"/>
    </row>
    <row r="369" spans="1:10" s="45" customFormat="1" ht="13.8" x14ac:dyDescent="0.3">
      <c r="A369" s="199" t="s">
        <v>1</v>
      </c>
      <c r="B369" s="1110" t="s">
        <v>15</v>
      </c>
      <c r="C369" s="1110"/>
      <c r="D369" s="1110"/>
      <c r="E369" s="1110" t="s">
        <v>58</v>
      </c>
      <c r="F369" s="1110"/>
      <c r="G369" s="1110" t="s">
        <v>66</v>
      </c>
      <c r="H369" s="1110"/>
      <c r="I369" s="1110" t="s">
        <v>264</v>
      </c>
      <c r="J369" s="1110"/>
    </row>
    <row r="370" spans="1:10" s="45" customFormat="1" ht="13.8" x14ac:dyDescent="0.3">
      <c r="A370" s="199">
        <v>1</v>
      </c>
      <c r="B370" s="1110">
        <v>2</v>
      </c>
      <c r="C370" s="1110"/>
      <c r="D370" s="1110"/>
      <c r="E370" s="1110">
        <v>3</v>
      </c>
      <c r="F370" s="1110"/>
      <c r="G370" s="1110">
        <v>4</v>
      </c>
      <c r="H370" s="1110"/>
      <c r="I370" s="1110">
        <v>5</v>
      </c>
      <c r="J370" s="1110"/>
    </row>
    <row r="371" spans="1:10" s="45" customFormat="1" ht="33.75" customHeight="1" x14ac:dyDescent="0.3">
      <c r="A371" s="1118" t="s">
        <v>993</v>
      </c>
      <c r="B371" s="1119"/>
      <c r="C371" s="1119"/>
      <c r="D371" s="1119"/>
      <c r="E371" s="1119"/>
      <c r="F371" s="1119"/>
      <c r="G371" s="1119"/>
      <c r="H371" s="1119"/>
      <c r="I371" s="1119"/>
      <c r="J371" s="1120"/>
    </row>
    <row r="372" spans="1:10" s="45" customFormat="1" ht="15" customHeight="1" x14ac:dyDescent="0.3">
      <c r="A372" s="529">
        <v>1</v>
      </c>
      <c r="B372" s="1095" t="s">
        <v>914</v>
      </c>
      <c r="C372" s="1096"/>
      <c r="D372" s="1097"/>
      <c r="E372" s="525"/>
      <c r="F372" s="527"/>
      <c r="G372" s="978"/>
      <c r="H372" s="978"/>
      <c r="I372" s="991">
        <v>4000</v>
      </c>
      <c r="J372" s="992"/>
    </row>
    <row r="373" spans="1:10" s="45" customFormat="1" ht="15.6" x14ac:dyDescent="0.3">
      <c r="A373" s="529">
        <v>2</v>
      </c>
      <c r="B373" s="1095" t="s">
        <v>915</v>
      </c>
      <c r="C373" s="1096"/>
      <c r="D373" s="1097"/>
      <c r="E373" s="525"/>
      <c r="F373" s="527"/>
      <c r="G373" s="523"/>
      <c r="H373" s="524"/>
      <c r="I373" s="1073">
        <v>3000</v>
      </c>
      <c r="J373" s="1099"/>
    </row>
    <row r="374" spans="1:10" s="45" customFormat="1" ht="15.6" x14ac:dyDescent="0.3">
      <c r="A374" s="529">
        <v>3</v>
      </c>
      <c r="B374" s="1095" t="s">
        <v>916</v>
      </c>
      <c r="C374" s="1096"/>
      <c r="D374" s="1097"/>
      <c r="E374" s="525"/>
      <c r="F374" s="527"/>
      <c r="G374" s="523"/>
      <c r="H374" s="524"/>
      <c r="I374" s="1073">
        <v>520</v>
      </c>
      <c r="J374" s="1099"/>
    </row>
    <row r="375" spans="1:10" s="45" customFormat="1" ht="15.6" x14ac:dyDescent="0.3">
      <c r="A375" s="529">
        <v>4</v>
      </c>
      <c r="B375" s="1095" t="s">
        <v>917</v>
      </c>
      <c r="C375" s="1096"/>
      <c r="D375" s="1097"/>
      <c r="E375" s="525"/>
      <c r="F375" s="527"/>
      <c r="G375" s="523"/>
      <c r="H375" s="524"/>
      <c r="I375" s="1073">
        <v>1345</v>
      </c>
      <c r="J375" s="1099"/>
    </row>
    <row r="376" spans="1:10" s="45" customFormat="1" ht="15" customHeight="1" x14ac:dyDescent="0.3">
      <c r="A376" s="104"/>
      <c r="B376" s="1098" t="s">
        <v>13</v>
      </c>
      <c r="C376" s="1098"/>
      <c r="D376" s="1098"/>
      <c r="E376" s="1100" t="s">
        <v>74</v>
      </c>
      <c r="F376" s="1100"/>
      <c r="G376" s="1090" t="s">
        <v>14</v>
      </c>
      <c r="H376" s="1090"/>
      <c r="I376" s="1101">
        <f>I372+I373+I374+I375</f>
        <v>8865</v>
      </c>
      <c r="J376" s="1090"/>
    </row>
    <row r="377" spans="1:10" s="45" customFormat="1" ht="18.75" hidden="1" customHeight="1" x14ac:dyDescent="0.3">
      <c r="A377" s="104"/>
      <c r="B377" s="1090" t="s">
        <v>633</v>
      </c>
      <c r="C377" s="1090"/>
      <c r="D377" s="1090"/>
      <c r="E377" s="1100"/>
      <c r="F377" s="1100"/>
      <c r="G377" s="1090"/>
      <c r="H377" s="1090"/>
      <c r="I377" s="1101">
        <f>I376</f>
        <v>8865</v>
      </c>
      <c r="J377" s="1101"/>
    </row>
    <row r="378" spans="1:10" s="45" customFormat="1" ht="48" hidden="1" customHeight="1" x14ac:dyDescent="0.3">
      <c r="A378" s="104" t="s">
        <v>36</v>
      </c>
      <c r="B378" s="999" t="s">
        <v>556</v>
      </c>
      <c r="C378" s="1000"/>
      <c r="D378" s="1001"/>
      <c r="E378" s="167"/>
      <c r="F378" s="168"/>
      <c r="G378" s="978"/>
      <c r="H378" s="978"/>
      <c r="I378" s="991"/>
      <c r="J378" s="992"/>
    </row>
    <row r="379" spans="1:10" s="45" customFormat="1" ht="48" hidden="1" customHeight="1" x14ac:dyDescent="0.3">
      <c r="A379" s="198" t="s">
        <v>77</v>
      </c>
      <c r="B379" s="1125" t="s">
        <v>534</v>
      </c>
      <c r="C379" s="1126"/>
      <c r="D379" s="1127"/>
      <c r="E379" s="1128"/>
      <c r="F379" s="1129"/>
      <c r="G379" s="1128"/>
      <c r="H379" s="1129"/>
      <c r="I379" s="1130">
        <f>I380+I381</f>
        <v>0</v>
      </c>
      <c r="J379" s="1131"/>
    </row>
    <row r="380" spans="1:10" s="45" customFormat="1" ht="30" hidden="1" customHeight="1" x14ac:dyDescent="0.3">
      <c r="A380" s="104" t="s">
        <v>381</v>
      </c>
      <c r="B380" s="999" t="s">
        <v>560</v>
      </c>
      <c r="C380" s="1000"/>
      <c r="D380" s="1001"/>
      <c r="E380" s="167"/>
      <c r="F380" s="168"/>
      <c r="G380" s="823"/>
      <c r="H380" s="824"/>
      <c r="I380" s="1073"/>
      <c r="J380" s="1099"/>
    </row>
    <row r="381" spans="1:10" ht="16.5" hidden="1" customHeight="1" x14ac:dyDescent="0.3">
      <c r="A381" s="104" t="s">
        <v>559</v>
      </c>
      <c r="B381" s="1042"/>
      <c r="C381" s="1042"/>
      <c r="D381" s="1042"/>
      <c r="E381" s="167"/>
      <c r="F381" s="168"/>
      <c r="G381" s="978"/>
      <c r="H381" s="978"/>
      <c r="I381" s="991"/>
      <c r="J381" s="992"/>
    </row>
    <row r="382" spans="1:10" x14ac:dyDescent="0.3">
      <c r="A382" s="104"/>
      <c r="B382" s="1098" t="s">
        <v>13</v>
      </c>
      <c r="C382" s="1098"/>
      <c r="D382" s="1098"/>
      <c r="E382" s="1123" t="s">
        <v>74</v>
      </c>
      <c r="F382" s="1124"/>
      <c r="G382" s="1090" t="s">
        <v>14</v>
      </c>
      <c r="H382" s="1090"/>
      <c r="I382" s="1101">
        <f>SUM(I372:J375)</f>
        <v>8865</v>
      </c>
      <c r="J382" s="1090"/>
    </row>
    <row r="383" spans="1:10" ht="56.25" hidden="1" customHeight="1" x14ac:dyDescent="0.3">
      <c r="A383" s="1118" t="s">
        <v>644</v>
      </c>
      <c r="B383" s="1119"/>
      <c r="C383" s="1119"/>
      <c r="D383" s="1119"/>
      <c r="E383" s="1119"/>
      <c r="F383" s="1119"/>
      <c r="G383" s="1119"/>
      <c r="H383" s="1119"/>
      <c r="I383" s="1119"/>
      <c r="J383" s="1120"/>
    </row>
    <row r="384" spans="1:10" ht="15.6" hidden="1" x14ac:dyDescent="0.3">
      <c r="A384" s="282">
        <v>1</v>
      </c>
      <c r="B384" s="1151" t="s">
        <v>642</v>
      </c>
      <c r="C384" s="1151"/>
      <c r="D384" s="1151"/>
      <c r="E384" s="284"/>
      <c r="F384" s="284"/>
      <c r="G384" s="1090"/>
      <c r="H384" s="1090"/>
      <c r="I384" s="1185">
        <v>0</v>
      </c>
      <c r="J384" s="1185"/>
    </row>
    <row r="385" spans="1:11" hidden="1" x14ac:dyDescent="0.3">
      <c r="A385" s="104"/>
      <c r="B385" s="1090"/>
      <c r="C385" s="1090"/>
      <c r="D385" s="1090"/>
      <c r="E385" s="284"/>
      <c r="F385" s="284"/>
      <c r="G385" s="1090"/>
      <c r="H385" s="1090"/>
      <c r="I385" s="1101">
        <f>I384</f>
        <v>0</v>
      </c>
      <c r="J385" s="1101"/>
    </row>
    <row r="386" spans="1:11" ht="15.6" x14ac:dyDescent="0.3">
      <c r="A386" s="1184" t="s">
        <v>557</v>
      </c>
      <c r="B386" s="1184"/>
      <c r="C386" s="1184"/>
      <c r="D386" s="1184"/>
      <c r="E386" s="1184"/>
      <c r="F386" s="1184"/>
      <c r="G386" s="1184"/>
      <c r="H386" s="1184"/>
      <c r="I386" s="1184"/>
      <c r="J386" s="1184"/>
    </row>
    <row r="387" spans="1:11" x14ac:dyDescent="0.3">
      <c r="A387" s="199" t="s">
        <v>1</v>
      </c>
      <c r="B387" s="1110" t="s">
        <v>15</v>
      </c>
      <c r="C387" s="1110"/>
      <c r="D387" s="1110"/>
      <c r="E387" s="1110" t="s">
        <v>58</v>
      </c>
      <c r="F387" s="1110"/>
      <c r="G387" s="1110" t="s">
        <v>66</v>
      </c>
      <c r="H387" s="1110"/>
      <c r="I387" s="1110" t="s">
        <v>264</v>
      </c>
      <c r="J387" s="1110"/>
    </row>
    <row r="388" spans="1:11" x14ac:dyDescent="0.3">
      <c r="A388" s="199">
        <v>1</v>
      </c>
      <c r="B388" s="1110">
        <v>2</v>
      </c>
      <c r="C388" s="1110"/>
      <c r="D388" s="1110"/>
      <c r="E388" s="1110">
        <v>3</v>
      </c>
      <c r="F388" s="1110"/>
      <c r="G388" s="1110">
        <v>4</v>
      </c>
      <c r="H388" s="1110"/>
      <c r="I388" s="1110">
        <v>5</v>
      </c>
      <c r="J388" s="1110"/>
    </row>
    <row r="389" spans="1:11" ht="46.5" customHeight="1" x14ac:dyDescent="0.3">
      <c r="A389" s="1118" t="s">
        <v>993</v>
      </c>
      <c r="B389" s="1119"/>
      <c r="C389" s="1119"/>
      <c r="D389" s="1119"/>
      <c r="E389" s="1119"/>
      <c r="F389" s="1119"/>
      <c r="G389" s="1119"/>
      <c r="H389" s="1119"/>
      <c r="I389" s="1119"/>
      <c r="J389" s="1120"/>
    </row>
    <row r="390" spans="1:11" ht="21.75" customHeight="1" x14ac:dyDescent="0.3">
      <c r="A390" s="199">
        <v>1</v>
      </c>
      <c r="B390" s="1095" t="s">
        <v>918</v>
      </c>
      <c r="C390" s="1096"/>
      <c r="D390" s="1097"/>
      <c r="E390" s="167"/>
      <c r="F390" s="168"/>
      <c r="G390" s="978"/>
      <c r="H390" s="978"/>
      <c r="I390" s="991">
        <v>3300</v>
      </c>
      <c r="J390" s="992"/>
    </row>
    <row r="391" spans="1:11" ht="19.5" customHeight="1" x14ac:dyDescent="0.3">
      <c r="A391" s="199">
        <v>2</v>
      </c>
      <c r="B391" s="1095" t="s">
        <v>919</v>
      </c>
      <c r="C391" s="1096"/>
      <c r="D391" s="1097"/>
      <c r="E391" s="167"/>
      <c r="F391" s="168"/>
      <c r="G391" s="242"/>
      <c r="H391" s="243"/>
      <c r="I391" s="1073">
        <v>1835</v>
      </c>
      <c r="J391" s="1099"/>
    </row>
    <row r="392" spans="1:11" ht="37.5" customHeight="1" x14ac:dyDescent="0.3">
      <c r="A392" s="1118" t="s">
        <v>992</v>
      </c>
      <c r="B392" s="1119"/>
      <c r="C392" s="1119"/>
      <c r="D392" s="1119"/>
      <c r="E392" s="1119"/>
      <c r="F392" s="1119"/>
      <c r="G392" s="1119"/>
      <c r="H392" s="1119"/>
      <c r="I392" s="1119"/>
      <c r="J392" s="1120"/>
    </row>
    <row r="393" spans="1:11" ht="15.6" x14ac:dyDescent="0.3">
      <c r="A393" s="199">
        <v>3</v>
      </c>
      <c r="B393" s="1095" t="s">
        <v>925</v>
      </c>
      <c r="C393" s="1096"/>
      <c r="D393" s="1097"/>
      <c r="E393" s="167"/>
      <c r="F393" s="168"/>
      <c r="G393" s="242"/>
      <c r="H393" s="243"/>
      <c r="I393" s="1073">
        <v>63200</v>
      </c>
      <c r="J393" s="1099"/>
    </row>
    <row r="394" spans="1:11" ht="34.5" customHeight="1" x14ac:dyDescent="0.3">
      <c r="A394" s="1118" t="s">
        <v>994</v>
      </c>
      <c r="B394" s="1119"/>
      <c r="C394" s="1119"/>
      <c r="D394" s="1119"/>
      <c r="E394" s="1119"/>
      <c r="F394" s="1119"/>
      <c r="G394" s="1119"/>
      <c r="H394" s="1119"/>
      <c r="I394" s="1119"/>
      <c r="J394" s="1120"/>
    </row>
    <row r="395" spans="1:11" ht="31.5" customHeight="1" x14ac:dyDescent="0.3">
      <c r="A395" s="529">
        <v>4</v>
      </c>
      <c r="B395" s="1095" t="s">
        <v>926</v>
      </c>
      <c r="C395" s="1096"/>
      <c r="D395" s="1097"/>
      <c r="E395" s="526"/>
      <c r="F395" s="528"/>
      <c r="G395" s="523"/>
      <c r="H395" s="524"/>
      <c r="I395" s="1073">
        <v>106000</v>
      </c>
      <c r="J395" s="1099"/>
    </row>
    <row r="396" spans="1:11" x14ac:dyDescent="0.3">
      <c r="A396" s="104"/>
      <c r="B396" s="1098" t="s">
        <v>13</v>
      </c>
      <c r="C396" s="1098"/>
      <c r="D396" s="1098"/>
      <c r="E396" s="1123" t="s">
        <v>74</v>
      </c>
      <c r="F396" s="1124"/>
      <c r="G396" s="1090" t="s">
        <v>14</v>
      </c>
      <c r="H396" s="1090"/>
      <c r="I396" s="1101">
        <f>I390+I391+I393+I395</f>
        <v>174335</v>
      </c>
      <c r="J396" s="1090"/>
    </row>
    <row r="397" spans="1:11" ht="23.25" customHeight="1" x14ac:dyDescent="0.3">
      <c r="A397" s="104"/>
      <c r="B397" s="1098" t="s">
        <v>13</v>
      </c>
      <c r="C397" s="1098"/>
      <c r="D397" s="1098"/>
      <c r="E397" s="103"/>
      <c r="F397" s="201"/>
      <c r="G397" s="1107"/>
      <c r="H397" s="1107"/>
      <c r="I397" s="1182">
        <f>I339+I382+I396+I367+I332+I385+I346+I353</f>
        <v>198200</v>
      </c>
      <c r="J397" s="1183"/>
      <c r="K397" s="176">
        <f>I396+I382+I367+I332</f>
        <v>198200</v>
      </c>
    </row>
    <row r="398" spans="1:11" ht="15.6" hidden="1" x14ac:dyDescent="0.3">
      <c r="A398" s="1173" t="s">
        <v>385</v>
      </c>
      <c r="B398" s="1173"/>
      <c r="C398" s="1173"/>
      <c r="D398" s="1173"/>
      <c r="E398" s="1173"/>
      <c r="F398" s="1173"/>
      <c r="G398" s="1173"/>
      <c r="H398" s="1173"/>
      <c r="I398" s="1173"/>
      <c r="J398" s="1173"/>
    </row>
    <row r="399" spans="1:11" hidden="1" x14ac:dyDescent="0.3">
      <c r="A399" s="1174" t="s">
        <v>1</v>
      </c>
      <c r="B399" s="1176" t="s">
        <v>15</v>
      </c>
      <c r="C399" s="1177"/>
      <c r="D399" s="1178"/>
      <c r="E399" s="1176" t="s">
        <v>64</v>
      </c>
      <c r="F399" s="1178"/>
      <c r="G399" s="1110" t="s">
        <v>65</v>
      </c>
      <c r="H399" s="1110"/>
      <c r="I399" s="1110"/>
      <c r="J399" s="1110"/>
    </row>
    <row r="400" spans="1:11" ht="26.4" hidden="1" x14ac:dyDescent="0.3">
      <c r="A400" s="1175"/>
      <c r="B400" s="1179"/>
      <c r="C400" s="1180"/>
      <c r="D400" s="1181"/>
      <c r="E400" s="1179"/>
      <c r="F400" s="1181"/>
      <c r="G400" s="199" t="s">
        <v>305</v>
      </c>
      <c r="H400" s="199" t="s">
        <v>302</v>
      </c>
      <c r="I400" s="199" t="s">
        <v>303</v>
      </c>
      <c r="J400" s="199" t="s">
        <v>304</v>
      </c>
    </row>
    <row r="401" spans="1:10" hidden="1" x14ac:dyDescent="0.3">
      <c r="A401" s="199">
        <v>1</v>
      </c>
      <c r="B401" s="1110">
        <v>2</v>
      </c>
      <c r="C401" s="1110"/>
      <c r="D401" s="1110"/>
      <c r="E401" s="1139">
        <v>3</v>
      </c>
      <c r="F401" s="1140"/>
      <c r="G401" s="1110">
        <v>4</v>
      </c>
      <c r="H401" s="1110"/>
      <c r="I401" s="1110"/>
      <c r="J401" s="1110"/>
    </row>
    <row r="402" spans="1:10" hidden="1" x14ac:dyDescent="0.3">
      <c r="A402" s="202" t="s">
        <v>70</v>
      </c>
      <c r="B402" s="1143" t="s">
        <v>346</v>
      </c>
      <c r="C402" s="1143"/>
      <c r="D402" s="1143"/>
      <c r="E402" s="1116">
        <v>1</v>
      </c>
      <c r="F402" s="1117"/>
      <c r="G402" s="202" t="s">
        <v>306</v>
      </c>
      <c r="H402" s="202">
        <v>1</v>
      </c>
      <c r="I402" s="101"/>
      <c r="J402" s="110">
        <v>0</v>
      </c>
    </row>
    <row r="403" spans="1:10" hidden="1" x14ac:dyDescent="0.3">
      <c r="A403" s="202" t="s">
        <v>75</v>
      </c>
      <c r="B403" s="1143" t="s">
        <v>347</v>
      </c>
      <c r="C403" s="1143"/>
      <c r="D403" s="1143"/>
      <c r="E403" s="1116">
        <v>1</v>
      </c>
      <c r="F403" s="1117"/>
      <c r="G403" s="202" t="s">
        <v>306</v>
      </c>
      <c r="H403" s="202">
        <v>1</v>
      </c>
      <c r="I403" s="101"/>
      <c r="J403" s="110">
        <f t="shared" ref="J403:J404" si="17">H403*I403</f>
        <v>0</v>
      </c>
    </row>
    <row r="404" spans="1:10" hidden="1" x14ac:dyDescent="0.3">
      <c r="A404" s="202" t="s">
        <v>77</v>
      </c>
      <c r="B404" s="1143" t="s">
        <v>342</v>
      </c>
      <c r="C404" s="1143"/>
      <c r="D404" s="1143"/>
      <c r="E404" s="1116">
        <v>1</v>
      </c>
      <c r="F404" s="1117"/>
      <c r="G404" s="202" t="s">
        <v>306</v>
      </c>
      <c r="H404" s="201">
        <v>1</v>
      </c>
      <c r="I404" s="101"/>
      <c r="J404" s="110">
        <f t="shared" si="17"/>
        <v>0</v>
      </c>
    </row>
    <row r="405" spans="1:10" ht="15.6" hidden="1" x14ac:dyDescent="0.3">
      <c r="A405" s="179"/>
      <c r="B405" s="1164" t="s">
        <v>13</v>
      </c>
      <c r="C405" s="1164"/>
      <c r="D405" s="1164"/>
      <c r="E405" s="1165" t="s">
        <v>14</v>
      </c>
      <c r="F405" s="1166"/>
      <c r="G405" s="1167">
        <f>SUM(J402:J404)</f>
        <v>0</v>
      </c>
      <c r="H405" s="1168"/>
      <c r="I405" s="1168"/>
      <c r="J405" s="1168"/>
    </row>
    <row r="406" spans="1:10" hidden="1" x14ac:dyDescent="0.3">
      <c r="A406" s="90"/>
      <c r="B406" s="90"/>
      <c r="C406" s="90"/>
      <c r="D406" s="90"/>
      <c r="E406" s="90"/>
      <c r="F406" s="90"/>
      <c r="G406" s="90"/>
      <c r="H406" s="90"/>
      <c r="I406" s="90"/>
      <c r="J406" s="90"/>
    </row>
    <row r="407" spans="1:10" ht="32.25" customHeight="1" x14ac:dyDescent="0.3">
      <c r="A407" s="90"/>
      <c r="B407" s="90"/>
      <c r="C407" s="90"/>
      <c r="D407" s="90"/>
      <c r="E407" s="90"/>
      <c r="F407" s="90"/>
      <c r="G407" s="90"/>
      <c r="H407" s="105" t="s">
        <v>212</v>
      </c>
      <c r="I407" s="1172">
        <f>J87+J94+I117+I157+I178+I194+I208+I236+G266+G294+I303+I322+I397+G405+I167</f>
        <v>5929299.9960000003</v>
      </c>
      <c r="J407" s="1172"/>
    </row>
    <row r="408" spans="1:10" x14ac:dyDescent="0.3">
      <c r="A408" s="90"/>
      <c r="B408" s="90"/>
      <c r="C408" s="90"/>
      <c r="D408" s="90"/>
      <c r="E408" s="90"/>
      <c r="F408" s="90"/>
      <c r="G408" s="90"/>
      <c r="H408" s="106" t="s">
        <v>248</v>
      </c>
      <c r="I408" s="90"/>
      <c r="J408" s="90"/>
    </row>
    <row r="409" spans="1:10" x14ac:dyDescent="0.3">
      <c r="A409" s="90"/>
      <c r="B409" s="90"/>
      <c r="C409" s="90"/>
      <c r="D409" s="90"/>
      <c r="E409" s="90"/>
      <c r="F409" s="90"/>
      <c r="G409" s="90"/>
      <c r="H409" s="106" t="s">
        <v>927</v>
      </c>
      <c r="I409" s="1163">
        <f>I395</f>
        <v>106000</v>
      </c>
      <c r="J409" s="1163"/>
    </row>
    <row r="410" spans="1:10" x14ac:dyDescent="0.3">
      <c r="A410" s="90"/>
      <c r="B410" s="90"/>
      <c r="C410" s="90"/>
      <c r="D410" s="90"/>
      <c r="E410" s="90"/>
      <c r="F410" s="90"/>
      <c r="G410" s="90"/>
      <c r="H410" s="106" t="s">
        <v>586</v>
      </c>
      <c r="I410" s="1163">
        <f>I103+I115+I116+J274+J275+I310+I311+I358+I372+I373+I374+I375+I390+I391+J276</f>
        <v>252000</v>
      </c>
      <c r="J410" s="1163"/>
    </row>
    <row r="411" spans="1:10" ht="15.75" customHeight="1" x14ac:dyDescent="0.3">
      <c r="A411" s="90"/>
      <c r="B411" s="90"/>
      <c r="C411" s="90"/>
      <c r="D411" s="90"/>
      <c r="E411" s="90"/>
      <c r="F411" s="90"/>
      <c r="G411" s="90"/>
      <c r="H411" s="106" t="s">
        <v>928</v>
      </c>
      <c r="I411" s="1163">
        <f>I393+J282</f>
        <v>83200</v>
      </c>
      <c r="J411" s="1163"/>
    </row>
    <row r="412" spans="1:10" x14ac:dyDescent="0.3">
      <c r="A412" s="90"/>
      <c r="B412" s="90"/>
      <c r="C412" s="90"/>
      <c r="D412" s="90"/>
      <c r="E412" s="90"/>
      <c r="F412" s="90"/>
      <c r="G412" s="90"/>
      <c r="H412" s="106" t="s">
        <v>587</v>
      </c>
      <c r="I412" s="1163">
        <f>J248</f>
        <v>44700</v>
      </c>
      <c r="J412" s="1163"/>
    </row>
    <row r="413" spans="1:10" hidden="1" x14ac:dyDescent="0.3">
      <c r="A413" s="90"/>
      <c r="B413" s="90"/>
      <c r="C413" s="90"/>
      <c r="D413" s="90"/>
      <c r="E413" s="90"/>
      <c r="F413" s="90"/>
      <c r="G413" s="90"/>
      <c r="H413" s="106" t="s">
        <v>613</v>
      </c>
      <c r="I413" s="1163">
        <f>I167</f>
        <v>0</v>
      </c>
      <c r="J413" s="1163"/>
    </row>
    <row r="414" spans="1:10" hidden="1" x14ac:dyDescent="0.3">
      <c r="A414" s="247"/>
      <c r="B414" s="247"/>
      <c r="C414" s="247"/>
      <c r="D414" s="263"/>
      <c r="E414" s="263"/>
      <c r="F414" s="264"/>
      <c r="G414" s="1111" t="s">
        <v>619</v>
      </c>
      <c r="H414" s="1111"/>
      <c r="I414" s="1091">
        <v>0</v>
      </c>
      <c r="J414" s="1171"/>
    </row>
    <row r="415" spans="1:10" ht="14.25" hidden="1" customHeight="1" x14ac:dyDescent="0.3">
      <c r="A415" s="247"/>
      <c r="B415" s="247"/>
      <c r="C415" s="247"/>
      <c r="D415" s="1111" t="s">
        <v>630</v>
      </c>
      <c r="E415" s="1111"/>
      <c r="F415" s="1111"/>
      <c r="G415" s="1111"/>
      <c r="H415" s="1111"/>
      <c r="I415" s="1091">
        <f>J252</f>
        <v>0</v>
      </c>
      <c r="J415" s="1091"/>
    </row>
    <row r="416" spans="1:10" ht="16.5" hidden="1" customHeight="1" x14ac:dyDescent="0.3">
      <c r="A416" s="247"/>
      <c r="B416" s="247"/>
      <c r="C416" s="247"/>
      <c r="D416" s="265"/>
      <c r="E416" s="265"/>
      <c r="F416" s="1111" t="s">
        <v>621</v>
      </c>
      <c r="G416" s="1111"/>
      <c r="H416" s="1111"/>
      <c r="I416" s="1091">
        <f>I315</f>
        <v>0</v>
      </c>
      <c r="J416" s="1091"/>
    </row>
    <row r="417" spans="1:10" x14ac:dyDescent="0.3">
      <c r="A417" s="247"/>
      <c r="B417" s="247"/>
      <c r="C417" s="247"/>
      <c r="D417" s="273"/>
      <c r="E417" s="273"/>
      <c r="F417" s="1170" t="s">
        <v>635</v>
      </c>
      <c r="G417" s="1170"/>
      <c r="H417" s="1170"/>
      <c r="I417" s="1091">
        <f>J68+I139+I93</f>
        <v>5443400</v>
      </c>
      <c r="J417" s="1091"/>
    </row>
    <row r="418" spans="1:10" hidden="1" x14ac:dyDescent="0.3">
      <c r="A418" s="247"/>
      <c r="B418" s="247"/>
      <c r="C418" s="247"/>
      <c r="D418" s="283"/>
      <c r="E418" s="283"/>
      <c r="F418" s="285"/>
      <c r="G418" s="285"/>
      <c r="H418" s="285" t="s">
        <v>643</v>
      </c>
      <c r="I418" s="1091">
        <f>I385</f>
        <v>0</v>
      </c>
      <c r="J418" s="1091"/>
    </row>
    <row r="419" spans="1:10" x14ac:dyDescent="0.3">
      <c r="A419" s="1169" t="s">
        <v>262</v>
      </c>
      <c r="B419" s="1169"/>
      <c r="C419" s="1169"/>
      <c r="D419" s="150"/>
      <c r="E419" s="150"/>
      <c r="F419" s="151" t="s">
        <v>471</v>
      </c>
      <c r="G419" s="151"/>
      <c r="H419" s="151"/>
      <c r="I419" s="151"/>
      <c r="J419" s="46"/>
    </row>
    <row r="420" spans="1:10" x14ac:dyDescent="0.3">
      <c r="A420" s="51"/>
      <c r="B420" s="51"/>
      <c r="C420" s="51"/>
      <c r="D420" s="1025" t="s">
        <v>279</v>
      </c>
      <c r="E420" s="1025"/>
      <c r="F420" s="1026" t="s">
        <v>280</v>
      </c>
      <c r="G420" s="1026"/>
      <c r="H420" s="1026"/>
      <c r="I420" s="1026"/>
      <c r="J420" s="45"/>
    </row>
    <row r="421" spans="1:10" x14ac:dyDescent="0.3">
      <c r="A421" s="1169" t="s">
        <v>470</v>
      </c>
      <c r="B421" s="1169"/>
      <c r="C421" s="1169"/>
      <c r="D421" s="150"/>
      <c r="E421" s="150"/>
      <c r="F421" s="151" t="s">
        <v>472</v>
      </c>
      <c r="G421" s="151"/>
      <c r="H421" s="151"/>
      <c r="I421" s="151"/>
      <c r="J421" s="46"/>
    </row>
    <row r="422" spans="1:10" x14ac:dyDescent="0.3">
      <c r="A422" s="178"/>
      <c r="B422" s="178"/>
      <c r="C422" s="178"/>
      <c r="D422" s="1025" t="s">
        <v>279</v>
      </c>
      <c r="E422" s="1025"/>
      <c r="F422" s="1026" t="s">
        <v>280</v>
      </c>
      <c r="G422" s="1026"/>
      <c r="H422" s="1026"/>
      <c r="I422" s="1026"/>
      <c r="J422" s="45"/>
    </row>
    <row r="423" spans="1:10" x14ac:dyDescent="0.3">
      <c r="A423" s="178"/>
      <c r="B423" s="178"/>
      <c r="C423" s="178"/>
      <c r="D423" s="178"/>
      <c r="E423" s="178"/>
      <c r="F423" s="178"/>
      <c r="G423" s="45"/>
      <c r="H423" s="45"/>
      <c r="I423" s="45"/>
      <c r="J423" s="45"/>
    </row>
    <row r="424" spans="1:10" x14ac:dyDescent="0.3">
      <c r="A424" s="1152" t="s">
        <v>473</v>
      </c>
      <c r="B424" s="1152"/>
      <c r="C424" s="178"/>
      <c r="D424" s="178"/>
      <c r="E424" s="178"/>
      <c r="F424" s="178"/>
      <c r="G424" s="45"/>
      <c r="H424" s="45"/>
      <c r="I424" s="45"/>
      <c r="J424" s="45"/>
    </row>
    <row r="425" spans="1:10" x14ac:dyDescent="0.3">
      <c r="A425" s="178"/>
      <c r="B425" s="178"/>
      <c r="C425" s="178"/>
      <c r="D425" s="178"/>
      <c r="E425" s="178"/>
      <c r="F425" s="178"/>
      <c r="G425" s="45"/>
      <c r="H425" s="45"/>
      <c r="I425" s="45"/>
      <c r="J425" s="45"/>
    </row>
    <row r="426" spans="1:10" x14ac:dyDescent="0.3">
      <c r="A426" s="758"/>
      <c r="B426" s="758"/>
      <c r="C426" s="178"/>
      <c r="D426" s="178"/>
      <c r="E426" s="178"/>
      <c r="F426" s="178"/>
      <c r="G426" s="45"/>
      <c r="H426" s="45"/>
      <c r="I426" s="45"/>
      <c r="J426" s="45"/>
    </row>
  </sheetData>
  <mergeCells count="874">
    <mergeCell ref="E310:F310"/>
    <mergeCell ref="E311:F311"/>
    <mergeCell ref="B365:D365"/>
    <mergeCell ref="I365:J365"/>
    <mergeCell ref="B375:D375"/>
    <mergeCell ref="I375:J375"/>
    <mergeCell ref="A392:J392"/>
    <mergeCell ref="A394:J394"/>
    <mergeCell ref="B395:D395"/>
    <mergeCell ref="I395:J395"/>
    <mergeCell ref="B318:D318"/>
    <mergeCell ref="G318:H318"/>
    <mergeCell ref="I318:J318"/>
    <mergeCell ref="B319:D319"/>
    <mergeCell ref="G319:H319"/>
    <mergeCell ref="I319:J319"/>
    <mergeCell ref="A317:J317"/>
    <mergeCell ref="B315:D315"/>
    <mergeCell ref="G315:H315"/>
    <mergeCell ref="I315:J315"/>
    <mergeCell ref="B316:D316"/>
    <mergeCell ref="G316:H316"/>
    <mergeCell ref="I316:J316"/>
    <mergeCell ref="B320:D320"/>
    <mergeCell ref="B113:D113"/>
    <mergeCell ref="E113:F113"/>
    <mergeCell ref="I113:J113"/>
    <mergeCell ref="B116:D116"/>
    <mergeCell ref="E116:F116"/>
    <mergeCell ref="I116:J116"/>
    <mergeCell ref="A65:I65"/>
    <mergeCell ref="A66:B66"/>
    <mergeCell ref="A68:I68"/>
    <mergeCell ref="E72:G72"/>
    <mergeCell ref="B92:D92"/>
    <mergeCell ref="E92:F92"/>
    <mergeCell ref="G92:H92"/>
    <mergeCell ref="I92:J92"/>
    <mergeCell ref="A83:I83"/>
    <mergeCell ref="A85:J85"/>
    <mergeCell ref="A86:B86"/>
    <mergeCell ref="A87:I87"/>
    <mergeCell ref="A82:I82"/>
    <mergeCell ref="A89:J89"/>
    <mergeCell ref="B90:D90"/>
    <mergeCell ref="E90:F90"/>
    <mergeCell ref="A75:J75"/>
    <mergeCell ref="A71:A73"/>
    <mergeCell ref="B71:B73"/>
    <mergeCell ref="C71:C73"/>
    <mergeCell ref="D71:G71"/>
    <mergeCell ref="H71:H73"/>
    <mergeCell ref="I71:I73"/>
    <mergeCell ref="J71:J73"/>
    <mergeCell ref="D72:D73"/>
    <mergeCell ref="A56:J56"/>
    <mergeCell ref="A67:B67"/>
    <mergeCell ref="A51:J51"/>
    <mergeCell ref="A36:J36"/>
    <mergeCell ref="I9:I11"/>
    <mergeCell ref="J9:J11"/>
    <mergeCell ref="D10:D11"/>
    <mergeCell ref="A13:J13"/>
    <mergeCell ref="A14:J14"/>
    <mergeCell ref="A22:J22"/>
    <mergeCell ref="A23:J23"/>
    <mergeCell ref="A1:J1"/>
    <mergeCell ref="A2:J2"/>
    <mergeCell ref="A3:J3"/>
    <mergeCell ref="A5:J5"/>
    <mergeCell ref="A8:J8"/>
    <mergeCell ref="A9:A11"/>
    <mergeCell ref="B9:B11"/>
    <mergeCell ref="C9:C11"/>
    <mergeCell ref="D9:G9"/>
    <mergeCell ref="H9:H11"/>
    <mergeCell ref="E10:G10"/>
    <mergeCell ref="G105:H105"/>
    <mergeCell ref="B106:D106"/>
    <mergeCell ref="A99:J99"/>
    <mergeCell ref="A102:J102"/>
    <mergeCell ref="I90:J90"/>
    <mergeCell ref="B91:D91"/>
    <mergeCell ref="E91:F91"/>
    <mergeCell ref="G91:H91"/>
    <mergeCell ref="I91:J91"/>
    <mergeCell ref="E93:F93"/>
    <mergeCell ref="G93:H93"/>
    <mergeCell ref="E94:F94"/>
    <mergeCell ref="G94:H94"/>
    <mergeCell ref="A95:J95"/>
    <mergeCell ref="E96:F96"/>
    <mergeCell ref="B96:D96"/>
    <mergeCell ref="I96:J96"/>
    <mergeCell ref="B93:D93"/>
    <mergeCell ref="I93:J93"/>
    <mergeCell ref="B94:D94"/>
    <mergeCell ref="G90:H90"/>
    <mergeCell ref="B109:D109"/>
    <mergeCell ref="E109:F109"/>
    <mergeCell ref="I109:J109"/>
    <mergeCell ref="A110:J110"/>
    <mergeCell ref="B97:D97"/>
    <mergeCell ref="I97:J97"/>
    <mergeCell ref="G106:H106"/>
    <mergeCell ref="E100:F100"/>
    <mergeCell ref="E101:F101"/>
    <mergeCell ref="E103:F103"/>
    <mergeCell ref="E104:F104"/>
    <mergeCell ref="E105:F105"/>
    <mergeCell ref="E106:F106"/>
    <mergeCell ref="B100:D100"/>
    <mergeCell ref="B101:D101"/>
    <mergeCell ref="B103:D103"/>
    <mergeCell ref="B104:D104"/>
    <mergeCell ref="B105:D105"/>
    <mergeCell ref="E97:F97"/>
    <mergeCell ref="A98:J98"/>
    <mergeCell ref="B108:D108"/>
    <mergeCell ref="I108:J108"/>
    <mergeCell ref="A107:J107"/>
    <mergeCell ref="E108:F108"/>
    <mergeCell ref="B119:D119"/>
    <mergeCell ref="B120:D120"/>
    <mergeCell ref="B122:D122"/>
    <mergeCell ref="E122:F122"/>
    <mergeCell ref="B115:D115"/>
    <mergeCell ref="B117:D117"/>
    <mergeCell ref="E117:F117"/>
    <mergeCell ref="E115:F115"/>
    <mergeCell ref="I115:J115"/>
    <mergeCell ref="I117:J117"/>
    <mergeCell ref="A118:J118"/>
    <mergeCell ref="E119:F119"/>
    <mergeCell ref="I119:J119"/>
    <mergeCell ref="E120:F120"/>
    <mergeCell ref="I120:J120"/>
    <mergeCell ref="B121:D121"/>
    <mergeCell ref="E121:F121"/>
    <mergeCell ref="I121:J121"/>
    <mergeCell ref="I122:J122"/>
    <mergeCell ref="B132:F132"/>
    <mergeCell ref="G132:H132"/>
    <mergeCell ref="I132:J132"/>
    <mergeCell ref="B133:F133"/>
    <mergeCell ref="B134:F134"/>
    <mergeCell ref="B126:F126"/>
    <mergeCell ref="G126:H126"/>
    <mergeCell ref="I126:J126"/>
    <mergeCell ref="B127:F127"/>
    <mergeCell ref="G127:H127"/>
    <mergeCell ref="I127:J127"/>
    <mergeCell ref="B128:F128"/>
    <mergeCell ref="G128:H128"/>
    <mergeCell ref="I128:J128"/>
    <mergeCell ref="B130:F130"/>
    <mergeCell ref="G130:H130"/>
    <mergeCell ref="I130:J130"/>
    <mergeCell ref="B131:F131"/>
    <mergeCell ref="G131:H131"/>
    <mergeCell ref="I131:J131"/>
    <mergeCell ref="G133:H133"/>
    <mergeCell ref="I133:J133"/>
    <mergeCell ref="G134:H134"/>
    <mergeCell ref="I134:J134"/>
    <mergeCell ref="G150:H150"/>
    <mergeCell ref="I150:J150"/>
    <mergeCell ref="B137:F137"/>
    <mergeCell ref="B138:F138"/>
    <mergeCell ref="B139:F139"/>
    <mergeCell ref="B140:F140"/>
    <mergeCell ref="B141:F141"/>
    <mergeCell ref="B142:F142"/>
    <mergeCell ref="B143:F143"/>
    <mergeCell ref="G139:H139"/>
    <mergeCell ref="I139:J139"/>
    <mergeCell ref="G142:H142"/>
    <mergeCell ref="I142:J142"/>
    <mergeCell ref="G137:H137"/>
    <mergeCell ref="I137:J137"/>
    <mergeCell ref="G138:H138"/>
    <mergeCell ref="I138:J138"/>
    <mergeCell ref="G143:H143"/>
    <mergeCell ref="I143:J143"/>
    <mergeCell ref="G140:H140"/>
    <mergeCell ref="B149:F149"/>
    <mergeCell ref="B150:F150"/>
    <mergeCell ref="G149:H149"/>
    <mergeCell ref="I149:J149"/>
    <mergeCell ref="B151:F151"/>
    <mergeCell ref="B152:F152"/>
    <mergeCell ref="G151:H151"/>
    <mergeCell ref="I156:J156"/>
    <mergeCell ref="G157:H157"/>
    <mergeCell ref="I157:J157"/>
    <mergeCell ref="G154:H154"/>
    <mergeCell ref="I154:J154"/>
    <mergeCell ref="G155:H155"/>
    <mergeCell ref="I155:J155"/>
    <mergeCell ref="B153:F153"/>
    <mergeCell ref="G153:H153"/>
    <mergeCell ref="I153:J153"/>
    <mergeCell ref="B154:F154"/>
    <mergeCell ref="B155:F155"/>
    <mergeCell ref="B156:F156"/>
    <mergeCell ref="B157:F157"/>
    <mergeCell ref="I151:J151"/>
    <mergeCell ref="G152:H152"/>
    <mergeCell ref="I152:J152"/>
    <mergeCell ref="B172:D172"/>
    <mergeCell ref="E172:F172"/>
    <mergeCell ref="G172:H172"/>
    <mergeCell ref="I172:J172"/>
    <mergeCell ref="E173:F173"/>
    <mergeCell ref="B171:D171"/>
    <mergeCell ref="E171:F171"/>
    <mergeCell ref="G171:H171"/>
    <mergeCell ref="I171:J171"/>
    <mergeCell ref="I174:J174"/>
    <mergeCell ref="B175:D175"/>
    <mergeCell ref="G175:H175"/>
    <mergeCell ref="I175:J175"/>
    <mergeCell ref="B176:D176"/>
    <mergeCell ref="G176:H176"/>
    <mergeCell ref="I176:J176"/>
    <mergeCell ref="B173:C174"/>
    <mergeCell ref="E174:F174"/>
    <mergeCell ref="E175:F175"/>
    <mergeCell ref="E176:F176"/>
    <mergeCell ref="G173:H173"/>
    <mergeCell ref="I173:J173"/>
    <mergeCell ref="A173:A174"/>
    <mergeCell ref="B193:D193"/>
    <mergeCell ref="G193:H193"/>
    <mergeCell ref="I193:J193"/>
    <mergeCell ref="E193:F193"/>
    <mergeCell ref="E194:F194"/>
    <mergeCell ref="A195:J195"/>
    <mergeCell ref="B190:D190"/>
    <mergeCell ref="G190:H190"/>
    <mergeCell ref="I190:J190"/>
    <mergeCell ref="I182:J182"/>
    <mergeCell ref="B183:D183"/>
    <mergeCell ref="G183:H183"/>
    <mergeCell ref="I183:J183"/>
    <mergeCell ref="A179:J179"/>
    <mergeCell ref="B177:D177"/>
    <mergeCell ref="G177:H177"/>
    <mergeCell ref="I177:J177"/>
    <mergeCell ref="B178:D178"/>
    <mergeCell ref="G178:H178"/>
    <mergeCell ref="I178:J178"/>
    <mergeCell ref="E177:F177"/>
    <mergeCell ref="E178:F178"/>
    <mergeCell ref="G174:H174"/>
    <mergeCell ref="B199:D199"/>
    <mergeCell ref="G199:H199"/>
    <mergeCell ref="I199:J199"/>
    <mergeCell ref="A198:J198"/>
    <mergeCell ref="B200:D200"/>
    <mergeCell ref="G200:H200"/>
    <mergeCell ref="I200:J200"/>
    <mergeCell ref="B194:D194"/>
    <mergeCell ref="G194:H194"/>
    <mergeCell ref="I194:J194"/>
    <mergeCell ref="A123:J123"/>
    <mergeCell ref="B124:F124"/>
    <mergeCell ref="G124:H124"/>
    <mergeCell ref="I124:J124"/>
    <mergeCell ref="B125:F125"/>
    <mergeCell ref="G125:H125"/>
    <mergeCell ref="I125:J125"/>
    <mergeCell ref="B129:F129"/>
    <mergeCell ref="G129:H129"/>
    <mergeCell ref="I129:J129"/>
    <mergeCell ref="I140:J140"/>
    <mergeCell ref="G141:H141"/>
    <mergeCell ref="I141:J141"/>
    <mergeCell ref="G135:H135"/>
    <mergeCell ref="I135:J135"/>
    <mergeCell ref="G136:H136"/>
    <mergeCell ref="I136:J136"/>
    <mergeCell ref="B135:F135"/>
    <mergeCell ref="B136:F136"/>
    <mergeCell ref="B147:F147"/>
    <mergeCell ref="G147:H147"/>
    <mergeCell ref="I147:J147"/>
    <mergeCell ref="B148:F148"/>
    <mergeCell ref="G148:H148"/>
    <mergeCell ref="I148:J148"/>
    <mergeCell ref="G144:H144"/>
    <mergeCell ref="I144:J144"/>
    <mergeCell ref="G145:H145"/>
    <mergeCell ref="I145:J145"/>
    <mergeCell ref="B144:F144"/>
    <mergeCell ref="B145:F145"/>
    <mergeCell ref="B146:F146"/>
    <mergeCell ref="G146:H146"/>
    <mergeCell ref="I146:J146"/>
    <mergeCell ref="K157:L157"/>
    <mergeCell ref="A158:J158"/>
    <mergeCell ref="E162:F162"/>
    <mergeCell ref="E163:F163"/>
    <mergeCell ref="B165:D165"/>
    <mergeCell ref="E165:F165"/>
    <mergeCell ref="G165:H165"/>
    <mergeCell ref="I165:J165"/>
    <mergeCell ref="A168:J168"/>
    <mergeCell ref="A159:J159"/>
    <mergeCell ref="B163:D163"/>
    <mergeCell ref="G163:H163"/>
    <mergeCell ref="I163:J163"/>
    <mergeCell ref="B162:D162"/>
    <mergeCell ref="G162:H162"/>
    <mergeCell ref="I162:J162"/>
    <mergeCell ref="G167:H167"/>
    <mergeCell ref="I167:J167"/>
    <mergeCell ref="B166:D166"/>
    <mergeCell ref="E166:F166"/>
    <mergeCell ref="G166:H166"/>
    <mergeCell ref="I166:J166"/>
    <mergeCell ref="B167:D167"/>
    <mergeCell ref="E167:F167"/>
    <mergeCell ref="K179:L179"/>
    <mergeCell ref="E183:F183"/>
    <mergeCell ref="E184:F184"/>
    <mergeCell ref="E185:F185"/>
    <mergeCell ref="A186:J186"/>
    <mergeCell ref="A189:J189"/>
    <mergeCell ref="E190:F190"/>
    <mergeCell ref="E191:F191"/>
    <mergeCell ref="E192:F192"/>
    <mergeCell ref="B191:D191"/>
    <mergeCell ref="G191:H191"/>
    <mergeCell ref="I191:J191"/>
    <mergeCell ref="B192:D192"/>
    <mergeCell ref="G192:H192"/>
    <mergeCell ref="I192:J192"/>
    <mergeCell ref="B184:D184"/>
    <mergeCell ref="G184:H184"/>
    <mergeCell ref="I184:J184"/>
    <mergeCell ref="B185:D185"/>
    <mergeCell ref="G185:H185"/>
    <mergeCell ref="I185:J185"/>
    <mergeCell ref="B182:D182"/>
    <mergeCell ref="E182:F182"/>
    <mergeCell ref="G182:H182"/>
    <mergeCell ref="B201:D201"/>
    <mergeCell ref="G201:H201"/>
    <mergeCell ref="I201:J201"/>
    <mergeCell ref="B202:D202"/>
    <mergeCell ref="G202:H202"/>
    <mergeCell ref="I202:J202"/>
    <mergeCell ref="G203:H203"/>
    <mergeCell ref="I203:J203"/>
    <mergeCell ref="G204:H204"/>
    <mergeCell ref="I204:J204"/>
    <mergeCell ref="B203:D203"/>
    <mergeCell ref="B204:D204"/>
    <mergeCell ref="G205:H205"/>
    <mergeCell ref="I205:J205"/>
    <mergeCell ref="G206:H206"/>
    <mergeCell ref="I206:J206"/>
    <mergeCell ref="G207:H207"/>
    <mergeCell ref="I207:J207"/>
    <mergeCell ref="B208:D208"/>
    <mergeCell ref="G208:H208"/>
    <mergeCell ref="I208:J208"/>
    <mergeCell ref="B206:D206"/>
    <mergeCell ref="B207:D207"/>
    <mergeCell ref="B205:D205"/>
    <mergeCell ref="A210:J210"/>
    <mergeCell ref="B211:D211"/>
    <mergeCell ref="E211:F211"/>
    <mergeCell ref="G211:H211"/>
    <mergeCell ref="I211:J211"/>
    <mergeCell ref="B212:D212"/>
    <mergeCell ref="E212:F212"/>
    <mergeCell ref="G212:H212"/>
    <mergeCell ref="I212:J212"/>
    <mergeCell ref="B213:D213"/>
    <mergeCell ref="E213:F213"/>
    <mergeCell ref="G213:H213"/>
    <mergeCell ref="I213:J213"/>
    <mergeCell ref="B214:D214"/>
    <mergeCell ref="E214:F214"/>
    <mergeCell ref="G214:H214"/>
    <mergeCell ref="I214:J214"/>
    <mergeCell ref="A215:J215"/>
    <mergeCell ref="B216:D216"/>
    <mergeCell ref="F216:G216"/>
    <mergeCell ref="I216:J216"/>
    <mergeCell ref="B217:D217"/>
    <mergeCell ref="F217:G217"/>
    <mergeCell ref="I217:J217"/>
    <mergeCell ref="B218:D218"/>
    <mergeCell ref="F218:G218"/>
    <mergeCell ref="I218:J218"/>
    <mergeCell ref="B219:D219"/>
    <mergeCell ref="F219:G219"/>
    <mergeCell ref="I219:J219"/>
    <mergeCell ref="B220:D220"/>
    <mergeCell ref="F220:G220"/>
    <mergeCell ref="I220:J220"/>
    <mergeCell ref="B221:D221"/>
    <mergeCell ref="F221:G221"/>
    <mergeCell ref="I221:J221"/>
    <mergeCell ref="B222:D222"/>
    <mergeCell ref="F222:G222"/>
    <mergeCell ref="I222:J222"/>
    <mergeCell ref="B223:D223"/>
    <mergeCell ref="F223:G223"/>
    <mergeCell ref="I223:J223"/>
    <mergeCell ref="B224:D224"/>
    <mergeCell ref="F224:G224"/>
    <mergeCell ref="I224:J224"/>
    <mergeCell ref="B225:D225"/>
    <mergeCell ref="F225:G225"/>
    <mergeCell ref="I225:J225"/>
    <mergeCell ref="B226:D226"/>
    <mergeCell ref="F226:G226"/>
    <mergeCell ref="I226:J226"/>
    <mergeCell ref="B227:D227"/>
    <mergeCell ref="F227:G227"/>
    <mergeCell ref="I227:J227"/>
    <mergeCell ref="B228:D228"/>
    <mergeCell ref="F228:G228"/>
    <mergeCell ref="I228:J228"/>
    <mergeCell ref="B229:D229"/>
    <mergeCell ref="F229:G229"/>
    <mergeCell ref="I229:J229"/>
    <mergeCell ref="B230:D230"/>
    <mergeCell ref="F230:G230"/>
    <mergeCell ref="I230:J230"/>
    <mergeCell ref="B231:D231"/>
    <mergeCell ref="F231:G231"/>
    <mergeCell ref="I231:J231"/>
    <mergeCell ref="B232:D232"/>
    <mergeCell ref="F232:G232"/>
    <mergeCell ref="I232:J232"/>
    <mergeCell ref="B233:D233"/>
    <mergeCell ref="F233:G233"/>
    <mergeCell ref="I233:J233"/>
    <mergeCell ref="B234:D234"/>
    <mergeCell ref="F234:G234"/>
    <mergeCell ref="I234:J234"/>
    <mergeCell ref="B235:D235"/>
    <mergeCell ref="F235:G235"/>
    <mergeCell ref="I235:J235"/>
    <mergeCell ref="B236:D236"/>
    <mergeCell ref="F236:G236"/>
    <mergeCell ref="I236:J236"/>
    <mergeCell ref="A237:J237"/>
    <mergeCell ref="B238:D238"/>
    <mergeCell ref="E238:F238"/>
    <mergeCell ref="G238:H238"/>
    <mergeCell ref="I238:J238"/>
    <mergeCell ref="B239:D239"/>
    <mergeCell ref="E239:F239"/>
    <mergeCell ref="G239:H239"/>
    <mergeCell ref="I239:J239"/>
    <mergeCell ref="B240:D240"/>
    <mergeCell ref="E240:F240"/>
    <mergeCell ref="G240:H240"/>
    <mergeCell ref="I240:J240"/>
    <mergeCell ref="B241:D241"/>
    <mergeCell ref="E241:F241"/>
    <mergeCell ref="G241:H241"/>
    <mergeCell ref="I241:J241"/>
    <mergeCell ref="A242:J242"/>
    <mergeCell ref="B248:D248"/>
    <mergeCell ref="B252:D252"/>
    <mergeCell ref="B253:D253"/>
    <mergeCell ref="B254:D254"/>
    <mergeCell ref="A243:A244"/>
    <mergeCell ref="B243:D244"/>
    <mergeCell ref="E243:E244"/>
    <mergeCell ref="F243:F244"/>
    <mergeCell ref="A246:J246"/>
    <mergeCell ref="G243:J243"/>
    <mergeCell ref="B245:D245"/>
    <mergeCell ref="G245:J245"/>
    <mergeCell ref="B247:D247"/>
    <mergeCell ref="A251:J251"/>
    <mergeCell ref="B249:D249"/>
    <mergeCell ref="B250:D250"/>
    <mergeCell ref="B255:D255"/>
    <mergeCell ref="B256:D256"/>
    <mergeCell ref="B257:D257"/>
    <mergeCell ref="B258:D258"/>
    <mergeCell ref="B259:D259"/>
    <mergeCell ref="B260:D260"/>
    <mergeCell ref="B261:D261"/>
    <mergeCell ref="B262:D262"/>
    <mergeCell ref="B263:D263"/>
    <mergeCell ref="B270:D270"/>
    <mergeCell ref="E270:F270"/>
    <mergeCell ref="G270:J270"/>
    <mergeCell ref="B264:D264"/>
    <mergeCell ref="B265:D265"/>
    <mergeCell ref="B266:D266"/>
    <mergeCell ref="G266:J266"/>
    <mergeCell ref="A267:J267"/>
    <mergeCell ref="A268:A269"/>
    <mergeCell ref="B268:D269"/>
    <mergeCell ref="E268:F269"/>
    <mergeCell ref="G268:J268"/>
    <mergeCell ref="A271:J271"/>
    <mergeCell ref="B277:D277"/>
    <mergeCell ref="E277:F277"/>
    <mergeCell ref="B278:D278"/>
    <mergeCell ref="E278:F278"/>
    <mergeCell ref="B279:D279"/>
    <mergeCell ref="E279:F279"/>
    <mergeCell ref="B272:D272"/>
    <mergeCell ref="E272:F272"/>
    <mergeCell ref="B274:D274"/>
    <mergeCell ref="E274:F274"/>
    <mergeCell ref="B275:D275"/>
    <mergeCell ref="E275:F275"/>
    <mergeCell ref="B276:D276"/>
    <mergeCell ref="E276:F276"/>
    <mergeCell ref="A273:J273"/>
    <mergeCell ref="B290:D290"/>
    <mergeCell ref="E290:F290"/>
    <mergeCell ref="B291:D291"/>
    <mergeCell ref="B280:D280"/>
    <mergeCell ref="E280:F280"/>
    <mergeCell ref="B282:D282"/>
    <mergeCell ref="E282:F282"/>
    <mergeCell ref="B283:D283"/>
    <mergeCell ref="E283:F283"/>
    <mergeCell ref="A281:J281"/>
    <mergeCell ref="B302:D302"/>
    <mergeCell ref="E302:F302"/>
    <mergeCell ref="G302:H302"/>
    <mergeCell ref="I302:J302"/>
    <mergeCell ref="B303:D303"/>
    <mergeCell ref="E303:F303"/>
    <mergeCell ref="G303:H303"/>
    <mergeCell ref="I303:J303"/>
    <mergeCell ref="A304:J304"/>
    <mergeCell ref="B308:D308"/>
    <mergeCell ref="G308:H308"/>
    <mergeCell ref="I308:J308"/>
    <mergeCell ref="B313:D313"/>
    <mergeCell ref="G313:H313"/>
    <mergeCell ref="I313:J313"/>
    <mergeCell ref="B305:D305"/>
    <mergeCell ref="E305:F305"/>
    <mergeCell ref="G305:H305"/>
    <mergeCell ref="I305:J305"/>
    <mergeCell ref="B306:D306"/>
    <mergeCell ref="E306:F306"/>
    <mergeCell ref="G306:H306"/>
    <mergeCell ref="I306:J306"/>
    <mergeCell ref="B307:D307"/>
    <mergeCell ref="G307:H307"/>
    <mergeCell ref="I307:J307"/>
    <mergeCell ref="A309:J309"/>
    <mergeCell ref="B310:D310"/>
    <mergeCell ref="G310:H310"/>
    <mergeCell ref="I310:J310"/>
    <mergeCell ref="B311:D311"/>
    <mergeCell ref="G311:H311"/>
    <mergeCell ref="I311:J311"/>
    <mergeCell ref="G320:H320"/>
    <mergeCell ref="I320:J320"/>
    <mergeCell ref="B321:D321"/>
    <mergeCell ref="G321:H321"/>
    <mergeCell ref="I321:J321"/>
    <mergeCell ref="B322:D322"/>
    <mergeCell ref="E322:F322"/>
    <mergeCell ref="G322:H322"/>
    <mergeCell ref="I322:J322"/>
    <mergeCell ref="A323:J323"/>
    <mergeCell ref="A324:J324"/>
    <mergeCell ref="B325:D325"/>
    <mergeCell ref="E325:F325"/>
    <mergeCell ref="G325:H325"/>
    <mergeCell ref="I325:J325"/>
    <mergeCell ref="B326:D326"/>
    <mergeCell ref="E326:F326"/>
    <mergeCell ref="G326:H326"/>
    <mergeCell ref="I326:J326"/>
    <mergeCell ref="B328:D328"/>
    <mergeCell ref="G328:H328"/>
    <mergeCell ref="I328:J328"/>
    <mergeCell ref="B330:D330"/>
    <mergeCell ref="G330:H330"/>
    <mergeCell ref="I330:J330"/>
    <mergeCell ref="B331:D331"/>
    <mergeCell ref="G331:H331"/>
    <mergeCell ref="I331:J331"/>
    <mergeCell ref="B329:D329"/>
    <mergeCell ref="G329:H329"/>
    <mergeCell ref="I329:J329"/>
    <mergeCell ref="B335:D335"/>
    <mergeCell ref="E335:F335"/>
    <mergeCell ref="G335:H335"/>
    <mergeCell ref="I335:J335"/>
    <mergeCell ref="B337:D337"/>
    <mergeCell ref="G337:H337"/>
    <mergeCell ref="I337:J337"/>
    <mergeCell ref="B332:D332"/>
    <mergeCell ref="E332:F332"/>
    <mergeCell ref="G332:H332"/>
    <mergeCell ref="I332:J332"/>
    <mergeCell ref="A333:J333"/>
    <mergeCell ref="B334:D334"/>
    <mergeCell ref="E334:F334"/>
    <mergeCell ref="G334:H334"/>
    <mergeCell ref="I334:J334"/>
    <mergeCell ref="B338:D338"/>
    <mergeCell ref="G338:H338"/>
    <mergeCell ref="I338:J338"/>
    <mergeCell ref="B339:D339"/>
    <mergeCell ref="E339:F339"/>
    <mergeCell ref="G339:H339"/>
    <mergeCell ref="I339:J339"/>
    <mergeCell ref="A340:J340"/>
    <mergeCell ref="B341:D341"/>
    <mergeCell ref="E341:F341"/>
    <mergeCell ref="G341:H341"/>
    <mergeCell ref="I341:J341"/>
    <mergeCell ref="B345:D345"/>
    <mergeCell ref="G345:H345"/>
    <mergeCell ref="I345:J345"/>
    <mergeCell ref="B346:D346"/>
    <mergeCell ref="E346:F346"/>
    <mergeCell ref="G346:H346"/>
    <mergeCell ref="I346:J346"/>
    <mergeCell ref="A347:J347"/>
    <mergeCell ref="B348:D348"/>
    <mergeCell ref="B342:D342"/>
    <mergeCell ref="E342:F342"/>
    <mergeCell ref="G342:H342"/>
    <mergeCell ref="I342:J342"/>
    <mergeCell ref="B343:D343"/>
    <mergeCell ref="G343:H343"/>
    <mergeCell ref="I343:J343"/>
    <mergeCell ref="B344:D344"/>
    <mergeCell ref="G344:H344"/>
    <mergeCell ref="I344:J344"/>
    <mergeCell ref="I349:J349"/>
    <mergeCell ref="B360:D360"/>
    <mergeCell ref="G360:H360"/>
    <mergeCell ref="B350:D350"/>
    <mergeCell ref="G350:H350"/>
    <mergeCell ref="I350:J350"/>
    <mergeCell ref="B351:D351"/>
    <mergeCell ref="G351:H351"/>
    <mergeCell ref="I356:J356"/>
    <mergeCell ref="B358:D358"/>
    <mergeCell ref="G358:H358"/>
    <mergeCell ref="I358:J358"/>
    <mergeCell ref="B359:D359"/>
    <mergeCell ref="G359:H359"/>
    <mergeCell ref="I359:J359"/>
    <mergeCell ref="I360:J360"/>
    <mergeCell ref="G349:H349"/>
    <mergeCell ref="B367:D367"/>
    <mergeCell ref="E367:F367"/>
    <mergeCell ref="G367:H367"/>
    <mergeCell ref="I367:J367"/>
    <mergeCell ref="A368:J368"/>
    <mergeCell ref="B353:D353"/>
    <mergeCell ref="E353:F353"/>
    <mergeCell ref="G353:H353"/>
    <mergeCell ref="I353:J353"/>
    <mergeCell ref="A354:J354"/>
    <mergeCell ref="B355:D355"/>
    <mergeCell ref="E355:F355"/>
    <mergeCell ref="A386:J386"/>
    <mergeCell ref="B387:D387"/>
    <mergeCell ref="E387:F387"/>
    <mergeCell ref="G387:H387"/>
    <mergeCell ref="I387:J387"/>
    <mergeCell ref="B388:D388"/>
    <mergeCell ref="B369:D369"/>
    <mergeCell ref="E369:F369"/>
    <mergeCell ref="G369:H369"/>
    <mergeCell ref="I369:J369"/>
    <mergeCell ref="I384:J384"/>
    <mergeCell ref="A383:J383"/>
    <mergeCell ref="B384:D384"/>
    <mergeCell ref="B385:D385"/>
    <mergeCell ref="I374:J374"/>
    <mergeCell ref="G377:H377"/>
    <mergeCell ref="B376:D376"/>
    <mergeCell ref="G376:H376"/>
    <mergeCell ref="E377:F377"/>
    <mergeCell ref="E376:F376"/>
    <mergeCell ref="I377:J377"/>
    <mergeCell ref="B378:D378"/>
    <mergeCell ref="G378:H378"/>
    <mergeCell ref="I378:J378"/>
    <mergeCell ref="D415:H415"/>
    <mergeCell ref="I414:J414"/>
    <mergeCell ref="A389:J389"/>
    <mergeCell ref="B391:D391"/>
    <mergeCell ref="B393:D393"/>
    <mergeCell ref="I391:J391"/>
    <mergeCell ref="I393:J393"/>
    <mergeCell ref="I407:J407"/>
    <mergeCell ref="I409:J409"/>
    <mergeCell ref="A398:J398"/>
    <mergeCell ref="A399:A400"/>
    <mergeCell ref="B399:D400"/>
    <mergeCell ref="E399:F400"/>
    <mergeCell ref="G399:J399"/>
    <mergeCell ref="B401:D401"/>
    <mergeCell ref="B404:D404"/>
    <mergeCell ref="E404:F404"/>
    <mergeCell ref="B405:D405"/>
    <mergeCell ref="E405:F405"/>
    <mergeCell ref="G405:J405"/>
    <mergeCell ref="G397:H397"/>
    <mergeCell ref="I397:J397"/>
    <mergeCell ref="B397:D397"/>
    <mergeCell ref="A419:C419"/>
    <mergeCell ref="D420:E420"/>
    <mergeCell ref="F420:I420"/>
    <mergeCell ref="A421:C421"/>
    <mergeCell ref="D422:E422"/>
    <mergeCell ref="F422:I422"/>
    <mergeCell ref="I416:J416"/>
    <mergeCell ref="F416:H416"/>
    <mergeCell ref="F417:H417"/>
    <mergeCell ref="I417:J417"/>
    <mergeCell ref="A424:B424"/>
    <mergeCell ref="A426:B426"/>
    <mergeCell ref="I100:J100"/>
    <mergeCell ref="I101:J101"/>
    <mergeCell ref="I103:J103"/>
    <mergeCell ref="I104:J104"/>
    <mergeCell ref="I105:J105"/>
    <mergeCell ref="I106:J106"/>
    <mergeCell ref="G100:H100"/>
    <mergeCell ref="G101:H101"/>
    <mergeCell ref="G103:H103"/>
    <mergeCell ref="G104:H104"/>
    <mergeCell ref="I410:J410"/>
    <mergeCell ref="I411:J411"/>
    <mergeCell ref="I412:J412"/>
    <mergeCell ref="I413:J413"/>
    <mergeCell ref="B403:D403"/>
    <mergeCell ref="E403:F403"/>
    <mergeCell ref="E299:F299"/>
    <mergeCell ref="A298:J298"/>
    <mergeCell ref="B294:D294"/>
    <mergeCell ref="E294:F294"/>
    <mergeCell ref="G294:J294"/>
    <mergeCell ref="A295:J295"/>
    <mergeCell ref="E296:F296"/>
    <mergeCell ref="G296:H296"/>
    <mergeCell ref="I296:J296"/>
    <mergeCell ref="B297:D297"/>
    <mergeCell ref="E297:F297"/>
    <mergeCell ref="G297:H297"/>
    <mergeCell ref="I297:J297"/>
    <mergeCell ref="A164:J164"/>
    <mergeCell ref="E291:F291"/>
    <mergeCell ref="B292:D292"/>
    <mergeCell ref="E292:F292"/>
    <mergeCell ref="B293:D293"/>
    <mergeCell ref="E293:F293"/>
    <mergeCell ref="B284:D284"/>
    <mergeCell ref="E284:F284"/>
    <mergeCell ref="B285:D285"/>
    <mergeCell ref="E285:F285"/>
    <mergeCell ref="B286:D286"/>
    <mergeCell ref="B287:D287"/>
    <mergeCell ref="E287:F287"/>
    <mergeCell ref="B288:D288"/>
    <mergeCell ref="E288:F288"/>
    <mergeCell ref="B289:D289"/>
    <mergeCell ref="E289:F289"/>
    <mergeCell ref="E300:F300"/>
    <mergeCell ref="B402:D402"/>
    <mergeCell ref="B396:D396"/>
    <mergeCell ref="G396:H396"/>
    <mergeCell ref="I299:J299"/>
    <mergeCell ref="I300:J300"/>
    <mergeCell ref="I301:J301"/>
    <mergeCell ref="A312:J312"/>
    <mergeCell ref="A336:J336"/>
    <mergeCell ref="A357:J357"/>
    <mergeCell ref="B373:D373"/>
    <mergeCell ref="A371:J371"/>
    <mergeCell ref="I373:J373"/>
    <mergeCell ref="E360:F360"/>
    <mergeCell ref="B299:D299"/>
    <mergeCell ref="B356:D356"/>
    <mergeCell ref="E356:F356"/>
    <mergeCell ref="G356:H356"/>
    <mergeCell ref="G300:H300"/>
    <mergeCell ref="B372:D372"/>
    <mergeCell ref="G372:H372"/>
    <mergeCell ref="I372:J372"/>
    <mergeCell ref="G301:H301"/>
    <mergeCell ref="E348:F348"/>
    <mergeCell ref="B301:D301"/>
    <mergeCell ref="E402:F402"/>
    <mergeCell ref="I390:J390"/>
    <mergeCell ref="A314:J314"/>
    <mergeCell ref="G370:H370"/>
    <mergeCell ref="I370:J370"/>
    <mergeCell ref="I376:J376"/>
    <mergeCell ref="B377:D377"/>
    <mergeCell ref="B374:D374"/>
    <mergeCell ref="E396:F396"/>
    <mergeCell ref="I396:J396"/>
    <mergeCell ref="B390:D390"/>
    <mergeCell ref="G390:H390"/>
    <mergeCell ref="E401:F401"/>
    <mergeCell ref="G401:J401"/>
    <mergeCell ref="B370:D370"/>
    <mergeCell ref="E370:F370"/>
    <mergeCell ref="I364:J364"/>
    <mergeCell ref="G348:H348"/>
    <mergeCell ref="I348:J348"/>
    <mergeCell ref="E388:F388"/>
    <mergeCell ref="G388:H388"/>
    <mergeCell ref="I388:J388"/>
    <mergeCell ref="I385:J385"/>
    <mergeCell ref="A111:J111"/>
    <mergeCell ref="B112:D112"/>
    <mergeCell ref="E112:F112"/>
    <mergeCell ref="A114:J114"/>
    <mergeCell ref="I112:J112"/>
    <mergeCell ref="B382:D382"/>
    <mergeCell ref="E382:F382"/>
    <mergeCell ref="G382:H382"/>
    <mergeCell ref="I382:J382"/>
    <mergeCell ref="B379:D379"/>
    <mergeCell ref="E379:F379"/>
    <mergeCell ref="G379:H379"/>
    <mergeCell ref="I379:J379"/>
    <mergeCell ref="B380:D380"/>
    <mergeCell ref="G380:H380"/>
    <mergeCell ref="I380:J380"/>
    <mergeCell ref="B381:D381"/>
    <mergeCell ref="G381:H381"/>
    <mergeCell ref="I381:J381"/>
    <mergeCell ref="E301:F301"/>
    <mergeCell ref="G299:H299"/>
    <mergeCell ref="B364:D364"/>
    <mergeCell ref="B296:D296"/>
    <mergeCell ref="B300:D300"/>
    <mergeCell ref="G385:H385"/>
    <mergeCell ref="I418:J418"/>
    <mergeCell ref="I415:J415"/>
    <mergeCell ref="A327:J327"/>
    <mergeCell ref="A361:J361"/>
    <mergeCell ref="B362:D362"/>
    <mergeCell ref="B363:D363"/>
    <mergeCell ref="B366:D366"/>
    <mergeCell ref="G362:H362"/>
    <mergeCell ref="I362:J362"/>
    <mergeCell ref="I363:J363"/>
    <mergeCell ref="E366:F366"/>
    <mergeCell ref="G366:H366"/>
    <mergeCell ref="I366:J366"/>
    <mergeCell ref="I351:J351"/>
    <mergeCell ref="B352:D352"/>
    <mergeCell ref="G352:H352"/>
    <mergeCell ref="I352:J352"/>
    <mergeCell ref="G355:H355"/>
    <mergeCell ref="I355:J355"/>
    <mergeCell ref="B349:D349"/>
    <mergeCell ref="E349:F349"/>
    <mergeCell ref="G414:H414"/>
    <mergeCell ref="G384:H384"/>
  </mergeCells>
  <printOptions horizontalCentered="1"/>
  <pageMargins left="0.59055118110236227" right="0.19685039370078741" top="0.39370078740157483" bottom="0.39370078740157483" header="0.31496062992125984" footer="0.31496062992125984"/>
  <pageSetup paperSize="9" scale="66" fitToHeight="2" orientation="portrait" r:id="rId1"/>
  <rowBreaks count="1" manualBreakCount="1">
    <brk id="9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03"/>
  <sheetViews>
    <sheetView zoomScaleSheetLayoutView="100" workbookViewId="0">
      <selection activeCell="A400" sqref="A1:J400"/>
    </sheetView>
  </sheetViews>
  <sheetFormatPr defaultColWidth="9.109375" defaultRowHeight="14.4" x14ac:dyDescent="0.3"/>
  <cols>
    <col min="1" max="1" width="5.109375" style="1" customWidth="1"/>
    <col min="2" max="2" width="25" style="1" customWidth="1"/>
    <col min="3" max="3" width="9.109375" style="1"/>
    <col min="4" max="4" width="17.109375" style="1" customWidth="1"/>
    <col min="5" max="5" width="13.109375" style="1" customWidth="1"/>
    <col min="6" max="6" width="10.6640625" style="1" customWidth="1"/>
    <col min="7" max="7" width="12.33203125" style="1" customWidth="1"/>
    <col min="8" max="8" width="10.6640625" style="1" customWidth="1"/>
    <col min="9" max="9" width="11.5546875" style="1" customWidth="1"/>
    <col min="10" max="10" width="24.88671875" style="1" customWidth="1"/>
    <col min="11" max="11" width="16.44140625" style="1" customWidth="1"/>
    <col min="12" max="12" width="18.109375" style="1" customWidth="1"/>
    <col min="13" max="13" width="9.6640625" style="1" customWidth="1"/>
    <col min="14" max="14" width="14" style="1" customWidth="1"/>
    <col min="15" max="16384" width="9.109375" style="1"/>
  </cols>
  <sheetData>
    <row r="1" spans="1:11" ht="26.25" customHeight="1" x14ac:dyDescent="0.3">
      <c r="A1" s="1344" t="s">
        <v>68</v>
      </c>
      <c r="B1" s="1344"/>
      <c r="C1" s="1344"/>
      <c r="D1" s="1344"/>
      <c r="E1" s="1344"/>
      <c r="F1" s="1344"/>
      <c r="G1" s="1344"/>
      <c r="H1" s="1344"/>
      <c r="I1" s="1344"/>
      <c r="J1" s="1344"/>
    </row>
    <row r="2" spans="1:11" ht="17.25" customHeight="1" x14ac:dyDescent="0.3">
      <c r="A2" s="1344" t="s">
        <v>474</v>
      </c>
      <c r="B2" s="1344"/>
      <c r="C2" s="1344"/>
      <c r="D2" s="1344"/>
      <c r="E2" s="1344"/>
      <c r="F2" s="1344"/>
      <c r="G2" s="1344"/>
      <c r="H2" s="1344"/>
      <c r="I2" s="1344"/>
      <c r="J2" s="1344"/>
    </row>
    <row r="3" spans="1:11" ht="47.25" customHeight="1" x14ac:dyDescent="0.3">
      <c r="A3" s="1344" t="s">
        <v>590</v>
      </c>
      <c r="B3" s="1344"/>
      <c r="C3" s="1344"/>
      <c r="D3" s="1344"/>
      <c r="E3" s="1344"/>
      <c r="F3" s="1344"/>
      <c r="G3" s="1344"/>
      <c r="H3" s="1344"/>
      <c r="I3" s="1344"/>
      <c r="J3" s="1344"/>
    </row>
    <row r="4" spans="1:11" ht="15.6" x14ac:dyDescent="0.3">
      <c r="A4" s="89"/>
      <c r="B4" s="90"/>
      <c r="C4" s="90"/>
      <c r="D4" s="91" t="s">
        <v>267</v>
      </c>
      <c r="E4" s="296">
        <v>2023</v>
      </c>
      <c r="F4" s="92" t="s">
        <v>598</v>
      </c>
      <c r="G4" s="90"/>
      <c r="H4" s="90"/>
      <c r="I4" s="90"/>
      <c r="J4" s="90"/>
    </row>
    <row r="5" spans="1:11" ht="15.6" x14ac:dyDescent="0.3">
      <c r="A5" s="1218" t="s">
        <v>0</v>
      </c>
      <c r="B5" s="1218"/>
      <c r="C5" s="1218"/>
      <c r="D5" s="1218"/>
      <c r="E5" s="1218"/>
      <c r="F5" s="1218"/>
      <c r="G5" s="1218"/>
      <c r="H5" s="1218"/>
      <c r="I5" s="1218"/>
      <c r="J5" s="1218"/>
    </row>
    <row r="6" spans="1:11" ht="19.5" customHeight="1" x14ac:dyDescent="0.3">
      <c r="A6" s="89" t="s">
        <v>80</v>
      </c>
      <c r="B6" s="90"/>
      <c r="C6" s="93">
        <v>111</v>
      </c>
      <c r="D6" s="93">
        <v>112</v>
      </c>
      <c r="E6" s="93">
        <v>119</v>
      </c>
      <c r="F6" s="94"/>
      <c r="G6" s="94"/>
      <c r="H6" s="94"/>
      <c r="I6" s="94"/>
      <c r="J6" s="94"/>
    </row>
    <row r="7" spans="1:11" ht="22.5" customHeight="1" x14ac:dyDescent="0.3">
      <c r="A7" s="89" t="s">
        <v>81</v>
      </c>
      <c r="B7" s="90"/>
      <c r="C7" s="90"/>
      <c r="D7" s="90"/>
      <c r="E7" s="95" t="s">
        <v>82</v>
      </c>
      <c r="F7" s="96"/>
      <c r="G7" s="95"/>
      <c r="H7" s="96"/>
      <c r="I7" s="96"/>
      <c r="J7" s="96"/>
    </row>
    <row r="8" spans="1:11" ht="21" customHeight="1" x14ac:dyDescent="0.3">
      <c r="A8" s="1214" t="s">
        <v>357</v>
      </c>
      <c r="B8" s="1214"/>
      <c r="C8" s="1214"/>
      <c r="D8" s="1214"/>
      <c r="E8" s="1214"/>
      <c r="F8" s="1214"/>
      <c r="G8" s="1214"/>
      <c r="H8" s="1214"/>
      <c r="I8" s="1214"/>
      <c r="J8" s="1214"/>
    </row>
    <row r="9" spans="1:11" x14ac:dyDescent="0.3">
      <c r="A9" s="1345" t="s">
        <v>1</v>
      </c>
      <c r="B9" s="1346" t="s">
        <v>2</v>
      </c>
      <c r="C9" s="1346" t="s">
        <v>3</v>
      </c>
      <c r="D9" s="1345" t="s">
        <v>4</v>
      </c>
      <c r="E9" s="1345"/>
      <c r="F9" s="1345"/>
      <c r="G9" s="1345"/>
      <c r="H9" s="1345" t="s">
        <v>5</v>
      </c>
      <c r="I9" s="1346" t="s">
        <v>6</v>
      </c>
      <c r="J9" s="1346" t="s">
        <v>312</v>
      </c>
    </row>
    <row r="10" spans="1:11" ht="33" customHeight="1" x14ac:dyDescent="0.3">
      <c r="A10" s="1345"/>
      <c r="B10" s="1346"/>
      <c r="C10" s="1346"/>
      <c r="D10" s="1346" t="s">
        <v>8</v>
      </c>
      <c r="E10" s="1346" t="s">
        <v>9</v>
      </c>
      <c r="F10" s="1346"/>
      <c r="G10" s="1346"/>
      <c r="H10" s="1345"/>
      <c r="I10" s="1346"/>
      <c r="J10" s="1346"/>
    </row>
    <row r="11" spans="1:11" ht="69" x14ac:dyDescent="0.3">
      <c r="A11" s="1345"/>
      <c r="B11" s="1346"/>
      <c r="C11" s="1346"/>
      <c r="D11" s="1346"/>
      <c r="E11" s="182" t="s">
        <v>10</v>
      </c>
      <c r="F11" s="182" t="s">
        <v>11</v>
      </c>
      <c r="G11" s="182" t="s">
        <v>12</v>
      </c>
      <c r="H11" s="1345"/>
      <c r="I11" s="1346"/>
      <c r="J11" s="1346"/>
    </row>
    <row r="12" spans="1:11" ht="14.25" customHeight="1" x14ac:dyDescent="0.3">
      <c r="A12" s="180">
        <v>1</v>
      </c>
      <c r="B12" s="180">
        <v>2</v>
      </c>
      <c r="C12" s="180">
        <v>3</v>
      </c>
      <c r="D12" s="180">
        <v>4</v>
      </c>
      <c r="E12" s="180">
        <v>5</v>
      </c>
      <c r="F12" s="180">
        <v>6</v>
      </c>
      <c r="G12" s="180">
        <v>7</v>
      </c>
      <c r="H12" s="180">
        <v>8</v>
      </c>
      <c r="I12" s="180">
        <v>9</v>
      </c>
      <c r="J12" s="180">
        <v>10</v>
      </c>
    </row>
    <row r="13" spans="1:11" s="41" customFormat="1" ht="13.8" x14ac:dyDescent="0.3">
      <c r="A13" s="1352" t="s">
        <v>358</v>
      </c>
      <c r="B13" s="1346"/>
      <c r="C13" s="1346"/>
      <c r="D13" s="1346"/>
      <c r="E13" s="1346"/>
      <c r="F13" s="1346"/>
      <c r="G13" s="1346"/>
      <c r="H13" s="1346"/>
      <c r="I13" s="1346"/>
      <c r="J13" s="1346"/>
    </row>
    <row r="14" spans="1:11" s="41" customFormat="1" ht="13.8" x14ac:dyDescent="0.3">
      <c r="A14" s="1353" t="s">
        <v>475</v>
      </c>
      <c r="B14" s="1354"/>
      <c r="C14" s="1354"/>
      <c r="D14" s="1354"/>
      <c r="E14" s="1354"/>
      <c r="F14" s="1354"/>
      <c r="G14" s="1354"/>
      <c r="H14" s="1354"/>
      <c r="I14" s="1354"/>
      <c r="J14" s="1354"/>
    </row>
    <row r="15" spans="1:11" ht="20.25" hidden="1" customHeight="1" x14ac:dyDescent="0.3">
      <c r="A15" s="186">
        <v>1</v>
      </c>
      <c r="B15" s="111" t="s">
        <v>261</v>
      </c>
      <c r="C15" s="186"/>
      <c r="D15" s="112">
        <f>E15+F15+G15</f>
        <v>95000</v>
      </c>
      <c r="E15" s="112">
        <v>75000</v>
      </c>
      <c r="F15" s="112">
        <v>0</v>
      </c>
      <c r="G15" s="112">
        <v>20000</v>
      </c>
      <c r="H15" s="113">
        <v>50</v>
      </c>
      <c r="I15" s="186">
        <v>1.7</v>
      </c>
      <c r="J15" s="114">
        <f>((C15*D15*(H15/100+I15))*12)</f>
        <v>0</v>
      </c>
      <c r="K15" s="137"/>
    </row>
    <row r="16" spans="1:11" ht="45" customHeight="1" x14ac:dyDescent="0.3">
      <c r="A16" s="186">
        <v>1</v>
      </c>
      <c r="B16" s="111" t="s">
        <v>476</v>
      </c>
      <c r="C16" s="534">
        <v>0.04</v>
      </c>
      <c r="D16" s="112">
        <f t="shared" ref="D16:D63" si="0">E16+F16+G16</f>
        <v>6600</v>
      </c>
      <c r="E16" s="112">
        <v>3000</v>
      </c>
      <c r="F16" s="112">
        <v>2600</v>
      </c>
      <c r="G16" s="112">
        <v>1000</v>
      </c>
      <c r="H16" s="113">
        <v>50</v>
      </c>
      <c r="I16" s="186">
        <v>1.7</v>
      </c>
      <c r="J16" s="114">
        <f>((C16*D16*(H16/100+I16))*12)*1.2</f>
        <v>8363.52</v>
      </c>
    </row>
    <row r="17" spans="1:12" ht="45" hidden="1" customHeight="1" x14ac:dyDescent="0.3">
      <c r="A17" s="186">
        <v>3</v>
      </c>
      <c r="B17" s="111" t="s">
        <v>477</v>
      </c>
      <c r="C17" s="534"/>
      <c r="D17" s="112"/>
      <c r="E17" s="112">
        <v>37800</v>
      </c>
      <c r="F17" s="112">
        <v>0</v>
      </c>
      <c r="G17" s="112">
        <f t="shared" ref="G17:G19" si="1">E17*20%</f>
        <v>7560</v>
      </c>
      <c r="H17" s="113">
        <v>50</v>
      </c>
      <c r="I17" s="186">
        <v>1.7</v>
      </c>
      <c r="J17" s="114">
        <f t="shared" ref="J17:J20" si="2">((C17*D17*(H17/100+I17))*12)*1.2</f>
        <v>0</v>
      </c>
    </row>
    <row r="18" spans="1:12" ht="45" hidden="1" customHeight="1" x14ac:dyDescent="0.3">
      <c r="A18" s="186">
        <v>4</v>
      </c>
      <c r="B18" s="111" t="s">
        <v>478</v>
      </c>
      <c r="C18" s="534"/>
      <c r="D18" s="112"/>
      <c r="E18" s="112">
        <v>37800</v>
      </c>
      <c r="F18" s="112">
        <v>0</v>
      </c>
      <c r="G18" s="112">
        <f t="shared" si="1"/>
        <v>7560</v>
      </c>
      <c r="H18" s="113">
        <v>50</v>
      </c>
      <c r="I18" s="186">
        <v>17</v>
      </c>
      <c r="J18" s="114">
        <f t="shared" si="2"/>
        <v>0</v>
      </c>
      <c r="L18" s="1">
        <f>((C18*D18+(H18/100+I18)*12))</f>
        <v>210</v>
      </c>
    </row>
    <row r="19" spans="1:12" ht="49.5" hidden="1" customHeight="1" x14ac:dyDescent="0.3">
      <c r="A19" s="186">
        <v>5</v>
      </c>
      <c r="B19" s="111" t="s">
        <v>479</v>
      </c>
      <c r="C19" s="534"/>
      <c r="D19" s="112"/>
      <c r="E19" s="112">
        <v>37800</v>
      </c>
      <c r="F19" s="112">
        <v>0</v>
      </c>
      <c r="G19" s="112">
        <f t="shared" si="1"/>
        <v>7560</v>
      </c>
      <c r="H19" s="113">
        <v>50</v>
      </c>
      <c r="I19" s="186">
        <v>1.7</v>
      </c>
      <c r="J19" s="114">
        <f t="shared" si="2"/>
        <v>0</v>
      </c>
    </row>
    <row r="20" spans="1:12" x14ac:dyDescent="0.3">
      <c r="A20" s="186">
        <v>2</v>
      </c>
      <c r="B20" s="111" t="s">
        <v>262</v>
      </c>
      <c r="C20" s="534">
        <v>0.03</v>
      </c>
      <c r="D20" s="112">
        <f t="shared" si="0"/>
        <v>7100</v>
      </c>
      <c r="E20" s="112">
        <v>3000</v>
      </c>
      <c r="F20" s="112">
        <v>2600</v>
      </c>
      <c r="G20" s="112">
        <v>1500</v>
      </c>
      <c r="H20" s="113">
        <v>50</v>
      </c>
      <c r="I20" s="186">
        <v>1.7</v>
      </c>
      <c r="J20" s="114">
        <f t="shared" si="2"/>
        <v>6747.8400000000011</v>
      </c>
    </row>
    <row r="21" spans="1:12" ht="27.6" x14ac:dyDescent="0.3">
      <c r="A21" s="115"/>
      <c r="B21" s="116" t="s">
        <v>480</v>
      </c>
      <c r="C21" s="117">
        <f>SUM(C15:C20)</f>
        <v>7.0000000000000007E-2</v>
      </c>
      <c r="D21" s="118">
        <f>SUM(D15:D20)</f>
        <v>108700</v>
      </c>
      <c r="E21" s="117" t="s">
        <v>14</v>
      </c>
      <c r="F21" s="117" t="s">
        <v>14</v>
      </c>
      <c r="G21" s="117" t="s">
        <v>14</v>
      </c>
      <c r="H21" s="117" t="s">
        <v>14</v>
      </c>
      <c r="I21" s="117" t="s">
        <v>14</v>
      </c>
      <c r="J21" s="118">
        <f>SUM(J15:J20)</f>
        <v>15111.36</v>
      </c>
      <c r="K21" s="138"/>
    </row>
    <row r="22" spans="1:12" x14ac:dyDescent="0.3">
      <c r="A22" s="1347" t="s">
        <v>481</v>
      </c>
      <c r="B22" s="1348"/>
      <c r="C22" s="1348"/>
      <c r="D22" s="1348"/>
      <c r="E22" s="1348"/>
      <c r="F22" s="1348"/>
      <c r="G22" s="1348"/>
      <c r="H22" s="1348"/>
      <c r="I22" s="1348"/>
      <c r="J22" s="1348"/>
    </row>
    <row r="23" spans="1:12" ht="18.75" customHeight="1" x14ac:dyDescent="0.3">
      <c r="A23" s="1349" t="s">
        <v>482</v>
      </c>
      <c r="B23" s="1350"/>
      <c r="C23" s="1350"/>
      <c r="D23" s="1350"/>
      <c r="E23" s="1350"/>
      <c r="F23" s="1350"/>
      <c r="G23" s="1350"/>
      <c r="H23" s="1350"/>
      <c r="I23" s="1350"/>
      <c r="J23" s="1351"/>
    </row>
    <row r="24" spans="1:12" hidden="1" x14ac:dyDescent="0.3">
      <c r="A24" s="186">
        <v>1</v>
      </c>
      <c r="B24" s="111" t="s">
        <v>483</v>
      </c>
      <c r="C24" s="186"/>
      <c r="D24" s="112">
        <f>E24+F24+G24</f>
        <v>12240</v>
      </c>
      <c r="E24" s="136">
        <v>10200</v>
      </c>
      <c r="F24" s="112">
        <v>0</v>
      </c>
      <c r="G24" s="112">
        <f>E24*20%</f>
        <v>2040</v>
      </c>
      <c r="H24" s="113">
        <v>50</v>
      </c>
      <c r="I24" s="186">
        <v>1.7</v>
      </c>
      <c r="J24" s="141">
        <f>(C24*D24*(H24/100+I24))*13.8</f>
        <v>0</v>
      </c>
      <c r="K24" s="134"/>
    </row>
    <row r="25" spans="1:12" ht="69" hidden="1" x14ac:dyDescent="0.3">
      <c r="A25" s="186">
        <v>2</v>
      </c>
      <c r="B25" s="111" t="s">
        <v>484</v>
      </c>
      <c r="C25" s="186"/>
      <c r="D25" s="112">
        <f t="shared" si="0"/>
        <v>30000</v>
      </c>
      <c r="E25" s="136">
        <v>25000</v>
      </c>
      <c r="F25" s="112">
        <v>0</v>
      </c>
      <c r="G25" s="112">
        <v>5000</v>
      </c>
      <c r="H25" s="113">
        <v>50</v>
      </c>
      <c r="I25" s="186">
        <v>1.7</v>
      </c>
      <c r="J25" s="141">
        <f>(C25*D25*(H25/100+I25))*13</f>
        <v>0</v>
      </c>
    </row>
    <row r="26" spans="1:12" hidden="1" x14ac:dyDescent="0.3">
      <c r="A26" s="186">
        <v>3</v>
      </c>
      <c r="B26" s="111" t="s">
        <v>323</v>
      </c>
      <c r="C26" s="186"/>
      <c r="D26" s="112">
        <f t="shared" si="0"/>
        <v>37800</v>
      </c>
      <c r="E26" s="136">
        <v>31500</v>
      </c>
      <c r="F26" s="112">
        <v>0</v>
      </c>
      <c r="G26" s="112">
        <f t="shared" ref="G26:G48" si="3">E26*20%</f>
        <v>6300</v>
      </c>
      <c r="H26" s="113">
        <v>50</v>
      </c>
      <c r="I26" s="186">
        <v>1.7</v>
      </c>
      <c r="J26" s="141">
        <f>(C26*D26*(H26/100+I26))*11.4</f>
        <v>0</v>
      </c>
    </row>
    <row r="27" spans="1:12" hidden="1" x14ac:dyDescent="0.3">
      <c r="A27" s="186">
        <v>4</v>
      </c>
      <c r="B27" s="111" t="s">
        <v>485</v>
      </c>
      <c r="C27" s="186"/>
      <c r="D27" s="112">
        <f t="shared" si="0"/>
        <v>17400</v>
      </c>
      <c r="E27" s="136">
        <v>14500</v>
      </c>
      <c r="F27" s="112">
        <v>0</v>
      </c>
      <c r="G27" s="112">
        <f t="shared" si="3"/>
        <v>2900</v>
      </c>
      <c r="H27" s="113">
        <v>50</v>
      </c>
      <c r="I27" s="186">
        <v>1.7</v>
      </c>
      <c r="J27" s="141">
        <f>(C27*D27*(H27/100+I27))*14.6</f>
        <v>0</v>
      </c>
    </row>
    <row r="28" spans="1:12" hidden="1" x14ac:dyDescent="0.3">
      <c r="A28" s="186">
        <v>5</v>
      </c>
      <c r="B28" s="111" t="s">
        <v>324</v>
      </c>
      <c r="C28" s="186"/>
      <c r="D28" s="112">
        <f t="shared" si="0"/>
        <v>36000</v>
      </c>
      <c r="E28" s="136">
        <v>30000</v>
      </c>
      <c r="F28" s="112">
        <v>0</v>
      </c>
      <c r="G28" s="112">
        <f t="shared" si="3"/>
        <v>6000</v>
      </c>
      <c r="H28" s="113">
        <v>50</v>
      </c>
      <c r="I28" s="186">
        <v>1.7</v>
      </c>
      <c r="J28" s="141">
        <f t="shared" ref="J28" si="4">(C28*D28*(H28/100+I28))*14.6</f>
        <v>0</v>
      </c>
    </row>
    <row r="29" spans="1:12" ht="14.25" customHeight="1" x14ac:dyDescent="0.3">
      <c r="A29" s="186">
        <v>1</v>
      </c>
      <c r="B29" s="111" t="s">
        <v>322</v>
      </c>
      <c r="C29" s="534">
        <v>0.1</v>
      </c>
      <c r="D29" s="112">
        <f t="shared" si="0"/>
        <v>4100</v>
      </c>
      <c r="E29" s="136">
        <v>2000</v>
      </c>
      <c r="F29" s="112">
        <v>1100</v>
      </c>
      <c r="G29" s="112">
        <v>1000</v>
      </c>
      <c r="H29" s="113">
        <v>50</v>
      </c>
      <c r="I29" s="186">
        <v>1.7</v>
      </c>
      <c r="J29" s="114">
        <f>((C29*D29*(H29/100+I29))*12)*1.2+52.016</f>
        <v>13040.816000000001</v>
      </c>
    </row>
    <row r="30" spans="1:12" ht="14.25" hidden="1" customHeight="1" x14ac:dyDescent="0.3">
      <c r="A30" s="186">
        <v>7</v>
      </c>
      <c r="B30" s="111" t="s">
        <v>321</v>
      </c>
      <c r="C30" s="534"/>
      <c r="D30" s="112">
        <f t="shared" si="0"/>
        <v>30000</v>
      </c>
      <c r="E30" s="136">
        <v>25000</v>
      </c>
      <c r="F30" s="112">
        <v>0</v>
      </c>
      <c r="G30" s="112">
        <f t="shared" ref="G30:G32" si="5">E30*20%</f>
        <v>5000</v>
      </c>
      <c r="H30" s="113">
        <v>50</v>
      </c>
      <c r="I30" s="186">
        <v>1.7</v>
      </c>
      <c r="J30" s="114">
        <f t="shared" ref="J30:J34" si="6">((C30*D30*(H30/100+I30))*12)*1.2</f>
        <v>0</v>
      </c>
    </row>
    <row r="31" spans="1:12" ht="27.6" hidden="1" x14ac:dyDescent="0.3">
      <c r="A31" s="186">
        <v>6</v>
      </c>
      <c r="B31" s="111" t="s">
        <v>486</v>
      </c>
      <c r="C31" s="534"/>
      <c r="D31" s="112">
        <f t="shared" si="0"/>
        <v>14400</v>
      </c>
      <c r="E31" s="136">
        <v>12000</v>
      </c>
      <c r="F31" s="112">
        <v>0</v>
      </c>
      <c r="G31" s="112">
        <f t="shared" si="5"/>
        <v>2400</v>
      </c>
      <c r="H31" s="113">
        <v>50</v>
      </c>
      <c r="I31" s="186">
        <v>1.7</v>
      </c>
      <c r="J31" s="114">
        <f t="shared" si="6"/>
        <v>0</v>
      </c>
      <c r="K31" s="86"/>
    </row>
    <row r="32" spans="1:12" ht="20.25" customHeight="1" x14ac:dyDescent="0.3">
      <c r="A32" s="186">
        <v>2</v>
      </c>
      <c r="B32" s="111" t="s">
        <v>323</v>
      </c>
      <c r="C32" s="534">
        <v>0.1</v>
      </c>
      <c r="D32" s="112">
        <f t="shared" si="0"/>
        <v>3500</v>
      </c>
      <c r="E32" s="136">
        <v>2000</v>
      </c>
      <c r="F32" s="112">
        <v>1100</v>
      </c>
      <c r="G32" s="112">
        <f t="shared" si="5"/>
        <v>400</v>
      </c>
      <c r="H32" s="113">
        <v>50</v>
      </c>
      <c r="I32" s="186">
        <v>1.7</v>
      </c>
      <c r="J32" s="114">
        <f t="shared" si="6"/>
        <v>11088.000000000002</v>
      </c>
      <c r="K32" s="86"/>
    </row>
    <row r="33" spans="1:11" ht="14.25" customHeight="1" x14ac:dyDescent="0.3">
      <c r="A33" s="186">
        <v>3</v>
      </c>
      <c r="B33" s="111" t="s">
        <v>906</v>
      </c>
      <c r="C33" s="534">
        <v>1</v>
      </c>
      <c r="D33" s="112">
        <f t="shared" si="0"/>
        <v>1533</v>
      </c>
      <c r="E33" s="136">
        <v>1000</v>
      </c>
      <c r="F33" s="112">
        <v>333</v>
      </c>
      <c r="G33" s="112">
        <v>200</v>
      </c>
      <c r="H33" s="113">
        <v>50</v>
      </c>
      <c r="I33" s="186">
        <v>1.7</v>
      </c>
      <c r="J33" s="114">
        <f t="shared" si="6"/>
        <v>48565.440000000002</v>
      </c>
      <c r="K33" s="86"/>
    </row>
    <row r="34" spans="1:11" x14ac:dyDescent="0.3">
      <c r="A34" s="186">
        <v>4</v>
      </c>
      <c r="B34" s="111" t="s">
        <v>905</v>
      </c>
      <c r="C34" s="186">
        <v>1.1000000000000001</v>
      </c>
      <c r="D34" s="112">
        <f t="shared" si="0"/>
        <v>600</v>
      </c>
      <c r="E34" s="136">
        <v>500</v>
      </c>
      <c r="F34" s="112">
        <v>0</v>
      </c>
      <c r="G34" s="112">
        <f t="shared" si="3"/>
        <v>100</v>
      </c>
      <c r="H34" s="113">
        <v>50</v>
      </c>
      <c r="I34" s="186">
        <v>1.7</v>
      </c>
      <c r="J34" s="114">
        <f t="shared" si="6"/>
        <v>20908.800000000003</v>
      </c>
      <c r="K34" s="86"/>
    </row>
    <row r="35" spans="1:11" s="217" customFormat="1" x14ac:dyDescent="0.3">
      <c r="A35" s="214"/>
      <c r="B35" s="215" t="s">
        <v>489</v>
      </c>
      <c r="C35" s="214">
        <f>SUM(C24:C34)</f>
        <v>2.2999999999999998</v>
      </c>
      <c r="D35" s="214">
        <f t="shared" ref="D35:J35" si="7">SUM(D24:D34)</f>
        <v>187573</v>
      </c>
      <c r="E35" s="214">
        <f t="shared" si="7"/>
        <v>153700</v>
      </c>
      <c r="F35" s="214">
        <f t="shared" si="7"/>
        <v>2533</v>
      </c>
      <c r="G35" s="214">
        <f t="shared" si="7"/>
        <v>31340</v>
      </c>
      <c r="H35" s="214">
        <v>0</v>
      </c>
      <c r="I35" s="214">
        <v>0</v>
      </c>
      <c r="J35" s="214">
        <f t="shared" si="7"/>
        <v>93603.056000000011</v>
      </c>
      <c r="K35" s="216"/>
    </row>
    <row r="36" spans="1:11" x14ac:dyDescent="0.3">
      <c r="A36" s="1349" t="s">
        <v>490</v>
      </c>
      <c r="B36" s="1350"/>
      <c r="C36" s="1350"/>
      <c r="D36" s="1350"/>
      <c r="E36" s="1350"/>
      <c r="F36" s="1350"/>
      <c r="G36" s="1350"/>
      <c r="H36" s="1350"/>
      <c r="I36" s="1350"/>
      <c r="J36" s="1351"/>
      <c r="K36" s="86"/>
    </row>
    <row r="37" spans="1:11" hidden="1" x14ac:dyDescent="0.3">
      <c r="A37" s="186">
        <v>1</v>
      </c>
      <c r="B37" s="111" t="s">
        <v>496</v>
      </c>
      <c r="C37" s="186"/>
      <c r="D37" s="112">
        <v>14000</v>
      </c>
      <c r="E37" s="136">
        <v>12600</v>
      </c>
      <c r="F37" s="112">
        <v>0</v>
      </c>
      <c r="G37" s="112">
        <f t="shared" ref="G37:G41" si="8">E37*20%</f>
        <v>2520</v>
      </c>
      <c r="H37" s="113">
        <v>50</v>
      </c>
      <c r="I37" s="186">
        <v>1.7</v>
      </c>
      <c r="J37" s="114">
        <f t="shared" ref="J37:J41" si="9">((C37*D37*(H37/100+I37))*12)*1.2</f>
        <v>0</v>
      </c>
      <c r="K37" s="86"/>
    </row>
    <row r="38" spans="1:11" x14ac:dyDescent="0.3">
      <c r="A38" s="186">
        <v>1</v>
      </c>
      <c r="B38" s="111" t="s">
        <v>495</v>
      </c>
      <c r="C38" s="534">
        <v>0.03</v>
      </c>
      <c r="D38" s="384">
        <f t="shared" ref="D38:D40" si="10">E38+F38+G38</f>
        <v>3300</v>
      </c>
      <c r="E38" s="136">
        <v>1500</v>
      </c>
      <c r="F38" s="112">
        <v>1500</v>
      </c>
      <c r="G38" s="112">
        <f t="shared" si="8"/>
        <v>300</v>
      </c>
      <c r="H38" s="113">
        <v>50</v>
      </c>
      <c r="I38" s="537">
        <v>1.7</v>
      </c>
      <c r="J38" s="114">
        <f t="shared" si="9"/>
        <v>3136.32</v>
      </c>
      <c r="K38" s="86"/>
    </row>
    <row r="39" spans="1:11" x14ac:dyDescent="0.3">
      <c r="A39" s="186">
        <v>2</v>
      </c>
      <c r="B39" s="111" t="s">
        <v>494</v>
      </c>
      <c r="C39" s="534">
        <v>0.03</v>
      </c>
      <c r="D39" s="384">
        <f t="shared" si="10"/>
        <v>3300</v>
      </c>
      <c r="E39" s="136">
        <v>1500</v>
      </c>
      <c r="F39" s="112">
        <v>1500</v>
      </c>
      <c r="G39" s="112">
        <f t="shared" si="8"/>
        <v>300</v>
      </c>
      <c r="H39" s="113">
        <v>50</v>
      </c>
      <c r="I39" s="537">
        <v>1.7</v>
      </c>
      <c r="J39" s="114">
        <f t="shared" si="9"/>
        <v>3136.32</v>
      </c>
      <c r="K39" s="86"/>
    </row>
    <row r="40" spans="1:11" x14ac:dyDescent="0.3">
      <c r="A40" s="186">
        <v>3</v>
      </c>
      <c r="B40" s="111" t="s">
        <v>326</v>
      </c>
      <c r="C40" s="534">
        <v>0.03</v>
      </c>
      <c r="D40" s="384">
        <f t="shared" si="10"/>
        <v>3300</v>
      </c>
      <c r="E40" s="136">
        <v>1500</v>
      </c>
      <c r="F40" s="112">
        <v>1500</v>
      </c>
      <c r="G40" s="112">
        <f t="shared" si="8"/>
        <v>300</v>
      </c>
      <c r="H40" s="113">
        <v>50</v>
      </c>
      <c r="I40" s="537">
        <v>1.7</v>
      </c>
      <c r="J40" s="114">
        <f t="shared" si="9"/>
        <v>3136.32</v>
      </c>
      <c r="K40" s="86"/>
    </row>
    <row r="41" spans="1:11" x14ac:dyDescent="0.3">
      <c r="A41" s="186">
        <v>4</v>
      </c>
      <c r="B41" s="111" t="s">
        <v>327</v>
      </c>
      <c r="C41" s="186">
        <v>0</v>
      </c>
      <c r="D41" s="112">
        <f t="shared" ref="D41" si="11">E41+F41+G41</f>
        <v>0</v>
      </c>
      <c r="E41" s="136">
        <v>0</v>
      </c>
      <c r="F41" s="112">
        <v>0</v>
      </c>
      <c r="G41" s="112">
        <f t="shared" si="8"/>
        <v>0</v>
      </c>
      <c r="H41" s="113">
        <v>0</v>
      </c>
      <c r="I41" s="186">
        <v>1.7</v>
      </c>
      <c r="J41" s="114">
        <f t="shared" si="9"/>
        <v>0</v>
      </c>
      <c r="K41" s="86"/>
    </row>
    <row r="42" spans="1:11" hidden="1" x14ac:dyDescent="0.3">
      <c r="A42" s="186">
        <v>6</v>
      </c>
      <c r="B42" s="111" t="s">
        <v>493</v>
      </c>
      <c r="C42" s="186"/>
      <c r="D42" s="112">
        <f t="shared" si="0"/>
        <v>13200</v>
      </c>
      <c r="E42" s="136">
        <v>11000</v>
      </c>
      <c r="F42" s="112">
        <v>0</v>
      </c>
      <c r="G42" s="112">
        <f t="shared" si="3"/>
        <v>2200</v>
      </c>
      <c r="H42" s="113">
        <v>50</v>
      </c>
      <c r="I42" s="186">
        <v>1.7</v>
      </c>
      <c r="J42" s="114">
        <f t="shared" ref="J42:J44" si="12">((C42*D42*(H42/100+I42))*12)*1.2</f>
        <v>0</v>
      </c>
      <c r="K42" s="86"/>
    </row>
    <row r="43" spans="1:11" ht="27.6" hidden="1" x14ac:dyDescent="0.3">
      <c r="A43" s="186">
        <v>7</v>
      </c>
      <c r="B43" s="111" t="s">
        <v>492</v>
      </c>
      <c r="C43" s="186"/>
      <c r="D43" s="112">
        <f t="shared" si="0"/>
        <v>14400</v>
      </c>
      <c r="E43" s="136">
        <v>12000</v>
      </c>
      <c r="F43" s="112">
        <v>0</v>
      </c>
      <c r="G43" s="112">
        <f t="shared" si="3"/>
        <v>2400</v>
      </c>
      <c r="H43" s="113">
        <v>50</v>
      </c>
      <c r="I43" s="186">
        <v>1.7</v>
      </c>
      <c r="J43" s="114">
        <f t="shared" si="12"/>
        <v>0</v>
      </c>
      <c r="K43" s="86"/>
    </row>
    <row r="44" spans="1:11" ht="27.6" hidden="1" x14ac:dyDescent="0.3">
      <c r="A44" s="186">
        <v>8</v>
      </c>
      <c r="B44" s="111" t="s">
        <v>491</v>
      </c>
      <c r="C44" s="186"/>
      <c r="D44" s="112">
        <f t="shared" si="0"/>
        <v>26400</v>
      </c>
      <c r="E44" s="136">
        <v>22000</v>
      </c>
      <c r="F44" s="112">
        <v>0</v>
      </c>
      <c r="G44" s="112">
        <f t="shared" si="3"/>
        <v>4400</v>
      </c>
      <c r="H44" s="113">
        <v>50</v>
      </c>
      <c r="I44" s="186">
        <v>1.7</v>
      </c>
      <c r="J44" s="114">
        <f t="shared" si="12"/>
        <v>0</v>
      </c>
      <c r="K44" s="86"/>
    </row>
    <row r="45" spans="1:11" ht="27.6" hidden="1" x14ac:dyDescent="0.3">
      <c r="A45" s="186">
        <v>9</v>
      </c>
      <c r="B45" s="111" t="s">
        <v>325</v>
      </c>
      <c r="C45" s="186"/>
      <c r="D45" s="112">
        <f t="shared" si="0"/>
        <v>16800</v>
      </c>
      <c r="E45" s="136">
        <v>14000</v>
      </c>
      <c r="F45" s="112">
        <v>0</v>
      </c>
      <c r="G45" s="112">
        <f t="shared" si="3"/>
        <v>2800</v>
      </c>
      <c r="H45" s="113">
        <v>50</v>
      </c>
      <c r="I45" s="186">
        <v>1.7</v>
      </c>
      <c r="J45" s="114">
        <f>((C45*D45*(H45/100+I45))*12)*1.2</f>
        <v>0</v>
      </c>
      <c r="K45" s="137"/>
    </row>
    <row r="46" spans="1:11" hidden="1" x14ac:dyDescent="0.3">
      <c r="A46" s="186">
        <v>10</v>
      </c>
      <c r="B46" s="111" t="s">
        <v>497</v>
      </c>
      <c r="C46" s="186"/>
      <c r="D46" s="112">
        <f t="shared" si="0"/>
        <v>15600</v>
      </c>
      <c r="E46" s="136">
        <v>13000</v>
      </c>
      <c r="F46" s="112">
        <v>0</v>
      </c>
      <c r="G46" s="112">
        <f t="shared" si="3"/>
        <v>2600</v>
      </c>
      <c r="H46" s="113">
        <v>50</v>
      </c>
      <c r="I46" s="186">
        <v>1.7</v>
      </c>
      <c r="J46" s="114">
        <f>((C46*D46*(H46/100+I46))*12)*1</f>
        <v>0</v>
      </c>
    </row>
    <row r="47" spans="1:11" hidden="1" x14ac:dyDescent="0.3">
      <c r="A47" s="186">
        <v>11</v>
      </c>
      <c r="B47" s="111" t="s">
        <v>498</v>
      </c>
      <c r="C47" s="186"/>
      <c r="D47" s="112">
        <f t="shared" si="0"/>
        <v>14400</v>
      </c>
      <c r="E47" s="136">
        <v>12000</v>
      </c>
      <c r="F47" s="112">
        <v>0</v>
      </c>
      <c r="G47" s="112">
        <f t="shared" si="3"/>
        <v>2400</v>
      </c>
      <c r="H47" s="113">
        <v>50</v>
      </c>
      <c r="I47" s="186">
        <v>1.7</v>
      </c>
      <c r="J47" s="114">
        <f>((C47*D47*(H47/100+I47))*12)*1.4</f>
        <v>0</v>
      </c>
    </row>
    <row r="48" spans="1:11" hidden="1" x14ac:dyDescent="0.3">
      <c r="A48" s="186">
        <v>12</v>
      </c>
      <c r="B48" s="111" t="s">
        <v>499</v>
      </c>
      <c r="C48" s="186"/>
      <c r="D48" s="112">
        <f t="shared" si="0"/>
        <v>16800</v>
      </c>
      <c r="E48" s="136">
        <v>14000</v>
      </c>
      <c r="F48" s="112">
        <v>0</v>
      </c>
      <c r="G48" s="112">
        <f t="shared" si="3"/>
        <v>2800</v>
      </c>
      <c r="H48" s="113">
        <v>50</v>
      </c>
      <c r="I48" s="186">
        <v>1.7</v>
      </c>
      <c r="J48" s="114">
        <f>((C48*D48*(H48/100+I48))*12)*1.3</f>
        <v>0</v>
      </c>
    </row>
    <row r="49" spans="1:11" s="217" customFormat="1" x14ac:dyDescent="0.3">
      <c r="A49" s="214"/>
      <c r="B49" s="215" t="s">
        <v>500</v>
      </c>
      <c r="C49" s="214">
        <f>SUM(C38:C48)</f>
        <v>0.09</v>
      </c>
      <c r="D49" s="214">
        <f t="shared" ref="D49:J49" si="13">SUM(D37:D48)</f>
        <v>141500</v>
      </c>
      <c r="E49" s="214">
        <f t="shared" si="13"/>
        <v>115100</v>
      </c>
      <c r="F49" s="214">
        <f t="shared" si="13"/>
        <v>4500</v>
      </c>
      <c r="G49" s="214">
        <f t="shared" si="13"/>
        <v>23020</v>
      </c>
      <c r="H49" s="214">
        <v>0</v>
      </c>
      <c r="I49" s="214">
        <v>0</v>
      </c>
      <c r="J49" s="214">
        <f t="shared" si="13"/>
        <v>9408.9600000000009</v>
      </c>
    </row>
    <row r="50" spans="1:11" ht="27.6" x14ac:dyDescent="0.3">
      <c r="A50" s="115"/>
      <c r="B50" s="116" t="s">
        <v>501</v>
      </c>
      <c r="C50" s="117">
        <f>C35+C49</f>
        <v>2.3899999999999997</v>
      </c>
      <c r="D50" s="117">
        <f>D35+D49</f>
        <v>329073</v>
      </c>
      <c r="E50" s="117" t="s">
        <v>14</v>
      </c>
      <c r="F50" s="117" t="s">
        <v>14</v>
      </c>
      <c r="G50" s="117" t="s">
        <v>14</v>
      </c>
      <c r="H50" s="117" t="s">
        <v>14</v>
      </c>
      <c r="I50" s="117" t="s">
        <v>14</v>
      </c>
      <c r="J50" s="117">
        <f>J35+J49</f>
        <v>103012.01600000002</v>
      </c>
    </row>
    <row r="51" spans="1:11" hidden="1" x14ac:dyDescent="0.3">
      <c r="A51" s="1347" t="s">
        <v>505</v>
      </c>
      <c r="B51" s="1348"/>
      <c r="C51" s="1348"/>
      <c r="D51" s="1348"/>
      <c r="E51" s="1348"/>
      <c r="F51" s="1348"/>
      <c r="G51" s="1348"/>
      <c r="H51" s="1348"/>
      <c r="I51" s="1348"/>
      <c r="J51" s="1348"/>
    </row>
    <row r="52" spans="1:11" hidden="1" x14ac:dyDescent="0.3">
      <c r="A52" s="186">
        <v>1</v>
      </c>
      <c r="B52" s="111" t="s">
        <v>328</v>
      </c>
      <c r="C52" s="186"/>
      <c r="D52" s="112">
        <f t="shared" si="0"/>
        <v>12000</v>
      </c>
      <c r="E52" s="136">
        <v>10000</v>
      </c>
      <c r="F52" s="112">
        <v>0</v>
      </c>
      <c r="G52" s="112">
        <f>E52*20%</f>
        <v>2000</v>
      </c>
      <c r="H52" s="113">
        <v>50</v>
      </c>
      <c r="I52" s="186">
        <v>1.7</v>
      </c>
      <c r="J52" s="114">
        <f>((C52*D52*(H52/100+I52))*12)*1.37</f>
        <v>0</v>
      </c>
      <c r="K52" s="137"/>
    </row>
    <row r="53" spans="1:11" hidden="1" x14ac:dyDescent="0.3">
      <c r="A53" s="186">
        <v>2</v>
      </c>
      <c r="B53" s="111" t="s">
        <v>503</v>
      </c>
      <c r="C53" s="186"/>
      <c r="D53" s="112">
        <f t="shared" si="0"/>
        <v>9500</v>
      </c>
      <c r="E53" s="136">
        <v>9500</v>
      </c>
      <c r="F53" s="112">
        <v>0</v>
      </c>
      <c r="G53" s="112"/>
      <c r="H53" s="113">
        <v>50</v>
      </c>
      <c r="I53" s="186">
        <v>1.7</v>
      </c>
      <c r="J53" s="114">
        <f>((C53*D53*(H53/100+I53))*12)*1.37</f>
        <v>0</v>
      </c>
      <c r="K53" s="137"/>
    </row>
    <row r="54" spans="1:11" ht="27.6" hidden="1" x14ac:dyDescent="0.3">
      <c r="A54" s="186">
        <v>3</v>
      </c>
      <c r="B54" s="111" t="s">
        <v>504</v>
      </c>
      <c r="C54" s="186"/>
      <c r="D54" s="112">
        <f t="shared" si="0"/>
        <v>10200</v>
      </c>
      <c r="E54" s="136">
        <v>8500</v>
      </c>
      <c r="F54" s="112">
        <v>0</v>
      </c>
      <c r="G54" s="112">
        <f>E54*20%</f>
        <v>1700</v>
      </c>
      <c r="H54" s="113">
        <v>50</v>
      </c>
      <c r="I54" s="186">
        <v>1.7</v>
      </c>
      <c r="J54" s="114">
        <f>((C54*D54*(H54/100+I54))*12)*1.22</f>
        <v>0</v>
      </c>
    </row>
    <row r="55" spans="1:11" ht="27.6" hidden="1" x14ac:dyDescent="0.3">
      <c r="A55" s="115"/>
      <c r="B55" s="116" t="s">
        <v>502</v>
      </c>
      <c r="C55" s="117">
        <f>SUM(C52:C54)</f>
        <v>0</v>
      </c>
      <c r="D55" s="119">
        <f>SUM(D52:D54)</f>
        <v>31700</v>
      </c>
      <c r="E55" s="117" t="s">
        <v>14</v>
      </c>
      <c r="F55" s="117" t="s">
        <v>14</v>
      </c>
      <c r="G55" s="117" t="s">
        <v>14</v>
      </c>
      <c r="H55" s="117" t="s">
        <v>14</v>
      </c>
      <c r="I55" s="117" t="s">
        <v>14</v>
      </c>
      <c r="J55" s="120">
        <f>SUM(J52:J54)</f>
        <v>0</v>
      </c>
    </row>
    <row r="56" spans="1:11" x14ac:dyDescent="0.3">
      <c r="A56" s="1347" t="s">
        <v>506</v>
      </c>
      <c r="B56" s="1354"/>
      <c r="C56" s="1354"/>
      <c r="D56" s="1354"/>
      <c r="E56" s="1354"/>
      <c r="F56" s="1354"/>
      <c r="G56" s="1354"/>
      <c r="H56" s="1354"/>
      <c r="I56" s="1354"/>
      <c r="J56" s="1354"/>
    </row>
    <row r="57" spans="1:11" ht="27.6" x14ac:dyDescent="0.3">
      <c r="A57" s="186">
        <v>1</v>
      </c>
      <c r="B57" s="111" t="s">
        <v>316</v>
      </c>
      <c r="C57" s="534">
        <v>0.01</v>
      </c>
      <c r="D57" s="112">
        <f t="shared" si="0"/>
        <v>6555</v>
      </c>
      <c r="E57" s="136">
        <v>4000</v>
      </c>
      <c r="F57" s="112">
        <v>2055</v>
      </c>
      <c r="G57" s="112">
        <v>500</v>
      </c>
      <c r="H57" s="113">
        <v>50</v>
      </c>
      <c r="I57" s="186">
        <v>1.7</v>
      </c>
      <c r="J57" s="114">
        <f>((C57*D57*(H57/100+I57))*12)*1.2</f>
        <v>2076.6239999999998</v>
      </c>
      <c r="K57" s="137"/>
    </row>
    <row r="58" spans="1:11" hidden="1" x14ac:dyDescent="0.3">
      <c r="A58" s="186">
        <v>2</v>
      </c>
      <c r="B58" s="111" t="s">
        <v>507</v>
      </c>
      <c r="C58" s="186"/>
      <c r="D58" s="112">
        <f>E58+F58+G58</f>
        <v>14400</v>
      </c>
      <c r="E58" s="136">
        <v>12000</v>
      </c>
      <c r="F58" s="112">
        <v>0</v>
      </c>
      <c r="G58" s="112">
        <f>E58*20%</f>
        <v>2400</v>
      </c>
      <c r="H58" s="113">
        <v>50</v>
      </c>
      <c r="I58" s="186">
        <v>1.7</v>
      </c>
      <c r="J58" s="114">
        <f>((C58*D58*(H58/100+I58))*12)*1.2</f>
        <v>0</v>
      </c>
      <c r="K58" s="137"/>
    </row>
    <row r="59" spans="1:11" ht="41.4" hidden="1" x14ac:dyDescent="0.3">
      <c r="A59" s="186">
        <v>3</v>
      </c>
      <c r="B59" s="111" t="s">
        <v>314</v>
      </c>
      <c r="C59" s="186"/>
      <c r="D59" s="112">
        <f t="shared" si="0"/>
        <v>13200</v>
      </c>
      <c r="E59" s="136">
        <v>11000</v>
      </c>
      <c r="F59" s="112">
        <v>0</v>
      </c>
      <c r="G59" s="112">
        <f>E59*20%</f>
        <v>2200</v>
      </c>
      <c r="H59" s="113">
        <v>50</v>
      </c>
      <c r="I59" s="186">
        <v>1.7</v>
      </c>
      <c r="J59" s="114">
        <f>((C59*D59*(H59/100+I59))*12)*1.13</f>
        <v>0</v>
      </c>
    </row>
    <row r="60" spans="1:11" hidden="1" x14ac:dyDescent="0.3">
      <c r="A60" s="186">
        <v>4</v>
      </c>
      <c r="B60" s="111" t="s">
        <v>317</v>
      </c>
      <c r="C60" s="186"/>
      <c r="D60" s="112">
        <f t="shared" si="0"/>
        <v>14400</v>
      </c>
      <c r="E60" s="136">
        <v>12000</v>
      </c>
      <c r="F60" s="112">
        <v>0</v>
      </c>
      <c r="G60" s="112">
        <f t="shared" ref="G60:G63" si="14">E60*20%</f>
        <v>2400</v>
      </c>
      <c r="H60" s="113">
        <v>50</v>
      </c>
      <c r="I60" s="186">
        <v>1.7</v>
      </c>
      <c r="J60" s="114">
        <f t="shared" ref="J60:J63" si="15">((C60*D60*(H60/100+I60))*12)*1.13</f>
        <v>0</v>
      </c>
    </row>
    <row r="61" spans="1:11" hidden="1" x14ac:dyDescent="0.3">
      <c r="A61" s="186">
        <v>5</v>
      </c>
      <c r="B61" s="111" t="s">
        <v>508</v>
      </c>
      <c r="C61" s="186"/>
      <c r="D61" s="112">
        <f t="shared" si="0"/>
        <v>9600</v>
      </c>
      <c r="E61" s="136">
        <v>8000</v>
      </c>
      <c r="F61" s="112">
        <v>0</v>
      </c>
      <c r="G61" s="112">
        <f t="shared" si="14"/>
        <v>1600</v>
      </c>
      <c r="H61" s="113">
        <v>50</v>
      </c>
      <c r="I61" s="186">
        <v>1.7</v>
      </c>
      <c r="J61" s="114">
        <f t="shared" si="15"/>
        <v>0</v>
      </c>
    </row>
    <row r="62" spans="1:11" hidden="1" x14ac:dyDescent="0.3">
      <c r="A62" s="186">
        <v>6</v>
      </c>
      <c r="B62" s="111" t="s">
        <v>315</v>
      </c>
      <c r="C62" s="186"/>
      <c r="D62" s="112">
        <f t="shared" si="0"/>
        <v>12000</v>
      </c>
      <c r="E62" s="136">
        <v>10000</v>
      </c>
      <c r="F62" s="112">
        <v>0</v>
      </c>
      <c r="G62" s="112">
        <f t="shared" si="14"/>
        <v>2000</v>
      </c>
      <c r="H62" s="113">
        <v>50</v>
      </c>
      <c r="I62" s="186">
        <v>1.7</v>
      </c>
      <c r="J62" s="114">
        <f t="shared" si="15"/>
        <v>0</v>
      </c>
    </row>
    <row r="63" spans="1:11" hidden="1" x14ac:dyDescent="0.3">
      <c r="A63" s="186">
        <v>7</v>
      </c>
      <c r="B63" s="111" t="s">
        <v>318</v>
      </c>
      <c r="C63" s="186"/>
      <c r="D63" s="112">
        <f t="shared" si="0"/>
        <v>12000</v>
      </c>
      <c r="E63" s="136">
        <v>10000</v>
      </c>
      <c r="F63" s="112">
        <v>0</v>
      </c>
      <c r="G63" s="112">
        <f t="shared" si="14"/>
        <v>2000</v>
      </c>
      <c r="H63" s="113">
        <v>50</v>
      </c>
      <c r="I63" s="186">
        <v>1.7</v>
      </c>
      <c r="J63" s="114">
        <f t="shared" si="15"/>
        <v>0</v>
      </c>
    </row>
    <row r="64" spans="1:11" ht="27.6" x14ac:dyDescent="0.3">
      <c r="A64" s="115"/>
      <c r="B64" s="116" t="s">
        <v>509</v>
      </c>
      <c r="C64" s="117">
        <f>SUM(C57:C63)</f>
        <v>0.01</v>
      </c>
      <c r="D64" s="119">
        <f>SUM(D57:D63)</f>
        <v>82155</v>
      </c>
      <c r="E64" s="117" t="s">
        <v>14</v>
      </c>
      <c r="F64" s="117" t="s">
        <v>14</v>
      </c>
      <c r="G64" s="117" t="s">
        <v>14</v>
      </c>
      <c r="H64" s="117" t="s">
        <v>14</v>
      </c>
      <c r="I64" s="117" t="s">
        <v>14</v>
      </c>
      <c r="J64" s="120">
        <f>SUM(J57:J63)</f>
        <v>2076.6239999999998</v>
      </c>
      <c r="K64" s="138"/>
    </row>
    <row r="65" spans="1:12" s="41" customFormat="1" ht="13.8" hidden="1" x14ac:dyDescent="0.3">
      <c r="A65" s="192"/>
      <c r="B65" s="192" t="s">
        <v>592</v>
      </c>
      <c r="C65" s="192"/>
      <c r="D65" s="192"/>
      <c r="E65" s="192"/>
      <c r="F65" s="192"/>
      <c r="G65" s="192"/>
      <c r="H65" s="192"/>
      <c r="I65" s="192"/>
      <c r="J65" s="129">
        <v>0</v>
      </c>
    </row>
    <row r="66" spans="1:12" x14ac:dyDescent="0.3">
      <c r="A66" s="1361" t="s">
        <v>930</v>
      </c>
      <c r="B66" s="1361"/>
      <c r="C66" s="87">
        <f>C21+C50+C55+C64</f>
        <v>2.4699999999999993</v>
      </c>
      <c r="D66" s="88">
        <f>D21+D50+D55+D64</f>
        <v>551628</v>
      </c>
      <c r="E66" s="87" t="s">
        <v>14</v>
      </c>
      <c r="F66" s="87" t="s">
        <v>14</v>
      </c>
      <c r="G66" s="87" t="s">
        <v>14</v>
      </c>
      <c r="H66" s="87" t="s">
        <v>14</v>
      </c>
      <c r="I66" s="87" t="s">
        <v>14</v>
      </c>
      <c r="J66" s="153">
        <f>J21+J50+J55+J64</f>
        <v>120200.00000000001</v>
      </c>
      <c r="L66" s="86"/>
    </row>
    <row r="67" spans="1:12" ht="39.75" hidden="1" customHeight="1" x14ac:dyDescent="0.3">
      <c r="A67" s="1349" t="s">
        <v>335</v>
      </c>
      <c r="B67" s="1410"/>
      <c r="C67" s="1410"/>
      <c r="D67" s="1410"/>
      <c r="E67" s="1410"/>
      <c r="F67" s="1410"/>
      <c r="G67" s="1410"/>
      <c r="H67" s="1410"/>
      <c r="I67" s="1411"/>
      <c r="J67" s="152">
        <v>0</v>
      </c>
      <c r="L67" s="86"/>
    </row>
    <row r="68" spans="1:12" ht="21.75" hidden="1" customHeight="1" x14ac:dyDescent="0.3">
      <c r="A68" s="1362" t="s">
        <v>331</v>
      </c>
      <c r="B68" s="1363"/>
      <c r="C68" s="1363"/>
      <c r="D68" s="1363"/>
      <c r="E68" s="1363"/>
      <c r="F68" s="1363"/>
      <c r="G68" s="1363"/>
      <c r="H68" s="1363"/>
      <c r="I68" s="1364"/>
      <c r="J68" s="221">
        <f>J66+J67</f>
        <v>120200.00000000001</v>
      </c>
      <c r="L68" s="86"/>
    </row>
    <row r="69" spans="1:12" ht="39.75" hidden="1" customHeight="1" x14ac:dyDescent="0.3">
      <c r="A69" s="189"/>
      <c r="B69" s="190"/>
      <c r="C69" s="190"/>
      <c r="D69" s="190"/>
      <c r="E69" s="190"/>
      <c r="F69" s="190"/>
      <c r="G69" s="190"/>
      <c r="H69" s="190"/>
      <c r="I69" s="191"/>
      <c r="J69" s="152"/>
      <c r="L69" s="86"/>
    </row>
    <row r="70" spans="1:12" ht="15.6" hidden="1" x14ac:dyDescent="0.3">
      <c r="A70" s="121"/>
      <c r="B70" s="121"/>
      <c r="C70" s="181"/>
      <c r="D70" s="122"/>
      <c r="E70" s="181"/>
      <c r="F70" s="181"/>
      <c r="G70" s="181"/>
      <c r="H70" s="181"/>
      <c r="I70" s="181"/>
      <c r="J70" s="123"/>
    </row>
    <row r="71" spans="1:12" hidden="1" x14ac:dyDescent="0.3">
      <c r="A71" s="1346" t="s">
        <v>1</v>
      </c>
      <c r="B71" s="1346" t="s">
        <v>2</v>
      </c>
      <c r="C71" s="1346" t="s">
        <v>3</v>
      </c>
      <c r="D71" s="1345" t="s">
        <v>4</v>
      </c>
      <c r="E71" s="1345"/>
      <c r="F71" s="1345"/>
      <c r="G71" s="1345"/>
      <c r="H71" s="1346" t="s">
        <v>5</v>
      </c>
      <c r="I71" s="1346" t="s">
        <v>6</v>
      </c>
      <c r="J71" s="1346" t="s">
        <v>312</v>
      </c>
    </row>
    <row r="72" spans="1:12" hidden="1" x14ac:dyDescent="0.3">
      <c r="A72" s="1346"/>
      <c r="B72" s="1346"/>
      <c r="C72" s="1346"/>
      <c r="D72" s="1346" t="s">
        <v>8</v>
      </c>
      <c r="E72" s="1345" t="s">
        <v>9</v>
      </c>
      <c r="F72" s="1345"/>
      <c r="G72" s="1345"/>
      <c r="H72" s="1346"/>
      <c r="I72" s="1346"/>
      <c r="J72" s="1346"/>
    </row>
    <row r="73" spans="1:12" ht="69" hidden="1" x14ac:dyDescent="0.3">
      <c r="A73" s="1346"/>
      <c r="B73" s="1346"/>
      <c r="C73" s="1346"/>
      <c r="D73" s="1346"/>
      <c r="E73" s="182" t="s">
        <v>10</v>
      </c>
      <c r="F73" s="182" t="s">
        <v>11</v>
      </c>
      <c r="G73" s="182" t="s">
        <v>12</v>
      </c>
      <c r="H73" s="1346"/>
      <c r="I73" s="1346"/>
      <c r="J73" s="1346"/>
    </row>
    <row r="74" spans="1:12" hidden="1" x14ac:dyDescent="0.3">
      <c r="A74" s="186">
        <v>1</v>
      </c>
      <c r="B74" s="186">
        <v>2</v>
      </c>
      <c r="C74" s="186">
        <v>3</v>
      </c>
      <c r="D74" s="186">
        <v>4</v>
      </c>
      <c r="E74" s="186">
        <v>5</v>
      </c>
      <c r="F74" s="186">
        <v>6</v>
      </c>
      <c r="G74" s="186">
        <v>7</v>
      </c>
      <c r="H74" s="186">
        <v>8</v>
      </c>
      <c r="I74" s="186">
        <v>9</v>
      </c>
      <c r="J74" s="186">
        <v>10</v>
      </c>
    </row>
    <row r="75" spans="1:12" hidden="1" x14ac:dyDescent="0.3">
      <c r="A75" s="1347" t="s">
        <v>313</v>
      </c>
      <c r="B75" s="1354"/>
      <c r="C75" s="1354"/>
      <c r="D75" s="1354"/>
      <c r="E75" s="1354"/>
      <c r="F75" s="1354"/>
      <c r="G75" s="1354"/>
      <c r="H75" s="1354"/>
      <c r="I75" s="1354"/>
      <c r="J75" s="1354"/>
    </row>
    <row r="76" spans="1:12" ht="41.4" hidden="1" x14ac:dyDescent="0.3">
      <c r="A76" s="186">
        <v>1</v>
      </c>
      <c r="B76" s="111" t="s">
        <v>314</v>
      </c>
      <c r="C76" s="186"/>
      <c r="D76" s="124">
        <f>E76+F76+G76</f>
        <v>0</v>
      </c>
      <c r="E76" s="139"/>
      <c r="F76" s="124"/>
      <c r="G76" s="124">
        <f>(E76+F76)*20%</f>
        <v>0</v>
      </c>
      <c r="H76" s="113">
        <v>50</v>
      </c>
      <c r="I76" s="186">
        <v>1.7</v>
      </c>
      <c r="J76" s="125">
        <f>(C76*D76*(H76/100+I76))*12.5</f>
        <v>0</v>
      </c>
      <c r="L76" s="86"/>
    </row>
    <row r="77" spans="1:12" ht="15.75" hidden="1" customHeight="1" x14ac:dyDescent="0.3">
      <c r="A77" s="186">
        <v>2</v>
      </c>
      <c r="B77" s="111" t="s">
        <v>315</v>
      </c>
      <c r="C77" s="186"/>
      <c r="D77" s="124">
        <f t="shared" ref="D77:D78" si="16">E77+F77+G77</f>
        <v>0</v>
      </c>
      <c r="E77" s="139"/>
      <c r="F77" s="124"/>
      <c r="G77" s="124">
        <f>(E77+F77)*20%</f>
        <v>0</v>
      </c>
      <c r="H77" s="113">
        <v>50</v>
      </c>
      <c r="I77" s="186">
        <v>1.7</v>
      </c>
      <c r="J77" s="125">
        <f>(C77*D77*(H77/100+I77))*12.5</f>
        <v>0</v>
      </c>
    </row>
    <row r="78" spans="1:12" ht="27.6" hidden="1" x14ac:dyDescent="0.3">
      <c r="A78" s="186">
        <v>3</v>
      </c>
      <c r="B78" s="111" t="s">
        <v>316</v>
      </c>
      <c r="C78" s="186"/>
      <c r="D78" s="124">
        <f t="shared" si="16"/>
        <v>0</v>
      </c>
      <c r="E78" s="124"/>
      <c r="F78" s="124"/>
      <c r="G78" s="124">
        <f>(E78+F78)*20%</f>
        <v>0</v>
      </c>
      <c r="H78" s="113">
        <v>50</v>
      </c>
      <c r="I78" s="186">
        <v>1.7</v>
      </c>
      <c r="J78" s="125">
        <f>(C78*D78*(H78/100+I78))*12.5</f>
        <v>0</v>
      </c>
    </row>
    <row r="79" spans="1:12" hidden="1" x14ac:dyDescent="0.3">
      <c r="A79" s="186">
        <v>4</v>
      </c>
      <c r="B79" s="111" t="s">
        <v>317</v>
      </c>
      <c r="C79" s="186"/>
      <c r="D79" s="124">
        <f>E79+F79+G79</f>
        <v>0</v>
      </c>
      <c r="E79" s="124"/>
      <c r="F79" s="124"/>
      <c r="G79" s="124">
        <f>(E79+F79)*20%</f>
        <v>0</v>
      </c>
      <c r="H79" s="113">
        <v>50</v>
      </c>
      <c r="I79" s="186">
        <v>1.7</v>
      </c>
      <c r="J79" s="125">
        <f>(C79*D79*(H79/100+I79))*12.5</f>
        <v>0</v>
      </c>
    </row>
    <row r="80" spans="1:12" ht="21.75" hidden="1" customHeight="1" x14ac:dyDescent="0.3">
      <c r="A80" s="186">
        <v>5</v>
      </c>
      <c r="B80" s="111" t="s">
        <v>318</v>
      </c>
      <c r="C80" s="186"/>
      <c r="D80" s="124">
        <f t="shared" ref="D80" si="17">E80+F80+G80</f>
        <v>0</v>
      </c>
      <c r="E80" s="124"/>
      <c r="F80" s="124"/>
      <c r="G80" s="124">
        <f t="shared" ref="G80" si="18">(E80+F80)*20%</f>
        <v>0</v>
      </c>
      <c r="H80" s="113">
        <v>50</v>
      </c>
      <c r="I80" s="186">
        <v>1.7</v>
      </c>
      <c r="J80" s="125">
        <f>(C80*D80*(H80/100+I80))*12.5</f>
        <v>0</v>
      </c>
      <c r="K80" s="86"/>
    </row>
    <row r="81" spans="1:12" ht="16.5" hidden="1" customHeight="1" x14ac:dyDescent="0.3">
      <c r="A81" s="115"/>
      <c r="B81" s="126" t="s">
        <v>319</v>
      </c>
      <c r="C81" s="127">
        <f>SUM(C76:C80)</f>
        <v>0</v>
      </c>
      <c r="D81" s="128">
        <f>SUM(D76:D80)</f>
        <v>0</v>
      </c>
      <c r="E81" s="127" t="s">
        <v>14</v>
      </c>
      <c r="F81" s="127" t="s">
        <v>14</v>
      </c>
      <c r="G81" s="127" t="s">
        <v>14</v>
      </c>
      <c r="H81" s="127" t="s">
        <v>14</v>
      </c>
      <c r="I81" s="127" t="s">
        <v>14</v>
      </c>
      <c r="J81" s="129">
        <f>SUM(J76:J80)</f>
        <v>0</v>
      </c>
    </row>
    <row r="82" spans="1:12" ht="15.75" hidden="1" customHeight="1" x14ac:dyDescent="0.3">
      <c r="A82" s="1365" t="s">
        <v>343</v>
      </c>
      <c r="B82" s="1366"/>
      <c r="C82" s="1366"/>
      <c r="D82" s="1366"/>
      <c r="E82" s="1366"/>
      <c r="F82" s="1366"/>
      <c r="G82" s="1366"/>
      <c r="H82" s="1366"/>
      <c r="I82" s="1367"/>
      <c r="J82" s="129"/>
    </row>
    <row r="83" spans="1:12" s="41" customFormat="1" ht="13.8" hidden="1" x14ac:dyDescent="0.3">
      <c r="A83" s="1365" t="s">
        <v>467</v>
      </c>
      <c r="B83" s="1366"/>
      <c r="C83" s="1366"/>
      <c r="D83" s="1366"/>
      <c r="E83" s="1366"/>
      <c r="F83" s="1366"/>
      <c r="G83" s="1366"/>
      <c r="H83" s="1366"/>
      <c r="I83" s="1367"/>
      <c r="J83" s="143"/>
    </row>
    <row r="84" spans="1:12" s="41" customFormat="1" hidden="1" x14ac:dyDescent="0.3">
      <c r="A84" s="218" t="s">
        <v>379</v>
      </c>
      <c r="B84" s="219"/>
      <c r="C84" s="220"/>
      <c r="D84" s="220"/>
      <c r="E84" s="220"/>
      <c r="F84" s="220"/>
      <c r="G84" s="220"/>
      <c r="H84" s="220"/>
      <c r="I84" s="220"/>
      <c r="J84" s="143">
        <v>49307</v>
      </c>
    </row>
    <row r="85" spans="1:12" s="41" customFormat="1" ht="15.6" hidden="1" x14ac:dyDescent="0.3">
      <c r="A85" s="1368" t="s">
        <v>511</v>
      </c>
      <c r="B85" s="1369"/>
      <c r="C85" s="1369"/>
      <c r="D85" s="1369"/>
      <c r="E85" s="1369"/>
      <c r="F85" s="1369"/>
      <c r="G85" s="1369"/>
      <c r="H85" s="1369"/>
      <c r="I85" s="1369"/>
      <c r="J85" s="1370"/>
    </row>
    <row r="86" spans="1:12" ht="21" hidden="1" customHeight="1" x14ac:dyDescent="0.3">
      <c r="A86" s="1371" t="s">
        <v>512</v>
      </c>
      <c r="B86" s="1372"/>
      <c r="C86" s="130">
        <v>2.4</v>
      </c>
      <c r="D86" s="131">
        <f>D81</f>
        <v>0</v>
      </c>
      <c r="E86" s="132" t="s">
        <v>14</v>
      </c>
      <c r="F86" s="132" t="s">
        <v>14</v>
      </c>
      <c r="G86" s="132" t="s">
        <v>14</v>
      </c>
      <c r="H86" s="132" t="s">
        <v>14</v>
      </c>
      <c r="I86" s="132" t="s">
        <v>14</v>
      </c>
      <c r="J86" s="228">
        <v>0</v>
      </c>
      <c r="K86" s="86"/>
      <c r="L86" s="86"/>
    </row>
    <row r="87" spans="1:12" ht="21" customHeight="1" x14ac:dyDescent="0.3">
      <c r="A87" s="1373" t="s">
        <v>593</v>
      </c>
      <c r="B87" s="1374"/>
      <c r="C87" s="1374"/>
      <c r="D87" s="1374"/>
      <c r="E87" s="1374"/>
      <c r="F87" s="1374"/>
      <c r="G87" s="1374"/>
      <c r="H87" s="1374"/>
      <c r="I87" s="1374"/>
      <c r="J87" s="229">
        <f>J66+J65</f>
        <v>120200.00000000001</v>
      </c>
      <c r="K87" s="86"/>
      <c r="L87" s="86"/>
    </row>
    <row r="88" spans="1:12" ht="21" hidden="1" customHeight="1" x14ac:dyDescent="0.3">
      <c r="A88" s="222"/>
      <c r="B88" s="223"/>
      <c r="C88" s="224"/>
      <c r="D88" s="225"/>
      <c r="E88" s="226"/>
      <c r="F88" s="226"/>
      <c r="G88" s="226"/>
      <c r="H88" s="226"/>
      <c r="I88" s="226"/>
      <c r="J88" s="227"/>
      <c r="K88" s="86"/>
      <c r="L88" s="86"/>
    </row>
    <row r="89" spans="1:12" ht="20.25" hidden="1" customHeight="1" x14ac:dyDescent="0.3">
      <c r="A89" s="1325" t="s">
        <v>359</v>
      </c>
      <c r="B89" s="1326"/>
      <c r="C89" s="1326"/>
      <c r="D89" s="1326"/>
      <c r="E89" s="1326"/>
      <c r="F89" s="1326"/>
      <c r="G89" s="1326"/>
      <c r="H89" s="1326"/>
      <c r="I89" s="1326"/>
      <c r="J89" s="1327"/>
    </row>
    <row r="90" spans="1:12" ht="30" hidden="1" customHeight="1" x14ac:dyDescent="0.3">
      <c r="A90" s="187" t="s">
        <v>1</v>
      </c>
      <c r="B90" s="1335" t="s">
        <v>44</v>
      </c>
      <c r="C90" s="1335"/>
      <c r="D90" s="1335"/>
      <c r="E90" s="1335" t="s">
        <v>45</v>
      </c>
      <c r="F90" s="1335"/>
      <c r="G90" s="1335" t="s">
        <v>46</v>
      </c>
      <c r="H90" s="1335"/>
      <c r="I90" s="1335" t="s">
        <v>102</v>
      </c>
      <c r="J90" s="1335"/>
    </row>
    <row r="91" spans="1:12" ht="16.5" hidden="1" customHeight="1" x14ac:dyDescent="0.3">
      <c r="A91" s="188">
        <v>1</v>
      </c>
      <c r="B91" s="1302">
        <v>2</v>
      </c>
      <c r="C91" s="1302"/>
      <c r="D91" s="1302"/>
      <c r="E91" s="1302">
        <v>3</v>
      </c>
      <c r="F91" s="1302"/>
      <c r="G91" s="1302">
        <v>4</v>
      </c>
      <c r="H91" s="1302"/>
      <c r="I91" s="1302">
        <v>5</v>
      </c>
      <c r="J91" s="1302"/>
    </row>
    <row r="92" spans="1:12" ht="47.25" hidden="1" customHeight="1" x14ac:dyDescent="0.3">
      <c r="A92" s="159">
        <v>1</v>
      </c>
      <c r="B92" s="1226" t="s">
        <v>370</v>
      </c>
      <c r="C92" s="1227"/>
      <c r="D92" s="1228"/>
      <c r="E92" s="1336">
        <f>I92/G92</f>
        <v>0</v>
      </c>
      <c r="F92" s="1336"/>
      <c r="G92" s="1307">
        <v>12</v>
      </c>
      <c r="H92" s="1307"/>
      <c r="I92" s="1340">
        <v>0</v>
      </c>
      <c r="J92" s="1340"/>
    </row>
    <row r="93" spans="1:12" ht="51.75" hidden="1" customHeight="1" x14ac:dyDescent="0.3">
      <c r="A93" s="159" t="s">
        <v>75</v>
      </c>
      <c r="B93" s="1226" t="s">
        <v>371</v>
      </c>
      <c r="C93" s="1227"/>
      <c r="D93" s="1228"/>
      <c r="E93" s="1336">
        <f>I93/G93</f>
        <v>0</v>
      </c>
      <c r="F93" s="1336"/>
      <c r="G93" s="1307">
        <v>72</v>
      </c>
      <c r="H93" s="1307"/>
      <c r="I93" s="1340">
        <v>0</v>
      </c>
      <c r="J93" s="1340"/>
    </row>
    <row r="94" spans="1:12" ht="33.75" hidden="1" customHeight="1" x14ac:dyDescent="0.3">
      <c r="A94" s="248"/>
      <c r="B94" s="1341" t="s">
        <v>331</v>
      </c>
      <c r="C94" s="1342"/>
      <c r="D94" s="1343"/>
      <c r="E94" s="1337" t="s">
        <v>14</v>
      </c>
      <c r="F94" s="1338"/>
      <c r="G94" s="1337" t="s">
        <v>14</v>
      </c>
      <c r="H94" s="1339"/>
      <c r="I94" s="249"/>
      <c r="J94" s="250">
        <f>I93</f>
        <v>0</v>
      </c>
    </row>
    <row r="95" spans="1:12" s="41" customFormat="1" ht="40.5" customHeight="1" x14ac:dyDescent="0.3">
      <c r="A95" s="1275" t="s">
        <v>360</v>
      </c>
      <c r="B95" s="1275"/>
      <c r="C95" s="1275"/>
      <c r="D95" s="1275"/>
      <c r="E95" s="1275"/>
      <c r="F95" s="1275"/>
      <c r="G95" s="1275"/>
      <c r="H95" s="1275"/>
      <c r="I95" s="1275"/>
      <c r="J95" s="1275"/>
    </row>
    <row r="96" spans="1:12" ht="39.6" x14ac:dyDescent="0.3">
      <c r="A96" s="188" t="s">
        <v>1</v>
      </c>
      <c r="B96" s="1302" t="s">
        <v>15</v>
      </c>
      <c r="C96" s="1302"/>
      <c r="D96" s="1302"/>
      <c r="E96" s="1302" t="s">
        <v>16</v>
      </c>
      <c r="F96" s="1302"/>
      <c r="G96" s="188" t="s">
        <v>17</v>
      </c>
      <c r="H96" s="188" t="s">
        <v>18</v>
      </c>
      <c r="I96" s="1302" t="s">
        <v>104</v>
      </c>
      <c r="J96" s="1302"/>
    </row>
    <row r="97" spans="1:10" x14ac:dyDescent="0.3">
      <c r="A97" s="188">
        <v>1</v>
      </c>
      <c r="B97" s="1302">
        <v>2</v>
      </c>
      <c r="C97" s="1302"/>
      <c r="D97" s="1302"/>
      <c r="E97" s="1302">
        <v>3</v>
      </c>
      <c r="F97" s="1302"/>
      <c r="G97" s="188">
        <v>4</v>
      </c>
      <c r="H97" s="188">
        <v>5</v>
      </c>
      <c r="I97" s="1302">
        <v>6</v>
      </c>
      <c r="J97" s="1302"/>
    </row>
    <row r="98" spans="1:10" ht="16.5" customHeight="1" x14ac:dyDescent="0.3">
      <c r="A98" s="1325" t="s">
        <v>361</v>
      </c>
      <c r="B98" s="1326"/>
      <c r="C98" s="1326"/>
      <c r="D98" s="1326"/>
      <c r="E98" s="1326"/>
      <c r="F98" s="1326"/>
      <c r="G98" s="1326"/>
      <c r="H98" s="1326"/>
      <c r="I98" s="1326"/>
      <c r="J98" s="1327"/>
    </row>
    <row r="99" spans="1:10" ht="75.75" customHeight="1" x14ac:dyDescent="0.3">
      <c r="A99" s="185" t="s">
        <v>70</v>
      </c>
      <c r="B99" s="1406" t="s">
        <v>713</v>
      </c>
      <c r="C99" s="1407"/>
      <c r="D99" s="1408"/>
      <c r="E99" s="1404">
        <v>300</v>
      </c>
      <c r="F99" s="1405"/>
      <c r="G99" s="185">
        <v>1</v>
      </c>
      <c r="H99" s="185">
        <v>5</v>
      </c>
      <c r="I99" s="1409">
        <f>E99*G99*H99</f>
        <v>1500</v>
      </c>
      <c r="J99" s="1409"/>
    </row>
    <row r="100" spans="1:10" ht="15" hidden="1" customHeight="1" x14ac:dyDescent="0.3">
      <c r="A100" s="1325" t="s">
        <v>363</v>
      </c>
      <c r="B100" s="1326"/>
      <c r="C100" s="1326"/>
      <c r="D100" s="1326"/>
      <c r="E100" s="1326"/>
      <c r="F100" s="1326"/>
      <c r="G100" s="1326"/>
      <c r="H100" s="1326"/>
      <c r="I100" s="1326"/>
      <c r="J100" s="1327"/>
    </row>
    <row r="101" spans="1:10" ht="53.25" hidden="1" customHeight="1" x14ac:dyDescent="0.3">
      <c r="A101" s="204" t="s">
        <v>70</v>
      </c>
      <c r="B101" s="1320" t="s">
        <v>513</v>
      </c>
      <c r="C101" s="1321"/>
      <c r="D101" s="1322"/>
      <c r="E101" s="1329">
        <v>22300</v>
      </c>
      <c r="F101" s="1329"/>
      <c r="G101" s="230">
        <v>45</v>
      </c>
      <c r="H101" s="230">
        <v>1</v>
      </c>
      <c r="I101" s="1333">
        <v>0</v>
      </c>
      <c r="J101" s="1334"/>
    </row>
    <row r="102" spans="1:10" ht="48.75" hidden="1" customHeight="1" x14ac:dyDescent="0.3">
      <c r="A102" s="185" t="s">
        <v>75</v>
      </c>
      <c r="B102" s="1320" t="s">
        <v>514</v>
      </c>
      <c r="C102" s="1321"/>
      <c r="D102" s="1322"/>
      <c r="E102" s="1323">
        <v>15600</v>
      </c>
      <c r="F102" s="1323"/>
      <c r="G102" s="140">
        <v>24</v>
      </c>
      <c r="H102" s="160">
        <v>1</v>
      </c>
      <c r="I102" s="1324">
        <v>0</v>
      </c>
      <c r="J102" s="1324"/>
    </row>
    <row r="103" spans="1:10" x14ac:dyDescent="0.3">
      <c r="A103" s="1325" t="s">
        <v>364</v>
      </c>
      <c r="B103" s="1326"/>
      <c r="C103" s="1326"/>
      <c r="D103" s="1326"/>
      <c r="E103" s="1326"/>
      <c r="F103" s="1326"/>
      <c r="G103" s="1326"/>
      <c r="H103" s="1326"/>
      <c r="I103" s="1326"/>
      <c r="J103" s="1327"/>
    </row>
    <row r="104" spans="1:10" ht="58.5" customHeight="1" x14ac:dyDescent="0.3">
      <c r="A104" s="161" t="s">
        <v>75</v>
      </c>
      <c r="B104" s="1401" t="s">
        <v>714</v>
      </c>
      <c r="C104" s="1402"/>
      <c r="D104" s="1403"/>
      <c r="E104" s="1399">
        <v>0</v>
      </c>
      <c r="F104" s="1399"/>
      <c r="G104" s="161">
        <v>3</v>
      </c>
      <c r="H104" s="161">
        <v>0</v>
      </c>
      <c r="I104" s="1400">
        <v>11500</v>
      </c>
      <c r="J104" s="1400"/>
    </row>
    <row r="105" spans="1:10" x14ac:dyDescent="0.3">
      <c r="A105" s="185"/>
      <c r="B105" s="1306" t="s">
        <v>13</v>
      </c>
      <c r="C105" s="1306"/>
      <c r="D105" s="1306"/>
      <c r="E105" s="1307" t="s">
        <v>14</v>
      </c>
      <c r="F105" s="1307"/>
      <c r="G105" s="185" t="s">
        <v>14</v>
      </c>
      <c r="H105" s="185" t="s">
        <v>14</v>
      </c>
      <c r="I105" s="1310">
        <f>I99+I102+I104+I101</f>
        <v>13000</v>
      </c>
      <c r="J105" s="1310"/>
    </row>
    <row r="106" spans="1:10" ht="19.5" hidden="1" customHeight="1" x14ac:dyDescent="0.3">
      <c r="A106" s="1243" t="s">
        <v>366</v>
      </c>
      <c r="B106" s="1243"/>
      <c r="C106" s="1243"/>
      <c r="D106" s="1243"/>
      <c r="E106" s="1243"/>
      <c r="F106" s="1243"/>
      <c r="G106" s="1243"/>
      <c r="H106" s="1243"/>
      <c r="I106" s="1243"/>
      <c r="J106" s="1243"/>
    </row>
    <row r="107" spans="1:10" ht="52.8" hidden="1" x14ac:dyDescent="0.3">
      <c r="A107" s="188" t="s">
        <v>1</v>
      </c>
      <c r="B107" s="1302" t="s">
        <v>15</v>
      </c>
      <c r="C107" s="1302"/>
      <c r="D107" s="1302"/>
      <c r="E107" s="1311" t="s">
        <v>20</v>
      </c>
      <c r="F107" s="1312"/>
      <c r="G107" s="188" t="s">
        <v>21</v>
      </c>
      <c r="H107" s="188" t="s">
        <v>22</v>
      </c>
      <c r="I107" s="1302" t="s">
        <v>19</v>
      </c>
      <c r="J107" s="1302"/>
    </row>
    <row r="108" spans="1:10" hidden="1" x14ac:dyDescent="0.3">
      <c r="A108" s="188">
        <v>1</v>
      </c>
      <c r="B108" s="1302">
        <v>2</v>
      </c>
      <c r="C108" s="1302"/>
      <c r="D108" s="1302"/>
      <c r="E108" s="1311">
        <v>3</v>
      </c>
      <c r="F108" s="1312"/>
      <c r="G108" s="188">
        <v>4</v>
      </c>
      <c r="H108" s="188">
        <v>5</v>
      </c>
      <c r="I108" s="1302">
        <v>6</v>
      </c>
      <c r="J108" s="1302"/>
    </row>
    <row r="109" spans="1:10" ht="47.25" hidden="1" customHeight="1" x14ac:dyDescent="0.3">
      <c r="A109" s="186" t="s">
        <v>70</v>
      </c>
      <c r="B109" s="1313" t="s">
        <v>79</v>
      </c>
      <c r="C109" s="1314"/>
      <c r="D109" s="1315"/>
      <c r="E109" s="1316"/>
      <c r="F109" s="1317"/>
      <c r="G109" s="163">
        <v>12</v>
      </c>
      <c r="H109" s="163">
        <v>85</v>
      </c>
      <c r="I109" s="1318">
        <f>E109*G109*H109</f>
        <v>0</v>
      </c>
      <c r="J109" s="1318"/>
    </row>
    <row r="110" spans="1:10" ht="17.25" hidden="1" customHeight="1" x14ac:dyDescent="0.3">
      <c r="A110" s="162"/>
      <c r="B110" s="1303" t="s">
        <v>13</v>
      </c>
      <c r="C110" s="1303"/>
      <c r="D110" s="1303"/>
      <c r="E110" s="1304" t="s">
        <v>14</v>
      </c>
      <c r="F110" s="1305"/>
      <c r="G110" s="185" t="s">
        <v>14</v>
      </c>
      <c r="H110" s="185" t="s">
        <v>14</v>
      </c>
      <c r="I110" s="1310">
        <f>SUM(I109)</f>
        <v>0</v>
      </c>
      <c r="J110" s="1319"/>
    </row>
    <row r="111" spans="1:10" s="41" customFormat="1" ht="54" customHeight="1" x14ac:dyDescent="0.3">
      <c r="A111" s="1275" t="s">
        <v>295</v>
      </c>
      <c r="B111" s="1275"/>
      <c r="C111" s="1275"/>
      <c r="D111" s="1275"/>
      <c r="E111" s="1275"/>
      <c r="F111" s="1275"/>
      <c r="G111" s="1275"/>
      <c r="H111" s="1275"/>
      <c r="I111" s="1275"/>
      <c r="J111" s="1275"/>
    </row>
    <row r="112" spans="1:10" ht="25.5" customHeight="1" x14ac:dyDescent="0.3">
      <c r="A112" s="183" t="s">
        <v>1</v>
      </c>
      <c r="B112" s="1276" t="s">
        <v>23</v>
      </c>
      <c r="C112" s="1276"/>
      <c r="D112" s="1276"/>
      <c r="E112" s="1276"/>
      <c r="F112" s="1276"/>
      <c r="G112" s="1276" t="s">
        <v>24</v>
      </c>
      <c r="H112" s="1276"/>
      <c r="I112" s="1276" t="s">
        <v>25</v>
      </c>
      <c r="J112" s="1276"/>
    </row>
    <row r="113" spans="1:10" ht="12" customHeight="1" x14ac:dyDescent="0.3">
      <c r="A113" s="199">
        <v>1</v>
      </c>
      <c r="B113" s="1110">
        <v>2</v>
      </c>
      <c r="C113" s="1110"/>
      <c r="D113" s="1110"/>
      <c r="E113" s="1110"/>
      <c r="F113" s="1110"/>
      <c r="G113" s="1110">
        <v>3</v>
      </c>
      <c r="H113" s="1110"/>
      <c r="I113" s="1110">
        <v>4</v>
      </c>
      <c r="J113" s="1110"/>
    </row>
    <row r="114" spans="1:10" ht="17.25" customHeight="1" x14ac:dyDescent="0.3">
      <c r="A114" s="198" t="s">
        <v>70</v>
      </c>
      <c r="B114" s="1295" t="s">
        <v>26</v>
      </c>
      <c r="C114" s="1295"/>
      <c r="D114" s="1295"/>
      <c r="E114" s="1295"/>
      <c r="F114" s="1295"/>
      <c r="G114" s="1300" t="s">
        <v>14</v>
      </c>
      <c r="H114" s="1300"/>
      <c r="I114" s="1299">
        <f>SUM(I116:J118)</f>
        <v>26680.000000000004</v>
      </c>
      <c r="J114" s="1299"/>
    </row>
    <row r="115" spans="1:10" ht="16.5" customHeight="1" x14ac:dyDescent="0.3">
      <c r="A115" s="98"/>
      <c r="B115" s="1116" t="s">
        <v>9</v>
      </c>
      <c r="C115" s="1212"/>
      <c r="D115" s="1212"/>
      <c r="E115" s="1212"/>
      <c r="F115" s="1117"/>
      <c r="G115" s="1273"/>
      <c r="H115" s="1273"/>
      <c r="I115" s="1272"/>
      <c r="J115" s="1272"/>
    </row>
    <row r="116" spans="1:10" ht="17.25" customHeight="1" x14ac:dyDescent="0.3">
      <c r="A116" s="202" t="s">
        <v>27</v>
      </c>
      <c r="B116" s="1301" t="s">
        <v>28</v>
      </c>
      <c r="C116" s="1301"/>
      <c r="D116" s="1301"/>
      <c r="E116" s="1301"/>
      <c r="F116" s="1301"/>
      <c r="G116" s="1271">
        <f>J87</f>
        <v>120200.00000000001</v>
      </c>
      <c r="H116" s="1271"/>
      <c r="I116" s="1272">
        <f>G116*22%+236</f>
        <v>26680.000000000004</v>
      </c>
      <c r="J116" s="1272"/>
    </row>
    <row r="117" spans="1:10" ht="15" customHeight="1" x14ac:dyDescent="0.3">
      <c r="A117" s="202" t="s">
        <v>29</v>
      </c>
      <c r="B117" s="1143" t="s">
        <v>30</v>
      </c>
      <c r="C117" s="1143"/>
      <c r="D117" s="1143"/>
      <c r="E117" s="1143"/>
      <c r="F117" s="1143"/>
      <c r="G117" s="1273"/>
      <c r="H117" s="1273"/>
      <c r="I117" s="1272">
        <f>G117*10%</f>
        <v>0</v>
      </c>
      <c r="J117" s="1272"/>
    </row>
    <row r="118" spans="1:10" ht="29.4" customHeight="1" x14ac:dyDescent="0.3">
      <c r="A118" s="202" t="s">
        <v>31</v>
      </c>
      <c r="B118" s="1274" t="s">
        <v>32</v>
      </c>
      <c r="C118" s="1274"/>
      <c r="D118" s="1274"/>
      <c r="E118" s="1274"/>
      <c r="F118" s="1274"/>
      <c r="G118" s="1273"/>
      <c r="H118" s="1273"/>
      <c r="I118" s="1272"/>
      <c r="J118" s="1272"/>
    </row>
    <row r="119" spans="1:10" ht="29.25" customHeight="1" x14ac:dyDescent="0.3">
      <c r="A119" s="198" t="s">
        <v>75</v>
      </c>
      <c r="B119" s="1295" t="s">
        <v>33</v>
      </c>
      <c r="C119" s="1295"/>
      <c r="D119" s="1295"/>
      <c r="E119" s="1295"/>
      <c r="F119" s="1295"/>
      <c r="G119" s="1300" t="s">
        <v>14</v>
      </c>
      <c r="H119" s="1300"/>
      <c r="I119" s="1299">
        <f>SUM(I121:J125)</f>
        <v>3726.2000000000003</v>
      </c>
      <c r="J119" s="1299"/>
    </row>
    <row r="120" spans="1:10" ht="15.75" customHeight="1" x14ac:dyDescent="0.3">
      <c r="A120" s="98"/>
      <c r="B120" s="1116" t="s">
        <v>9</v>
      </c>
      <c r="C120" s="1212"/>
      <c r="D120" s="1212"/>
      <c r="E120" s="1212"/>
      <c r="F120" s="1117"/>
      <c r="G120" s="1273"/>
      <c r="H120" s="1273"/>
      <c r="I120" s="1272"/>
      <c r="J120" s="1272"/>
    </row>
    <row r="121" spans="1:10" ht="27.75" customHeight="1" x14ac:dyDescent="0.3">
      <c r="A121" s="202" t="s">
        <v>34</v>
      </c>
      <c r="B121" s="1274" t="s">
        <v>35</v>
      </c>
      <c r="C121" s="1274"/>
      <c r="D121" s="1274"/>
      <c r="E121" s="1274"/>
      <c r="F121" s="1274"/>
      <c r="G121" s="1271">
        <f>G116+G117</f>
        <v>120200.00000000001</v>
      </c>
      <c r="H121" s="1271"/>
      <c r="I121" s="1272">
        <f>G121*2.9%</f>
        <v>3485.8</v>
      </c>
      <c r="J121" s="1272"/>
    </row>
    <row r="122" spans="1:10" ht="15" customHeight="1" x14ac:dyDescent="0.3">
      <c r="A122" s="202" t="s">
        <v>36</v>
      </c>
      <c r="B122" s="1274" t="s">
        <v>37</v>
      </c>
      <c r="C122" s="1274"/>
      <c r="D122" s="1274"/>
      <c r="E122" s="1274"/>
      <c r="F122" s="1274"/>
      <c r="G122" s="1273"/>
      <c r="H122" s="1273"/>
      <c r="I122" s="1272"/>
      <c r="J122" s="1272"/>
    </row>
    <row r="123" spans="1:10" ht="35.25" customHeight="1" x14ac:dyDescent="0.3">
      <c r="A123" s="202" t="s">
        <v>38</v>
      </c>
      <c r="B123" s="1274" t="s">
        <v>39</v>
      </c>
      <c r="C123" s="1274"/>
      <c r="D123" s="1274"/>
      <c r="E123" s="1274"/>
      <c r="F123" s="1274"/>
      <c r="G123" s="1271">
        <f>G116+G117</f>
        <v>120200.00000000001</v>
      </c>
      <c r="H123" s="1271"/>
      <c r="I123" s="1272">
        <f>G123*0.2%</f>
        <v>240.40000000000003</v>
      </c>
      <c r="J123" s="1272"/>
    </row>
    <row r="124" spans="1:10" s="41" customFormat="1" ht="15" customHeight="1" x14ac:dyDescent="0.3">
      <c r="A124" s="202" t="s">
        <v>40</v>
      </c>
      <c r="B124" s="1274" t="s">
        <v>41</v>
      </c>
      <c r="C124" s="1274"/>
      <c r="D124" s="1274"/>
      <c r="E124" s="1274"/>
      <c r="F124" s="1274"/>
      <c r="G124" s="1273"/>
      <c r="H124" s="1273"/>
      <c r="I124" s="1272"/>
      <c r="J124" s="1272"/>
    </row>
    <row r="125" spans="1:10" ht="15" customHeight="1" x14ac:dyDescent="0.3">
      <c r="A125" s="202" t="s">
        <v>42</v>
      </c>
      <c r="B125" s="1274" t="s">
        <v>41</v>
      </c>
      <c r="C125" s="1274"/>
      <c r="D125" s="1274"/>
      <c r="E125" s="1274"/>
      <c r="F125" s="1274"/>
      <c r="G125" s="1273"/>
      <c r="H125" s="1273"/>
      <c r="I125" s="1272"/>
      <c r="J125" s="1272"/>
    </row>
    <row r="126" spans="1:10" ht="30" customHeight="1" x14ac:dyDescent="0.3">
      <c r="A126" s="198" t="s">
        <v>77</v>
      </c>
      <c r="B126" s="1295" t="s">
        <v>43</v>
      </c>
      <c r="C126" s="1295"/>
      <c r="D126" s="1295"/>
      <c r="E126" s="1295"/>
      <c r="F126" s="1295"/>
      <c r="G126" s="1298">
        <f>G116+G117</f>
        <v>120200.00000000001</v>
      </c>
      <c r="H126" s="1298"/>
      <c r="I126" s="1299">
        <f>G126*5.1%-36.4</f>
        <v>6093.8000000000011</v>
      </c>
      <c r="J126" s="1299"/>
    </row>
    <row r="127" spans="1:10" ht="19.5" customHeight="1" x14ac:dyDescent="0.3">
      <c r="A127" s="202"/>
      <c r="B127" s="1098" t="s">
        <v>929</v>
      </c>
      <c r="C127" s="1098"/>
      <c r="D127" s="1098"/>
      <c r="E127" s="1098"/>
      <c r="F127" s="1098"/>
      <c r="G127" s="1090" t="s">
        <v>14</v>
      </c>
      <c r="H127" s="1090"/>
      <c r="I127" s="1297">
        <f>I114+I119+I126</f>
        <v>36500.000000000007</v>
      </c>
      <c r="J127" s="1297"/>
    </row>
    <row r="128" spans="1:10" ht="36" hidden="1" customHeight="1" x14ac:dyDescent="0.3">
      <c r="A128" s="183" t="s">
        <v>1</v>
      </c>
      <c r="B128" s="1269" t="s">
        <v>23</v>
      </c>
      <c r="C128" s="1296"/>
      <c r="D128" s="1296"/>
      <c r="E128" s="1296"/>
      <c r="F128" s="1270"/>
      <c r="G128" s="1269" t="s">
        <v>24</v>
      </c>
      <c r="H128" s="1270"/>
      <c r="I128" s="1269" t="s">
        <v>25</v>
      </c>
      <c r="J128" s="1270"/>
    </row>
    <row r="129" spans="1:10" ht="11.25" hidden="1" customHeight="1" x14ac:dyDescent="0.3">
      <c r="A129" s="199">
        <v>1</v>
      </c>
      <c r="B129" s="1139">
        <v>2</v>
      </c>
      <c r="C129" s="1210"/>
      <c r="D129" s="1210"/>
      <c r="E129" s="1210"/>
      <c r="F129" s="1140"/>
      <c r="G129" s="1139">
        <v>3</v>
      </c>
      <c r="H129" s="1140"/>
      <c r="I129" s="1139">
        <v>4</v>
      </c>
      <c r="J129" s="1140"/>
    </row>
    <row r="130" spans="1:10" ht="20.25" hidden="1" customHeight="1" x14ac:dyDescent="0.3">
      <c r="A130" s="198" t="s">
        <v>70</v>
      </c>
      <c r="B130" s="1252" t="s">
        <v>26</v>
      </c>
      <c r="C130" s="1253"/>
      <c r="D130" s="1253"/>
      <c r="E130" s="1253"/>
      <c r="F130" s="1254"/>
      <c r="G130" s="1187" t="s">
        <v>14</v>
      </c>
      <c r="H130" s="1188"/>
      <c r="I130" s="1255">
        <f>SUM(I132:J134)</f>
        <v>0</v>
      </c>
      <c r="J130" s="1256"/>
    </row>
    <row r="131" spans="1:10" ht="18" hidden="1" customHeight="1" x14ac:dyDescent="0.3">
      <c r="A131" s="98"/>
      <c r="B131" s="1116" t="s">
        <v>9</v>
      </c>
      <c r="C131" s="1212"/>
      <c r="D131" s="1212"/>
      <c r="E131" s="1212"/>
      <c r="F131" s="1117"/>
      <c r="G131" s="1257"/>
      <c r="H131" s="1258"/>
      <c r="I131" s="1259"/>
      <c r="J131" s="1260"/>
    </row>
    <row r="132" spans="1:10" s="41" customFormat="1" ht="20.25" hidden="1" customHeight="1" x14ac:dyDescent="0.3">
      <c r="A132" s="202" t="s">
        <v>27</v>
      </c>
      <c r="B132" s="1263" t="s">
        <v>28</v>
      </c>
      <c r="C132" s="1264"/>
      <c r="D132" s="1264"/>
      <c r="E132" s="1264"/>
      <c r="F132" s="1265"/>
      <c r="G132" s="1261">
        <f>J86</f>
        <v>0</v>
      </c>
      <c r="H132" s="1262"/>
      <c r="I132" s="1259">
        <f>G132*22%</f>
        <v>0</v>
      </c>
      <c r="J132" s="1260"/>
    </row>
    <row r="133" spans="1:10" hidden="1" x14ac:dyDescent="0.3">
      <c r="A133" s="202" t="s">
        <v>29</v>
      </c>
      <c r="B133" s="1197" t="s">
        <v>30</v>
      </c>
      <c r="C133" s="1198"/>
      <c r="D133" s="1198"/>
      <c r="E133" s="1198"/>
      <c r="F133" s="1199"/>
      <c r="G133" s="1257"/>
      <c r="H133" s="1258"/>
      <c r="I133" s="1259"/>
      <c r="J133" s="1260"/>
    </row>
    <row r="134" spans="1:10" ht="15" hidden="1" customHeight="1" x14ac:dyDescent="0.3">
      <c r="A134" s="202" t="s">
        <v>31</v>
      </c>
      <c r="B134" s="1266" t="s">
        <v>32</v>
      </c>
      <c r="C134" s="1267"/>
      <c r="D134" s="1267"/>
      <c r="E134" s="1267"/>
      <c r="F134" s="1268"/>
      <c r="G134" s="1257"/>
      <c r="H134" s="1258"/>
      <c r="I134" s="1259"/>
      <c r="J134" s="1260"/>
    </row>
    <row r="135" spans="1:10" ht="15" hidden="1" customHeight="1" x14ac:dyDescent="0.3">
      <c r="A135" s="198" t="s">
        <v>75</v>
      </c>
      <c r="B135" s="1252" t="s">
        <v>33</v>
      </c>
      <c r="C135" s="1253"/>
      <c r="D135" s="1253"/>
      <c r="E135" s="1253"/>
      <c r="F135" s="1254"/>
      <c r="G135" s="1187" t="s">
        <v>14</v>
      </c>
      <c r="H135" s="1188"/>
      <c r="I135" s="1255">
        <f>SUM(I137:J141)</f>
        <v>-4.0000000000000001E-3</v>
      </c>
      <c r="J135" s="1256"/>
    </row>
    <row r="136" spans="1:10" ht="15" hidden="1" customHeight="1" x14ac:dyDescent="0.3">
      <c r="A136" s="98"/>
      <c r="B136" s="1116" t="s">
        <v>9</v>
      </c>
      <c r="C136" s="1212"/>
      <c r="D136" s="1212"/>
      <c r="E136" s="1212"/>
      <c r="F136" s="1117"/>
      <c r="G136" s="1257"/>
      <c r="H136" s="1258"/>
      <c r="I136" s="1259"/>
      <c r="J136" s="1260"/>
    </row>
    <row r="137" spans="1:10" ht="26.25" hidden="1" customHeight="1" x14ac:dyDescent="0.3">
      <c r="A137" s="202" t="s">
        <v>34</v>
      </c>
      <c r="B137" s="1266" t="s">
        <v>35</v>
      </c>
      <c r="C137" s="1267"/>
      <c r="D137" s="1267"/>
      <c r="E137" s="1267"/>
      <c r="F137" s="1268"/>
      <c r="G137" s="1261">
        <f>G132</f>
        <v>0</v>
      </c>
      <c r="H137" s="1262"/>
      <c r="I137" s="1259">
        <f>G137*2.9%</f>
        <v>0</v>
      </c>
      <c r="J137" s="1260"/>
    </row>
    <row r="138" spans="1:10" hidden="1" x14ac:dyDescent="0.3">
      <c r="A138" s="202" t="s">
        <v>36</v>
      </c>
      <c r="B138" s="1266" t="s">
        <v>37</v>
      </c>
      <c r="C138" s="1267"/>
      <c r="D138" s="1267"/>
      <c r="E138" s="1267"/>
      <c r="F138" s="1268"/>
      <c r="G138" s="1257"/>
      <c r="H138" s="1258"/>
      <c r="I138" s="1259"/>
      <c r="J138" s="1260"/>
    </row>
    <row r="139" spans="1:10" ht="26.25" hidden="1" customHeight="1" x14ac:dyDescent="0.3">
      <c r="A139" s="202" t="s">
        <v>38</v>
      </c>
      <c r="B139" s="1266" t="s">
        <v>39</v>
      </c>
      <c r="C139" s="1267"/>
      <c r="D139" s="1267"/>
      <c r="E139" s="1267"/>
      <c r="F139" s="1268"/>
      <c r="G139" s="1261">
        <f>G132</f>
        <v>0</v>
      </c>
      <c r="H139" s="1262"/>
      <c r="I139" s="1259">
        <f>G139*0.2%-0.004</f>
        <v>-4.0000000000000001E-3</v>
      </c>
      <c r="J139" s="1260"/>
    </row>
    <row r="140" spans="1:10" s="41" customFormat="1" ht="14.25" hidden="1" customHeight="1" x14ac:dyDescent="0.3">
      <c r="A140" s="202" t="s">
        <v>40</v>
      </c>
      <c r="B140" s="1266" t="s">
        <v>41</v>
      </c>
      <c r="C140" s="1267"/>
      <c r="D140" s="1267"/>
      <c r="E140" s="1267"/>
      <c r="F140" s="1268"/>
      <c r="G140" s="1257"/>
      <c r="H140" s="1258"/>
      <c r="I140" s="1259"/>
      <c r="J140" s="1260"/>
    </row>
    <row r="141" spans="1:10" ht="15" hidden="1" customHeight="1" x14ac:dyDescent="0.3">
      <c r="A141" s="202" t="s">
        <v>42</v>
      </c>
      <c r="B141" s="1266" t="s">
        <v>41</v>
      </c>
      <c r="C141" s="1267"/>
      <c r="D141" s="1267"/>
      <c r="E141" s="1267"/>
      <c r="F141" s="1268"/>
      <c r="G141" s="1257"/>
      <c r="H141" s="1258"/>
      <c r="I141" s="1259"/>
      <c r="J141" s="1260"/>
    </row>
    <row r="142" spans="1:10" hidden="1" x14ac:dyDescent="0.3">
      <c r="A142" s="198" t="s">
        <v>77</v>
      </c>
      <c r="B142" s="1252" t="s">
        <v>43</v>
      </c>
      <c r="C142" s="1253"/>
      <c r="D142" s="1253"/>
      <c r="E142" s="1253"/>
      <c r="F142" s="1254"/>
      <c r="G142" s="1292">
        <f>G132</f>
        <v>0</v>
      </c>
      <c r="H142" s="1293"/>
      <c r="I142" s="1255">
        <f>G142*5.1%</f>
        <v>0</v>
      </c>
      <c r="J142" s="1256"/>
    </row>
    <row r="143" spans="1:10" x14ac:dyDescent="0.3">
      <c r="A143" s="202"/>
      <c r="B143" s="1249" t="s">
        <v>380</v>
      </c>
      <c r="C143" s="1250"/>
      <c r="D143" s="1250"/>
      <c r="E143" s="1250"/>
      <c r="F143" s="1251"/>
      <c r="G143" s="1244" t="s">
        <v>14</v>
      </c>
      <c r="H143" s="1245"/>
      <c r="I143" s="1288">
        <f>I130+I135+I142</f>
        <v>-4.0000000000000001E-3</v>
      </c>
      <c r="J143" s="1289"/>
    </row>
    <row r="144" spans="1:10" x14ac:dyDescent="0.3">
      <c r="A144" s="202"/>
      <c r="B144" s="1249" t="s">
        <v>567</v>
      </c>
      <c r="C144" s="1250"/>
      <c r="D144" s="1250"/>
      <c r="E144" s="1250"/>
      <c r="F144" s="1251"/>
      <c r="G144" s="193"/>
      <c r="H144" s="194"/>
      <c r="I144" s="1288">
        <v>0</v>
      </c>
      <c r="J144" s="1289"/>
    </row>
    <row r="145" spans="1:12" s="41" customFormat="1" ht="19.5" customHeight="1" x14ac:dyDescent="0.3">
      <c r="A145" s="109"/>
      <c r="B145" s="1294" t="s">
        <v>809</v>
      </c>
      <c r="C145" s="1294"/>
      <c r="D145" s="1294"/>
      <c r="E145" s="1294"/>
      <c r="F145" s="1294"/>
      <c r="G145" s="1290" t="s">
        <v>14</v>
      </c>
      <c r="H145" s="1290"/>
      <c r="I145" s="1291">
        <f>I127+I143+I144</f>
        <v>36499.996000000006</v>
      </c>
      <c r="J145" s="1291"/>
      <c r="K145" s="1237"/>
      <c r="L145" s="1237"/>
    </row>
    <row r="146" spans="1:12" s="41" customFormat="1" ht="38.25" customHeight="1" x14ac:dyDescent="0.3">
      <c r="A146" s="1240" t="s">
        <v>468</v>
      </c>
      <c r="B146" s="1240"/>
      <c r="C146" s="1240"/>
      <c r="D146" s="1240"/>
      <c r="E146" s="1240"/>
      <c r="F146" s="1240"/>
      <c r="G146" s="1240"/>
      <c r="H146" s="1240"/>
      <c r="I146" s="1240"/>
      <c r="J146" s="1240"/>
    </row>
    <row r="147" spans="1:12" ht="19.5" hidden="1" customHeight="1" x14ac:dyDescent="0.3">
      <c r="A147" s="1243" t="s">
        <v>377</v>
      </c>
      <c r="B147" s="1243"/>
      <c r="C147" s="1243"/>
      <c r="D147" s="1243"/>
      <c r="E147" s="1243"/>
      <c r="F147" s="1243"/>
      <c r="G147" s="1243"/>
      <c r="H147" s="1243"/>
      <c r="I147" s="1243"/>
      <c r="J147" s="1243"/>
      <c r="K147" s="11"/>
      <c r="L147" s="11"/>
    </row>
    <row r="148" spans="1:12" ht="15" hidden="1" customHeight="1" x14ac:dyDescent="0.3">
      <c r="A148" s="89" t="s">
        <v>80</v>
      </c>
      <c r="B148" s="90"/>
      <c r="C148" s="93">
        <v>321</v>
      </c>
      <c r="D148" s="93"/>
      <c r="E148" s="93"/>
      <c r="F148" s="94"/>
      <c r="G148" s="94"/>
      <c r="H148" s="94"/>
      <c r="I148" s="94"/>
      <c r="J148" s="94"/>
      <c r="K148" s="11"/>
      <c r="L148" s="11"/>
    </row>
    <row r="149" spans="1:12" ht="16.5" hidden="1" customHeight="1" x14ac:dyDescent="0.3">
      <c r="A149" s="89" t="s">
        <v>81</v>
      </c>
      <c r="B149" s="90"/>
      <c r="C149" s="90"/>
      <c r="D149" s="90"/>
      <c r="E149" s="95"/>
      <c r="F149" s="96"/>
      <c r="G149" s="96"/>
      <c r="H149" s="96"/>
      <c r="I149" s="96"/>
      <c r="J149" s="96"/>
      <c r="K149" s="11"/>
      <c r="L149" s="11"/>
    </row>
    <row r="150" spans="1:12" ht="36" hidden="1" customHeight="1" x14ac:dyDescent="0.3">
      <c r="A150" s="199" t="s">
        <v>1</v>
      </c>
      <c r="B150" s="1139" t="s">
        <v>44</v>
      </c>
      <c r="C150" s="1210"/>
      <c r="D150" s="1140"/>
      <c r="E150" s="1139" t="s">
        <v>45</v>
      </c>
      <c r="F150" s="1140"/>
      <c r="G150" s="1139" t="s">
        <v>46</v>
      </c>
      <c r="H150" s="1140"/>
      <c r="I150" s="1139" t="s">
        <v>102</v>
      </c>
      <c r="J150" s="1140"/>
      <c r="K150" s="11"/>
      <c r="L150" s="11"/>
    </row>
    <row r="151" spans="1:12" ht="16.5" hidden="1" customHeight="1" x14ac:dyDescent="0.3">
      <c r="A151" s="199">
        <v>1</v>
      </c>
      <c r="B151" s="1139">
        <v>2</v>
      </c>
      <c r="C151" s="1210"/>
      <c r="D151" s="1140"/>
      <c r="E151" s="1139">
        <v>3</v>
      </c>
      <c r="F151" s="1140"/>
      <c r="G151" s="1139">
        <v>4</v>
      </c>
      <c r="H151" s="1140"/>
      <c r="I151" s="1139">
        <v>5</v>
      </c>
      <c r="J151" s="1140"/>
      <c r="K151" s="11"/>
      <c r="L151" s="11"/>
    </row>
    <row r="152" spans="1:12" ht="89.25" hidden="1" customHeight="1" x14ac:dyDescent="0.3">
      <c r="A152" s="182" t="s">
        <v>70</v>
      </c>
      <c r="B152" s="1197" t="s">
        <v>368</v>
      </c>
      <c r="C152" s="1198"/>
      <c r="D152" s="1199"/>
      <c r="E152" s="1116"/>
      <c r="F152" s="1117"/>
      <c r="G152" s="1116"/>
      <c r="H152" s="1117"/>
      <c r="I152" s="1116"/>
      <c r="J152" s="1117"/>
    </row>
    <row r="153" spans="1:12" ht="28.5" hidden="1" customHeight="1" x14ac:dyDescent="0.3">
      <c r="A153" s="202" t="s">
        <v>75</v>
      </c>
      <c r="B153" s="1197" t="s">
        <v>367</v>
      </c>
      <c r="C153" s="1198"/>
      <c r="D153" s="1199"/>
      <c r="E153" s="1116"/>
      <c r="F153" s="1117"/>
      <c r="G153" s="1116"/>
      <c r="H153" s="1117"/>
      <c r="I153" s="1116"/>
      <c r="J153" s="1117"/>
    </row>
    <row r="154" spans="1:12" ht="28.5" hidden="1" customHeight="1" x14ac:dyDescent="0.3">
      <c r="A154" s="202" t="s">
        <v>70</v>
      </c>
      <c r="B154" s="1313" t="s">
        <v>373</v>
      </c>
      <c r="C154" s="1314"/>
      <c r="D154" s="1315"/>
      <c r="E154" s="1116"/>
      <c r="F154" s="1156"/>
      <c r="G154" s="1116"/>
      <c r="H154" s="1156"/>
      <c r="I154" s="1116"/>
      <c r="J154" s="1156"/>
    </row>
    <row r="155" spans="1:12" hidden="1" x14ac:dyDescent="0.3">
      <c r="A155" s="200"/>
      <c r="B155" s="1249" t="s">
        <v>13</v>
      </c>
      <c r="C155" s="1250"/>
      <c r="D155" s="1251"/>
      <c r="E155" s="1244" t="s">
        <v>14</v>
      </c>
      <c r="F155" s="1245"/>
      <c r="G155" s="1244" t="s">
        <v>14</v>
      </c>
      <c r="H155" s="1245"/>
      <c r="I155" s="1244">
        <f>SUM(I154)</f>
        <v>0</v>
      </c>
      <c r="J155" s="1245"/>
    </row>
    <row r="156" spans="1:12" s="41" customFormat="1" ht="21" hidden="1" customHeight="1" x14ac:dyDescent="0.3">
      <c r="A156" s="1243" t="s">
        <v>369</v>
      </c>
      <c r="B156" s="1243"/>
      <c r="C156" s="1243"/>
      <c r="D156" s="1243"/>
      <c r="E156" s="1243"/>
      <c r="F156" s="1243"/>
      <c r="G156" s="1243"/>
      <c r="H156" s="1243"/>
      <c r="I156" s="1243"/>
      <c r="J156" s="1243"/>
    </row>
    <row r="157" spans="1:12" s="41" customFormat="1" ht="21" hidden="1" customHeight="1" x14ac:dyDescent="0.3">
      <c r="A157" s="89" t="s">
        <v>80</v>
      </c>
      <c r="B157" s="90"/>
      <c r="C157" s="93">
        <v>851</v>
      </c>
      <c r="D157" s="93">
        <v>852</v>
      </c>
      <c r="E157" s="93">
        <v>853</v>
      </c>
      <c r="F157" s="94"/>
      <c r="G157" s="94"/>
      <c r="H157" s="94"/>
      <c r="I157" s="94"/>
      <c r="J157" s="94"/>
      <c r="K157" s="42"/>
      <c r="L157" s="43"/>
    </row>
    <row r="158" spans="1:12" s="41" customFormat="1" ht="15.6" hidden="1" x14ac:dyDescent="0.3">
      <c r="A158" s="89" t="s">
        <v>81</v>
      </c>
      <c r="B158" s="90"/>
      <c r="C158" s="90"/>
      <c r="D158" s="90"/>
      <c r="E158" s="95"/>
      <c r="F158" s="96"/>
      <c r="G158" s="96"/>
      <c r="H158" s="96"/>
      <c r="I158" s="96"/>
      <c r="J158" s="96"/>
    </row>
    <row r="159" spans="1:12" ht="39.75" hidden="1" customHeight="1" x14ac:dyDescent="0.3">
      <c r="A159" s="199" t="s">
        <v>1</v>
      </c>
      <c r="B159" s="1110" t="s">
        <v>15</v>
      </c>
      <c r="C159" s="1110"/>
      <c r="D159" s="1110"/>
      <c r="E159" s="1110" t="s">
        <v>47</v>
      </c>
      <c r="F159" s="1110"/>
      <c r="G159" s="1110" t="s">
        <v>48</v>
      </c>
      <c r="H159" s="1110"/>
      <c r="I159" s="1110" t="s">
        <v>103</v>
      </c>
      <c r="J159" s="1110"/>
    </row>
    <row r="160" spans="1:12" ht="15" hidden="1" customHeight="1" x14ac:dyDescent="0.3">
      <c r="A160" s="199">
        <v>1</v>
      </c>
      <c r="B160" s="1110">
        <v>2</v>
      </c>
      <c r="C160" s="1110"/>
      <c r="D160" s="1110"/>
      <c r="E160" s="1110">
        <v>3</v>
      </c>
      <c r="F160" s="1110"/>
      <c r="G160" s="1110">
        <v>4</v>
      </c>
      <c r="H160" s="1110"/>
      <c r="I160" s="1110">
        <v>5</v>
      </c>
      <c r="J160" s="1110"/>
    </row>
    <row r="161" spans="1:12" ht="20.25" hidden="1" customHeight="1" x14ac:dyDescent="0.3">
      <c r="A161" s="1280" t="s">
        <v>70</v>
      </c>
      <c r="B161" s="1285" t="s">
        <v>296</v>
      </c>
      <c r="C161" s="1286"/>
      <c r="D161" s="205" t="s">
        <v>515</v>
      </c>
      <c r="E161" s="1287"/>
      <c r="F161" s="1287"/>
      <c r="G161" s="1284">
        <v>2.1999999999999999E-2</v>
      </c>
      <c r="H161" s="1284"/>
      <c r="I161" s="1231"/>
      <c r="J161" s="1231"/>
    </row>
    <row r="162" spans="1:12" ht="17.25" hidden="1" customHeight="1" x14ac:dyDescent="0.3">
      <c r="A162" s="1281"/>
      <c r="B162" s="1286"/>
      <c r="C162" s="1286"/>
      <c r="D162" s="206" t="s">
        <v>516</v>
      </c>
      <c r="E162" s="1287"/>
      <c r="F162" s="1287"/>
      <c r="G162" s="1284">
        <v>2.1999999999999999E-2</v>
      </c>
      <c r="H162" s="1284"/>
      <c r="I162" s="1231"/>
      <c r="J162" s="1231"/>
    </row>
    <row r="163" spans="1:12" ht="18" hidden="1" customHeight="1" x14ac:dyDescent="0.3">
      <c r="A163" s="202" t="s">
        <v>75</v>
      </c>
      <c r="B163" s="1197" t="s">
        <v>298</v>
      </c>
      <c r="C163" s="1198"/>
      <c r="D163" s="1199"/>
      <c r="E163" s="1213">
        <v>0</v>
      </c>
      <c r="F163" s="1213"/>
      <c r="G163" s="1213">
        <v>0</v>
      </c>
      <c r="H163" s="1213"/>
      <c r="I163" s="1231"/>
      <c r="J163" s="1231"/>
    </row>
    <row r="164" spans="1:12" ht="31.5" hidden="1" customHeight="1" x14ac:dyDescent="0.3">
      <c r="A164" s="202" t="s">
        <v>77</v>
      </c>
      <c r="B164" s="1197" t="s">
        <v>299</v>
      </c>
      <c r="C164" s="1198"/>
      <c r="D164" s="1199"/>
      <c r="E164" s="1213">
        <v>0</v>
      </c>
      <c r="F164" s="1213"/>
      <c r="G164" s="1213">
        <v>0</v>
      </c>
      <c r="H164" s="1213"/>
      <c r="I164" s="1231"/>
      <c r="J164" s="1231"/>
    </row>
    <row r="165" spans="1:12" ht="31.5" hidden="1" customHeight="1" x14ac:dyDescent="0.3">
      <c r="A165" s="202" t="s">
        <v>86</v>
      </c>
      <c r="B165" s="1197" t="s">
        <v>297</v>
      </c>
      <c r="C165" s="1198"/>
      <c r="D165" s="1199"/>
      <c r="E165" s="1116">
        <v>0</v>
      </c>
      <c r="F165" s="1117"/>
      <c r="G165" s="1116">
        <v>0</v>
      </c>
      <c r="H165" s="1117"/>
      <c r="I165" s="1282"/>
      <c r="J165" s="1283"/>
    </row>
    <row r="166" spans="1:12" ht="15.75" hidden="1" customHeight="1" x14ac:dyDescent="0.3">
      <c r="A166" s="200"/>
      <c r="B166" s="1098" t="s">
        <v>13</v>
      </c>
      <c r="C166" s="1098"/>
      <c r="D166" s="1098"/>
      <c r="E166" s="1090" t="s">
        <v>74</v>
      </c>
      <c r="F166" s="1090"/>
      <c r="G166" s="1090" t="s">
        <v>14</v>
      </c>
      <c r="H166" s="1090"/>
      <c r="I166" s="1101">
        <f>SUM(I161:J165)</f>
        <v>0</v>
      </c>
      <c r="J166" s="1090"/>
    </row>
    <row r="167" spans="1:12" ht="27" hidden="1" customHeight="1" x14ac:dyDescent="0.3">
      <c r="A167" s="1243" t="s">
        <v>85</v>
      </c>
      <c r="B167" s="1243"/>
      <c r="C167" s="1243"/>
      <c r="D167" s="1243"/>
      <c r="E167" s="1243"/>
      <c r="F167" s="1243"/>
      <c r="G167" s="1243"/>
      <c r="H167" s="1243"/>
      <c r="I167" s="1243"/>
      <c r="J167" s="1243"/>
      <c r="K167" s="1237"/>
      <c r="L167" s="1237"/>
    </row>
    <row r="168" spans="1:12" s="41" customFormat="1" ht="15.75" hidden="1" customHeight="1" x14ac:dyDescent="0.3">
      <c r="A168" s="89" t="s">
        <v>80</v>
      </c>
      <c r="B168" s="90"/>
      <c r="C168" s="93"/>
      <c r="D168" s="93"/>
      <c r="E168" s="93"/>
      <c r="F168" s="94"/>
      <c r="G168" s="94"/>
      <c r="H168" s="94"/>
      <c r="I168" s="94"/>
      <c r="J168" s="94"/>
      <c r="K168" s="42"/>
      <c r="L168" s="43"/>
    </row>
    <row r="169" spans="1:12" s="41" customFormat="1" ht="15.6" hidden="1" x14ac:dyDescent="0.3">
      <c r="A169" s="89" t="s">
        <v>81</v>
      </c>
      <c r="B169" s="90"/>
      <c r="C169" s="90"/>
      <c r="D169" s="90"/>
      <c r="E169" s="95"/>
      <c r="F169" s="96"/>
      <c r="G169" s="96"/>
      <c r="H169" s="96"/>
      <c r="I169" s="96"/>
      <c r="J169" s="96"/>
    </row>
    <row r="170" spans="1:12" ht="24.75" hidden="1" customHeight="1" x14ac:dyDescent="0.3">
      <c r="A170" s="199" t="s">
        <v>1</v>
      </c>
      <c r="B170" s="1110" t="s">
        <v>44</v>
      </c>
      <c r="C170" s="1110"/>
      <c r="D170" s="1110"/>
      <c r="E170" s="1110" t="s">
        <v>45</v>
      </c>
      <c r="F170" s="1110"/>
      <c r="G170" s="1110" t="s">
        <v>46</v>
      </c>
      <c r="H170" s="1110"/>
      <c r="I170" s="1110" t="s">
        <v>102</v>
      </c>
      <c r="J170" s="1110"/>
      <c r="K170" s="11"/>
      <c r="L170" s="11"/>
    </row>
    <row r="171" spans="1:12" ht="14.25" hidden="1" customHeight="1" x14ac:dyDescent="0.3">
      <c r="A171" s="199">
        <v>1</v>
      </c>
      <c r="B171" s="1110">
        <v>2</v>
      </c>
      <c r="C171" s="1110"/>
      <c r="D171" s="1110"/>
      <c r="E171" s="1110">
        <v>3</v>
      </c>
      <c r="F171" s="1110"/>
      <c r="G171" s="1110">
        <v>4</v>
      </c>
      <c r="H171" s="1110"/>
      <c r="I171" s="1110">
        <v>5</v>
      </c>
      <c r="J171" s="1110"/>
      <c r="K171" s="212"/>
      <c r="L171" s="213"/>
    </row>
    <row r="172" spans="1:12" ht="15" hidden="1" customHeight="1" x14ac:dyDescent="0.3">
      <c r="A172" s="202"/>
      <c r="B172" s="1116"/>
      <c r="C172" s="1212"/>
      <c r="D172" s="1117"/>
      <c r="E172" s="1116"/>
      <c r="F172" s="1117"/>
      <c r="G172" s="1116"/>
      <c r="H172" s="1117"/>
      <c r="I172" s="1116"/>
      <c r="J172" s="1117"/>
      <c r="K172" s="11"/>
      <c r="L172" s="11"/>
    </row>
    <row r="173" spans="1:12" ht="17.25" hidden="1" customHeight="1" x14ac:dyDescent="0.3">
      <c r="A173" s="200"/>
      <c r="B173" s="1098" t="s">
        <v>13</v>
      </c>
      <c r="C173" s="1098"/>
      <c r="D173" s="1098"/>
      <c r="E173" s="1090" t="s">
        <v>14</v>
      </c>
      <c r="F173" s="1090"/>
      <c r="G173" s="1090" t="s">
        <v>14</v>
      </c>
      <c r="H173" s="1090"/>
      <c r="I173" s="1090"/>
      <c r="J173" s="1090"/>
      <c r="K173" s="11"/>
      <c r="L173" s="11"/>
    </row>
    <row r="174" spans="1:12" ht="16.5" hidden="1" customHeight="1" x14ac:dyDescent="0.3">
      <c r="A174" s="1218" t="s">
        <v>91</v>
      </c>
      <c r="B174" s="1218"/>
      <c r="C174" s="1218"/>
      <c r="D174" s="1218"/>
      <c r="E174" s="1218"/>
      <c r="F174" s="1218"/>
      <c r="G174" s="1218"/>
      <c r="H174" s="1218"/>
      <c r="I174" s="1218"/>
      <c r="J174" s="1218"/>
      <c r="K174" s="11"/>
      <c r="L174" s="11"/>
    </row>
    <row r="175" spans="1:12" ht="18" hidden="1" customHeight="1" x14ac:dyDescent="0.3">
      <c r="A175" s="89" t="s">
        <v>80</v>
      </c>
      <c r="B175" s="90"/>
      <c r="C175" s="93">
        <v>244</v>
      </c>
      <c r="D175" s="93"/>
      <c r="E175" s="93"/>
      <c r="F175" s="94"/>
      <c r="G175" s="94"/>
      <c r="H175" s="94"/>
      <c r="I175" s="94"/>
      <c r="J175" s="94"/>
      <c r="K175" s="11"/>
      <c r="L175" s="11"/>
    </row>
    <row r="176" spans="1:12" ht="18" hidden="1" customHeight="1" x14ac:dyDescent="0.3">
      <c r="A176" s="89" t="s">
        <v>81</v>
      </c>
      <c r="B176" s="90"/>
      <c r="C176" s="90"/>
      <c r="D176" s="90"/>
      <c r="E176" s="95" t="s">
        <v>82</v>
      </c>
      <c r="F176" s="96"/>
      <c r="G176" s="95"/>
      <c r="H176" s="96"/>
      <c r="I176" s="96"/>
      <c r="J176" s="96"/>
      <c r="K176" s="11"/>
      <c r="L176" s="11"/>
    </row>
    <row r="177" spans="1:13" ht="18" hidden="1" customHeight="1" x14ac:dyDescent="0.3">
      <c r="A177" s="1214" t="s">
        <v>568</v>
      </c>
      <c r="B177" s="1214"/>
      <c r="C177" s="1214"/>
      <c r="D177" s="1214"/>
      <c r="E177" s="1214"/>
      <c r="F177" s="1214"/>
      <c r="G177" s="1214"/>
      <c r="H177" s="1214"/>
      <c r="I177" s="1214"/>
      <c r="J177" s="1214"/>
      <c r="K177" s="11"/>
      <c r="L177" s="11"/>
    </row>
    <row r="178" spans="1:13" ht="30" hidden="1" customHeight="1" x14ac:dyDescent="0.3">
      <c r="A178" s="199" t="s">
        <v>1</v>
      </c>
      <c r="B178" s="1110" t="s">
        <v>44</v>
      </c>
      <c r="C178" s="1110"/>
      <c r="D178" s="1110"/>
      <c r="E178" s="1110" t="s">
        <v>45</v>
      </c>
      <c r="F178" s="1110"/>
      <c r="G178" s="1110" t="s">
        <v>46</v>
      </c>
      <c r="H178" s="1110"/>
      <c r="I178" s="1110" t="s">
        <v>102</v>
      </c>
      <c r="J178" s="1110"/>
      <c r="K178" s="144"/>
      <c r="L178" s="11"/>
    </row>
    <row r="179" spans="1:13" ht="17.25" hidden="1" customHeight="1" x14ac:dyDescent="0.3">
      <c r="A179" s="199">
        <v>1</v>
      </c>
      <c r="B179" s="1110">
        <v>2</v>
      </c>
      <c r="C179" s="1110"/>
      <c r="D179" s="1110"/>
      <c r="E179" s="1110">
        <v>3</v>
      </c>
      <c r="F179" s="1110"/>
      <c r="G179" s="1110">
        <v>4</v>
      </c>
      <c r="H179" s="1110"/>
      <c r="I179" s="1110">
        <v>5</v>
      </c>
      <c r="J179" s="1110"/>
      <c r="K179" s="11"/>
      <c r="L179" s="11"/>
    </row>
    <row r="180" spans="1:13" ht="21.75" hidden="1" customHeight="1" x14ac:dyDescent="0.3">
      <c r="A180" s="202" t="s">
        <v>70</v>
      </c>
      <c r="B180" s="1197" t="s">
        <v>569</v>
      </c>
      <c r="C180" s="1198"/>
      <c r="D180" s="1199"/>
      <c r="E180" s="1116">
        <v>5000</v>
      </c>
      <c r="F180" s="1117"/>
      <c r="G180" s="1116">
        <v>1</v>
      </c>
      <c r="H180" s="1117"/>
      <c r="I180" s="1238">
        <v>0</v>
      </c>
      <c r="J180" s="1239"/>
      <c r="K180" s="11"/>
      <c r="L180" s="145"/>
    </row>
    <row r="181" spans="1:13" ht="38.25" hidden="1" customHeight="1" x14ac:dyDescent="0.3">
      <c r="A181" s="202" t="s">
        <v>75</v>
      </c>
      <c r="B181" s="1215" t="s">
        <v>542</v>
      </c>
      <c r="C181" s="1216"/>
      <c r="D181" s="1217"/>
      <c r="E181" s="1116">
        <v>1625</v>
      </c>
      <c r="F181" s="1117"/>
      <c r="G181" s="1116">
        <v>2</v>
      </c>
      <c r="H181" s="1117"/>
      <c r="I181" s="1238">
        <v>0</v>
      </c>
      <c r="J181" s="1239"/>
      <c r="K181" s="11"/>
      <c r="L181" s="145"/>
    </row>
    <row r="182" spans="1:13" ht="15" hidden="1" customHeight="1" x14ac:dyDescent="0.3">
      <c r="A182" s="251"/>
      <c r="B182" s="1277" t="s">
        <v>13</v>
      </c>
      <c r="C182" s="1277"/>
      <c r="D182" s="1277"/>
      <c r="E182" s="1278" t="s">
        <v>14</v>
      </c>
      <c r="F182" s="1278"/>
      <c r="G182" s="1278" t="s">
        <v>14</v>
      </c>
      <c r="H182" s="1278"/>
      <c r="I182" s="1279">
        <f>I180+I181</f>
        <v>0</v>
      </c>
      <c r="J182" s="1279"/>
      <c r="K182" s="11"/>
      <c r="L182" s="11"/>
      <c r="M182" s="14"/>
    </row>
    <row r="183" spans="1:13" ht="29.25" customHeight="1" x14ac:dyDescent="0.3">
      <c r="A183" s="1218" t="s">
        <v>49</v>
      </c>
      <c r="B183" s="1218"/>
      <c r="C183" s="1218"/>
      <c r="D183" s="1218"/>
      <c r="E183" s="1218"/>
      <c r="F183" s="1218"/>
      <c r="G183" s="1218"/>
      <c r="H183" s="1218"/>
      <c r="I183" s="1218"/>
      <c r="J183" s="1218"/>
      <c r="K183" s="11"/>
      <c r="L183" s="11"/>
      <c r="M183" s="14"/>
    </row>
    <row r="184" spans="1:13" ht="19.5" customHeight="1" x14ac:dyDescent="0.3">
      <c r="A184" s="89" t="s">
        <v>80</v>
      </c>
      <c r="B184" s="90"/>
      <c r="C184" s="93" t="s">
        <v>996</v>
      </c>
      <c r="D184" s="93"/>
      <c r="E184" s="93"/>
      <c r="F184" s="94"/>
      <c r="G184" s="94"/>
      <c r="H184" s="94"/>
      <c r="I184" s="94"/>
      <c r="J184" s="94"/>
      <c r="K184" s="11"/>
      <c r="L184" s="11"/>
      <c r="M184" s="14"/>
    </row>
    <row r="185" spans="1:13" ht="17.25" customHeight="1" x14ac:dyDescent="0.3">
      <c r="A185" s="89" t="s">
        <v>81</v>
      </c>
      <c r="B185" s="90"/>
      <c r="C185" s="90"/>
      <c r="D185" s="90"/>
      <c r="E185" s="95" t="s">
        <v>82</v>
      </c>
      <c r="F185" s="96"/>
      <c r="G185" s="95"/>
      <c r="H185" s="96"/>
      <c r="I185" s="96"/>
      <c r="J185" s="96"/>
      <c r="K185" s="11"/>
      <c r="L185" s="11"/>
      <c r="M185" s="14"/>
    </row>
    <row r="186" spans="1:13" ht="17.25" hidden="1" customHeight="1" x14ac:dyDescent="0.3">
      <c r="A186" s="1218" t="s">
        <v>301</v>
      </c>
      <c r="B186" s="1218"/>
      <c r="C186" s="1218"/>
      <c r="D186" s="1218"/>
      <c r="E186" s="1218"/>
      <c r="F186" s="1218"/>
      <c r="G186" s="1218"/>
      <c r="H186" s="1218"/>
      <c r="I186" s="1218"/>
      <c r="J186" s="1218"/>
      <c r="K186" s="11"/>
      <c r="L186" s="11"/>
      <c r="M186" s="14"/>
    </row>
    <row r="187" spans="1:13" ht="39.75" hidden="1" customHeight="1" x14ac:dyDescent="0.3">
      <c r="A187" s="199" t="s">
        <v>1</v>
      </c>
      <c r="B187" s="1110" t="s">
        <v>15</v>
      </c>
      <c r="C187" s="1110"/>
      <c r="D187" s="1110"/>
      <c r="E187" s="199" t="s">
        <v>50</v>
      </c>
      <c r="F187" s="199" t="s">
        <v>51</v>
      </c>
      <c r="G187" s="1110" t="s">
        <v>52</v>
      </c>
      <c r="H187" s="1110"/>
      <c r="I187" s="1110" t="s">
        <v>104</v>
      </c>
      <c r="J187" s="1110"/>
      <c r="K187" s="11"/>
      <c r="L187" s="11"/>
      <c r="M187" s="14"/>
    </row>
    <row r="188" spans="1:13" ht="15" hidden="1" customHeight="1" x14ac:dyDescent="0.3">
      <c r="A188" s="199">
        <v>1</v>
      </c>
      <c r="B188" s="1110">
        <v>2</v>
      </c>
      <c r="C188" s="1110"/>
      <c r="D188" s="1110"/>
      <c r="E188" s="199">
        <v>3</v>
      </c>
      <c r="F188" s="199">
        <v>4</v>
      </c>
      <c r="G188" s="1110">
        <v>5</v>
      </c>
      <c r="H188" s="1110"/>
      <c r="I188" s="1110">
        <v>6</v>
      </c>
      <c r="J188" s="1110"/>
      <c r="K188" s="11"/>
      <c r="L188" s="11"/>
      <c r="M188" s="14"/>
    </row>
    <row r="189" spans="1:13" ht="14.25" hidden="1" customHeight="1" x14ac:dyDescent="0.3">
      <c r="A189" s="198">
        <v>1</v>
      </c>
      <c r="B189" s="1125" t="s">
        <v>348</v>
      </c>
      <c r="C189" s="1126"/>
      <c r="D189" s="1127"/>
      <c r="E189" s="155" t="s">
        <v>74</v>
      </c>
      <c r="F189" s="155" t="s">
        <v>74</v>
      </c>
      <c r="G189" s="1232" t="s">
        <v>74</v>
      </c>
      <c r="H189" s="1232"/>
      <c r="I189" s="1233">
        <f>I190+I191+I192+I193</f>
        <v>0</v>
      </c>
      <c r="J189" s="1233"/>
      <c r="K189" s="11"/>
      <c r="L189" s="11"/>
      <c r="M189" s="14"/>
    </row>
    <row r="190" spans="1:13" ht="15" hidden="1" customHeight="1" x14ac:dyDescent="0.3">
      <c r="A190" s="202" t="s">
        <v>349</v>
      </c>
      <c r="B190" s="1143" t="s">
        <v>93</v>
      </c>
      <c r="C190" s="1143"/>
      <c r="D190" s="1143"/>
      <c r="E190" s="202">
        <v>6</v>
      </c>
      <c r="F190" s="202">
        <v>12</v>
      </c>
      <c r="G190" s="1234">
        <v>4250</v>
      </c>
      <c r="H190" s="1234"/>
      <c r="I190" s="1231"/>
      <c r="J190" s="1231"/>
      <c r="K190" s="13"/>
      <c r="L190" s="13"/>
      <c r="M190" s="14"/>
    </row>
    <row r="191" spans="1:13" hidden="1" x14ac:dyDescent="0.3">
      <c r="A191" s="202" t="s">
        <v>350</v>
      </c>
      <c r="B191" s="1143" t="s">
        <v>95</v>
      </c>
      <c r="C191" s="1143"/>
      <c r="D191" s="1143"/>
      <c r="E191" s="202"/>
      <c r="F191" s="202"/>
      <c r="G191" s="1235"/>
      <c r="H191" s="1235"/>
      <c r="I191" s="1231"/>
      <c r="J191" s="1231"/>
      <c r="M191" s="14"/>
    </row>
    <row r="192" spans="1:13" hidden="1" x14ac:dyDescent="0.3">
      <c r="A192" s="202" t="s">
        <v>351</v>
      </c>
      <c r="B192" s="1143" t="s">
        <v>96</v>
      </c>
      <c r="C192" s="1143"/>
      <c r="D192" s="1143"/>
      <c r="E192" s="202"/>
      <c r="F192" s="202"/>
      <c r="G192" s="1230"/>
      <c r="H192" s="1230"/>
      <c r="I192" s="1236"/>
      <c r="J192" s="1236"/>
      <c r="M192" s="14"/>
    </row>
    <row r="193" spans="1:14" hidden="1" x14ac:dyDescent="0.3">
      <c r="A193" s="202" t="s">
        <v>268</v>
      </c>
      <c r="B193" s="1143" t="s">
        <v>199</v>
      </c>
      <c r="C193" s="1143"/>
      <c r="D193" s="1143"/>
      <c r="E193" s="202"/>
      <c r="F193" s="202"/>
      <c r="G193" s="1230"/>
      <c r="H193" s="1230"/>
      <c r="I193" s="1231"/>
      <c r="J193" s="1231"/>
      <c r="M193" s="14"/>
    </row>
    <row r="194" spans="1:14" hidden="1" x14ac:dyDescent="0.3">
      <c r="A194" s="198">
        <v>2</v>
      </c>
      <c r="B194" s="1125" t="s">
        <v>352</v>
      </c>
      <c r="C194" s="1126"/>
      <c r="D194" s="1127"/>
      <c r="E194" s="155" t="s">
        <v>74</v>
      </c>
      <c r="F194" s="155" t="s">
        <v>74</v>
      </c>
      <c r="G194" s="1232" t="s">
        <v>74</v>
      </c>
      <c r="H194" s="1232"/>
      <c r="I194" s="1233">
        <f>I195</f>
        <v>0</v>
      </c>
      <c r="J194" s="1233"/>
      <c r="M194" s="14"/>
    </row>
    <row r="195" spans="1:14" s="41" customFormat="1" ht="19.5" hidden="1" customHeight="1" x14ac:dyDescent="0.3">
      <c r="A195" s="202" t="s">
        <v>353</v>
      </c>
      <c r="B195" s="1143" t="s">
        <v>199</v>
      </c>
      <c r="C195" s="1143"/>
      <c r="D195" s="1143"/>
      <c r="E195" s="202">
        <v>1</v>
      </c>
      <c r="F195" s="202">
        <v>10</v>
      </c>
      <c r="G195" s="1230">
        <v>25000</v>
      </c>
      <c r="H195" s="1230"/>
      <c r="I195" s="1231"/>
      <c r="J195" s="1231"/>
    </row>
    <row r="196" spans="1:14" ht="16.5" hidden="1" customHeight="1" x14ac:dyDescent="0.3">
      <c r="A196" s="202"/>
      <c r="B196" s="1098" t="s">
        <v>332</v>
      </c>
      <c r="C196" s="1098"/>
      <c r="D196" s="1098"/>
      <c r="E196" s="200" t="s">
        <v>14</v>
      </c>
      <c r="F196" s="200" t="s">
        <v>14</v>
      </c>
      <c r="G196" s="1090" t="s">
        <v>14</v>
      </c>
      <c r="H196" s="1090"/>
      <c r="I196" s="1101">
        <f>I189+I194</f>
        <v>0</v>
      </c>
      <c r="J196" s="1090"/>
      <c r="K196" s="133"/>
      <c r="N196" s="135"/>
    </row>
    <row r="197" spans="1:14" ht="12" hidden="1" customHeight="1" x14ac:dyDescent="0.3">
      <c r="A197" s="97"/>
      <c r="B197" s="90"/>
      <c r="C197" s="90"/>
      <c r="D197" s="90"/>
      <c r="E197" s="90"/>
      <c r="F197" s="90"/>
      <c r="G197" s="90"/>
      <c r="H197" s="90"/>
      <c r="I197" s="90"/>
      <c r="J197" s="90"/>
      <c r="K197" s="14"/>
      <c r="M197" s="82"/>
    </row>
    <row r="198" spans="1:14" ht="18.75" hidden="1" customHeight="1" x14ac:dyDescent="0.3">
      <c r="A198" s="1218" t="s">
        <v>285</v>
      </c>
      <c r="B198" s="1218"/>
      <c r="C198" s="1218"/>
      <c r="D198" s="1218"/>
      <c r="E198" s="1218"/>
      <c r="F198" s="1218"/>
      <c r="G198" s="1218"/>
      <c r="H198" s="1218"/>
      <c r="I198" s="1218"/>
      <c r="J198" s="1218"/>
      <c r="K198" s="14"/>
      <c r="M198" s="82"/>
    </row>
    <row r="199" spans="1:14" ht="12.75" hidden="1" customHeight="1" x14ac:dyDescent="0.3">
      <c r="A199" s="199" t="s">
        <v>1</v>
      </c>
      <c r="B199" s="1110" t="s">
        <v>15</v>
      </c>
      <c r="C199" s="1110"/>
      <c r="D199" s="1110"/>
      <c r="E199" s="1110" t="s">
        <v>53</v>
      </c>
      <c r="F199" s="1110"/>
      <c r="G199" s="1110" t="s">
        <v>54</v>
      </c>
      <c r="H199" s="1110"/>
      <c r="I199" s="1110" t="s">
        <v>264</v>
      </c>
      <c r="J199" s="1110"/>
      <c r="K199" s="14"/>
      <c r="M199" s="82"/>
    </row>
    <row r="200" spans="1:14" ht="15" hidden="1" customHeight="1" x14ac:dyDescent="0.3">
      <c r="A200" s="199">
        <v>1</v>
      </c>
      <c r="B200" s="1110">
        <v>2</v>
      </c>
      <c r="C200" s="1110"/>
      <c r="D200" s="1110"/>
      <c r="E200" s="1110">
        <v>3</v>
      </c>
      <c r="F200" s="1110"/>
      <c r="G200" s="1110">
        <v>4</v>
      </c>
      <c r="H200" s="1110"/>
      <c r="I200" s="1110">
        <v>5</v>
      </c>
      <c r="J200" s="1110"/>
      <c r="K200" s="14"/>
      <c r="M200" s="82"/>
    </row>
    <row r="201" spans="1:14" ht="17.25" hidden="1" customHeight="1" x14ac:dyDescent="0.3">
      <c r="A201" s="202">
        <v>1</v>
      </c>
      <c r="B201" s="1226" t="s">
        <v>329</v>
      </c>
      <c r="C201" s="1227"/>
      <c r="D201" s="1228"/>
      <c r="E201" s="1213"/>
      <c r="F201" s="1213"/>
      <c r="G201" s="1229"/>
      <c r="H201" s="1229"/>
      <c r="I201" s="1229">
        <f>E201*G201</f>
        <v>0</v>
      </c>
      <c r="J201" s="1229"/>
      <c r="K201" s="14"/>
      <c r="M201" s="82"/>
    </row>
    <row r="202" spans="1:14" hidden="1" x14ac:dyDescent="0.3">
      <c r="A202" s="202"/>
      <c r="B202" s="1098" t="s">
        <v>13</v>
      </c>
      <c r="C202" s="1098"/>
      <c r="D202" s="1098"/>
      <c r="E202" s="1090" t="s">
        <v>74</v>
      </c>
      <c r="F202" s="1090"/>
      <c r="G202" s="1090" t="s">
        <v>74</v>
      </c>
      <c r="H202" s="1090"/>
      <c r="I202" s="1203">
        <f>I201</f>
        <v>0</v>
      </c>
      <c r="J202" s="1090"/>
    </row>
    <row r="203" spans="1:14" ht="24" customHeight="1" x14ac:dyDescent="0.3">
      <c r="A203" s="1218" t="s">
        <v>281</v>
      </c>
      <c r="B203" s="1218"/>
      <c r="C203" s="1218"/>
      <c r="D203" s="1218"/>
      <c r="E203" s="1218"/>
      <c r="F203" s="1218"/>
      <c r="G203" s="1218"/>
      <c r="H203" s="1218"/>
      <c r="I203" s="1218"/>
      <c r="J203" s="1218"/>
    </row>
    <row r="204" spans="1:14" s="41" customFormat="1" ht="25.5" customHeight="1" x14ac:dyDescent="0.3">
      <c r="A204" s="199" t="s">
        <v>1</v>
      </c>
      <c r="B204" s="1110" t="s">
        <v>44</v>
      </c>
      <c r="C204" s="1110"/>
      <c r="D204" s="1110"/>
      <c r="E204" s="199" t="s">
        <v>55</v>
      </c>
      <c r="F204" s="1110" t="s">
        <v>56</v>
      </c>
      <c r="G204" s="1110"/>
      <c r="H204" s="199" t="s">
        <v>57</v>
      </c>
      <c r="I204" s="1110" t="s">
        <v>104</v>
      </c>
      <c r="J204" s="1110"/>
    </row>
    <row r="205" spans="1:14" s="41" customFormat="1" ht="13.8" x14ac:dyDescent="0.3">
      <c r="A205" s="199">
        <v>1</v>
      </c>
      <c r="B205" s="1110">
        <v>2</v>
      </c>
      <c r="C205" s="1110"/>
      <c r="D205" s="1110"/>
      <c r="E205" s="199">
        <v>3</v>
      </c>
      <c r="F205" s="1110">
        <v>4</v>
      </c>
      <c r="G205" s="1110"/>
      <c r="H205" s="199">
        <v>5</v>
      </c>
      <c r="I205" s="1110">
        <v>6</v>
      </c>
      <c r="J205" s="1110"/>
    </row>
    <row r="206" spans="1:14" ht="15" hidden="1" customHeight="1" x14ac:dyDescent="0.3">
      <c r="A206" s="198">
        <v>1</v>
      </c>
      <c r="B206" s="1125" t="s">
        <v>151</v>
      </c>
      <c r="C206" s="1126"/>
      <c r="D206" s="1127"/>
      <c r="E206" s="99">
        <f>E207+E208</f>
        <v>0</v>
      </c>
      <c r="F206" s="1223"/>
      <c r="G206" s="1224"/>
      <c r="H206" s="100">
        <f>F208/F207-100%</f>
        <v>3.5000412984224072E-2</v>
      </c>
      <c r="I206" s="1225">
        <f>I207+I208</f>
        <v>0</v>
      </c>
      <c r="J206" s="1225"/>
      <c r="K206" s="14"/>
    </row>
    <row r="207" spans="1:14" ht="15" hidden="1" customHeight="1" x14ac:dyDescent="0.3">
      <c r="A207" s="202"/>
      <c r="B207" s="1213" t="s">
        <v>100</v>
      </c>
      <c r="C207" s="1213"/>
      <c r="D207" s="1213"/>
      <c r="E207" s="201"/>
      <c r="F207" s="1192">
        <v>1937.12</v>
      </c>
      <c r="G207" s="1193"/>
      <c r="H207" s="202"/>
      <c r="I207" s="1222">
        <f>E207*F207</f>
        <v>0</v>
      </c>
      <c r="J207" s="1222"/>
      <c r="K207" s="14"/>
    </row>
    <row r="208" spans="1:14" ht="15" hidden="1" customHeight="1" x14ac:dyDescent="0.3">
      <c r="A208" s="202"/>
      <c r="B208" s="1213" t="s">
        <v>101</v>
      </c>
      <c r="C208" s="1213"/>
      <c r="D208" s="1213"/>
      <c r="E208" s="201"/>
      <c r="F208" s="1192">
        <v>2004.92</v>
      </c>
      <c r="G208" s="1193"/>
      <c r="H208" s="202"/>
      <c r="I208" s="1222">
        <f>E208*F208</f>
        <v>0</v>
      </c>
      <c r="J208" s="1222"/>
      <c r="K208" s="14"/>
    </row>
    <row r="209" spans="1:11" ht="34.5" hidden="1" customHeight="1" x14ac:dyDescent="0.3">
      <c r="A209" s="198">
        <v>2</v>
      </c>
      <c r="B209" s="1125" t="s">
        <v>588</v>
      </c>
      <c r="C209" s="1126"/>
      <c r="D209" s="1127"/>
      <c r="E209" s="99">
        <f>E210+E211</f>
        <v>0</v>
      </c>
      <c r="F209" s="1223"/>
      <c r="G209" s="1224"/>
      <c r="H209" s="100">
        <f>F211/F210-100%</f>
        <v>3.5040944581984368E-2</v>
      </c>
      <c r="I209" s="1225">
        <f>I210+I211</f>
        <v>0</v>
      </c>
      <c r="J209" s="1225"/>
      <c r="K209" s="14"/>
    </row>
    <row r="210" spans="1:11" ht="15" hidden="1" customHeight="1" x14ac:dyDescent="0.3">
      <c r="A210" s="202"/>
      <c r="B210" s="1213" t="s">
        <v>100</v>
      </c>
      <c r="C210" s="1213"/>
      <c r="D210" s="1213"/>
      <c r="E210" s="201"/>
      <c r="F210" s="1192">
        <v>52.51</v>
      </c>
      <c r="G210" s="1193"/>
      <c r="H210" s="202"/>
      <c r="I210" s="1222">
        <f>E210*F210</f>
        <v>0</v>
      </c>
      <c r="J210" s="1222"/>
      <c r="K210" s="14"/>
    </row>
    <row r="211" spans="1:11" ht="15" hidden="1" customHeight="1" x14ac:dyDescent="0.3">
      <c r="A211" s="202"/>
      <c r="B211" s="1213" t="s">
        <v>101</v>
      </c>
      <c r="C211" s="1213"/>
      <c r="D211" s="1213"/>
      <c r="E211" s="201"/>
      <c r="F211" s="1192">
        <v>54.35</v>
      </c>
      <c r="G211" s="1193"/>
      <c r="H211" s="202"/>
      <c r="I211" s="1222">
        <f>E211*F211</f>
        <v>0</v>
      </c>
      <c r="J211" s="1222"/>
      <c r="K211" s="108"/>
    </row>
    <row r="212" spans="1:11" ht="15" hidden="1" customHeight="1" x14ac:dyDescent="0.3">
      <c r="A212" s="198">
        <v>3</v>
      </c>
      <c r="B212" s="1125" t="s">
        <v>589</v>
      </c>
      <c r="C212" s="1126"/>
      <c r="D212" s="1127"/>
      <c r="E212" s="99">
        <f>E213+E214</f>
        <v>0</v>
      </c>
      <c r="F212" s="1223"/>
      <c r="G212" s="1224"/>
      <c r="H212" s="100">
        <f>F214/F213-100%</f>
        <v>3.5000412984224072E-2</v>
      </c>
      <c r="I212" s="1397">
        <f>I213+I214</f>
        <v>0</v>
      </c>
      <c r="J212" s="1398"/>
      <c r="K212" s="108"/>
    </row>
    <row r="213" spans="1:11" ht="15" hidden="1" customHeight="1" x14ac:dyDescent="0.3">
      <c r="A213" s="202"/>
      <c r="B213" s="1213" t="s">
        <v>100</v>
      </c>
      <c r="C213" s="1213"/>
      <c r="D213" s="1213"/>
      <c r="E213" s="201"/>
      <c r="F213" s="1192">
        <v>1937.12</v>
      </c>
      <c r="G213" s="1193"/>
      <c r="H213" s="202"/>
      <c r="I213" s="1222">
        <f>E213*F213</f>
        <v>0</v>
      </c>
      <c r="J213" s="1222"/>
      <c r="K213" s="108"/>
    </row>
    <row r="214" spans="1:11" ht="15" hidden="1" customHeight="1" x14ac:dyDescent="0.3">
      <c r="A214" s="202"/>
      <c r="B214" s="1213" t="s">
        <v>101</v>
      </c>
      <c r="C214" s="1213"/>
      <c r="D214" s="1213"/>
      <c r="E214" s="201"/>
      <c r="F214" s="1192">
        <v>2004.92</v>
      </c>
      <c r="G214" s="1193"/>
      <c r="H214" s="202"/>
      <c r="I214" s="1222">
        <f>E214*F214</f>
        <v>0</v>
      </c>
      <c r="J214" s="1222"/>
      <c r="K214" s="108"/>
    </row>
    <row r="215" spans="1:11" ht="15" customHeight="1" x14ac:dyDescent="0.3">
      <c r="A215" s="198">
        <v>1</v>
      </c>
      <c r="B215" s="1125" t="s">
        <v>153</v>
      </c>
      <c r="C215" s="1126"/>
      <c r="D215" s="1127"/>
      <c r="E215" s="99">
        <f>E216+E217</f>
        <v>14</v>
      </c>
      <c r="F215" s="1223"/>
      <c r="G215" s="1224"/>
      <c r="H215" s="100">
        <f>F217/F216-100%</f>
        <v>0</v>
      </c>
      <c r="I215" s="1225">
        <f>I216+I217</f>
        <v>878.5</v>
      </c>
      <c r="J215" s="1225"/>
      <c r="K215" s="14">
        <v>883.3</v>
      </c>
    </row>
    <row r="216" spans="1:11" ht="15" customHeight="1" x14ac:dyDescent="0.3">
      <c r="A216" s="202"/>
      <c r="B216" s="1213" t="s">
        <v>100</v>
      </c>
      <c r="C216" s="1213"/>
      <c r="D216" s="1213"/>
      <c r="E216" s="201">
        <v>10</v>
      </c>
      <c r="F216" s="823">
        <v>62.75</v>
      </c>
      <c r="G216" s="824"/>
      <c r="H216" s="202"/>
      <c r="I216" s="1222">
        <f>E216*F216</f>
        <v>627.5</v>
      </c>
      <c r="J216" s="1222"/>
      <c r="K216" s="14"/>
    </row>
    <row r="217" spans="1:11" ht="15" customHeight="1" x14ac:dyDescent="0.3">
      <c r="A217" s="202"/>
      <c r="B217" s="1213" t="s">
        <v>101</v>
      </c>
      <c r="C217" s="1213"/>
      <c r="D217" s="1213"/>
      <c r="E217" s="201">
        <v>4</v>
      </c>
      <c r="F217" s="823">
        <v>62.75</v>
      </c>
      <c r="G217" s="824"/>
      <c r="H217" s="202"/>
      <c r="I217" s="1222">
        <f>E217*F217</f>
        <v>251</v>
      </c>
      <c r="J217" s="1222"/>
      <c r="K217" s="14"/>
    </row>
    <row r="218" spans="1:11" ht="15" customHeight="1" x14ac:dyDescent="0.3">
      <c r="A218" s="198">
        <v>2</v>
      </c>
      <c r="B218" s="1125" t="s">
        <v>154</v>
      </c>
      <c r="C218" s="1126"/>
      <c r="D218" s="1127"/>
      <c r="E218" s="99">
        <f>E219+E220</f>
        <v>35</v>
      </c>
      <c r="F218" s="1223"/>
      <c r="G218" s="1224"/>
      <c r="H218" s="100">
        <f>F220/F219-100%</f>
        <v>0</v>
      </c>
      <c r="I218" s="1225">
        <f>I219+I220</f>
        <v>2621.5</v>
      </c>
      <c r="J218" s="1225"/>
      <c r="K218" s="176">
        <f>I218+I215</f>
        <v>3500</v>
      </c>
    </row>
    <row r="219" spans="1:11" ht="15" customHeight="1" x14ac:dyDescent="0.4">
      <c r="A219" s="202"/>
      <c r="B219" s="1213" t="s">
        <v>100</v>
      </c>
      <c r="C219" s="1213"/>
      <c r="D219" s="1213"/>
      <c r="E219" s="201">
        <v>24</v>
      </c>
      <c r="F219" s="823">
        <v>74.87</v>
      </c>
      <c r="G219" s="824"/>
      <c r="H219" s="202"/>
      <c r="I219" s="1222">
        <f>E219*F219</f>
        <v>1796.88</v>
      </c>
      <c r="J219" s="1222"/>
      <c r="K219" s="146"/>
    </row>
    <row r="220" spans="1:11" ht="15" customHeight="1" x14ac:dyDescent="0.3">
      <c r="A220" s="202"/>
      <c r="B220" s="1213" t="s">
        <v>101</v>
      </c>
      <c r="C220" s="1213"/>
      <c r="D220" s="1213"/>
      <c r="E220" s="201">
        <v>11</v>
      </c>
      <c r="F220" s="823">
        <v>74.87</v>
      </c>
      <c r="G220" s="824"/>
      <c r="H220" s="202"/>
      <c r="I220" s="1222">
        <f>E220*F220+1.05</f>
        <v>824.62</v>
      </c>
      <c r="J220" s="1222"/>
      <c r="K220" s="15"/>
    </row>
    <row r="221" spans="1:11" ht="15" customHeight="1" x14ac:dyDescent="0.3">
      <c r="A221" s="198">
        <v>3</v>
      </c>
      <c r="B221" s="1125" t="s">
        <v>155</v>
      </c>
      <c r="C221" s="1126"/>
      <c r="D221" s="1127"/>
      <c r="E221" s="241">
        <f>E222+E223</f>
        <v>352</v>
      </c>
      <c r="F221" s="1223"/>
      <c r="G221" s="1224"/>
      <c r="H221" s="100">
        <f>F223/F222-100%</f>
        <v>0</v>
      </c>
      <c r="I221" s="1225">
        <f>I222+I223</f>
        <v>3100.0000000000005</v>
      </c>
      <c r="J221" s="1225"/>
      <c r="K221" s="14">
        <v>3069.78</v>
      </c>
    </row>
    <row r="222" spans="1:11" ht="15" customHeight="1" x14ac:dyDescent="0.3">
      <c r="A222" s="202"/>
      <c r="B222" s="1213" t="s">
        <v>100</v>
      </c>
      <c r="C222" s="1213"/>
      <c r="D222" s="1213"/>
      <c r="E222" s="207">
        <v>280</v>
      </c>
      <c r="F222" s="823">
        <v>8.25</v>
      </c>
      <c r="G222" s="824"/>
      <c r="H222" s="202"/>
      <c r="I222" s="1222">
        <f>E222*F222-0.22+193.05</f>
        <v>2502.8300000000004</v>
      </c>
      <c r="J222" s="1222"/>
      <c r="K222" s="14"/>
    </row>
    <row r="223" spans="1:11" ht="15" customHeight="1" x14ac:dyDescent="0.3">
      <c r="A223" s="202"/>
      <c r="B223" s="1213" t="s">
        <v>101</v>
      </c>
      <c r="C223" s="1213"/>
      <c r="D223" s="1213"/>
      <c r="E223" s="207">
        <v>72</v>
      </c>
      <c r="F223" s="823">
        <v>8.25</v>
      </c>
      <c r="G223" s="824"/>
      <c r="H223" s="202"/>
      <c r="I223" s="1222">
        <f>E223*F223+1.34+1.83</f>
        <v>597.17000000000007</v>
      </c>
      <c r="J223" s="1222"/>
    </row>
    <row r="224" spans="1:11" ht="15" hidden="1" customHeight="1" x14ac:dyDescent="0.3">
      <c r="A224" s="198">
        <v>7</v>
      </c>
      <c r="B224" s="1125" t="s">
        <v>378</v>
      </c>
      <c r="C224" s="1126"/>
      <c r="D224" s="1127"/>
      <c r="E224" s="241">
        <f>E225+E226</f>
        <v>0</v>
      </c>
      <c r="F224" s="1223"/>
      <c r="G224" s="1224"/>
      <c r="H224" s="100">
        <v>0</v>
      </c>
      <c r="I224" s="1225">
        <f>I225+I226</f>
        <v>0</v>
      </c>
      <c r="J224" s="1225"/>
      <c r="K224" s="135"/>
    </row>
    <row r="225" spans="1:12" ht="15" hidden="1" customHeight="1" x14ac:dyDescent="0.3">
      <c r="A225" s="202"/>
      <c r="B225" s="1213" t="s">
        <v>100</v>
      </c>
      <c r="C225" s="1213"/>
      <c r="D225" s="1213"/>
      <c r="E225" s="207"/>
      <c r="F225" s="1192">
        <v>747.07</v>
      </c>
      <c r="G225" s="1193"/>
      <c r="H225" s="202"/>
      <c r="I225" s="1222">
        <f>E225*F225</f>
        <v>0</v>
      </c>
      <c r="J225" s="1222"/>
    </row>
    <row r="226" spans="1:12" ht="15" hidden="1" customHeight="1" x14ac:dyDescent="0.3">
      <c r="A226" s="202"/>
      <c r="B226" s="1213" t="s">
        <v>101</v>
      </c>
      <c r="C226" s="1213"/>
      <c r="D226" s="1213"/>
      <c r="E226" s="207"/>
      <c r="F226" s="1192">
        <v>747.07</v>
      </c>
      <c r="G226" s="1193"/>
      <c r="H226" s="202"/>
      <c r="I226" s="1222">
        <f>E226*F226</f>
        <v>0</v>
      </c>
      <c r="J226" s="1222"/>
    </row>
    <row r="227" spans="1:12" ht="15" customHeight="1" x14ac:dyDescent="0.3">
      <c r="A227" s="202"/>
      <c r="B227" s="1098" t="s">
        <v>13</v>
      </c>
      <c r="C227" s="1098"/>
      <c r="D227" s="1098"/>
      <c r="E227" s="200" t="s">
        <v>14</v>
      </c>
      <c r="F227" s="1090" t="s">
        <v>14</v>
      </c>
      <c r="G227" s="1090"/>
      <c r="H227" s="200" t="s">
        <v>14</v>
      </c>
      <c r="I227" s="1101">
        <f>I206+I209+I212+I215+I218+I221+I224</f>
        <v>6600</v>
      </c>
      <c r="J227" s="1101"/>
      <c r="K227" s="1">
        <v>6514</v>
      </c>
    </row>
    <row r="228" spans="1:12" s="41" customFormat="1" ht="19.5" hidden="1" customHeight="1" x14ac:dyDescent="0.3">
      <c r="A228" s="1218" t="s">
        <v>286</v>
      </c>
      <c r="B228" s="1218"/>
      <c r="C228" s="1218"/>
      <c r="D228" s="1218"/>
      <c r="E228" s="1218"/>
      <c r="F228" s="1218"/>
      <c r="G228" s="1218"/>
      <c r="H228" s="1218"/>
      <c r="I228" s="1218"/>
      <c r="J228" s="1218"/>
    </row>
    <row r="229" spans="1:12" s="41" customFormat="1" ht="15" hidden="1" customHeight="1" x14ac:dyDescent="0.3">
      <c r="A229" s="199" t="s">
        <v>1</v>
      </c>
      <c r="B229" s="1110" t="s">
        <v>44</v>
      </c>
      <c r="C229" s="1110"/>
      <c r="D229" s="1110"/>
      <c r="E229" s="1110" t="s">
        <v>58</v>
      </c>
      <c r="F229" s="1110"/>
      <c r="G229" s="1110" t="s">
        <v>59</v>
      </c>
      <c r="H229" s="1110"/>
      <c r="I229" s="1110" t="s">
        <v>60</v>
      </c>
      <c r="J229" s="1110"/>
    </row>
    <row r="230" spans="1:12" ht="15" hidden="1" customHeight="1" x14ac:dyDescent="0.3">
      <c r="A230" s="199">
        <v>1</v>
      </c>
      <c r="B230" s="1110">
        <v>2</v>
      </c>
      <c r="C230" s="1110"/>
      <c r="D230" s="1110"/>
      <c r="E230" s="1110">
        <v>3</v>
      </c>
      <c r="F230" s="1110"/>
      <c r="G230" s="1110">
        <v>4</v>
      </c>
      <c r="H230" s="1110"/>
      <c r="I230" s="1110">
        <v>5</v>
      </c>
      <c r="J230" s="1110"/>
      <c r="K230" s="15"/>
    </row>
    <row r="231" spans="1:12" ht="15" hidden="1" customHeight="1" x14ac:dyDescent="0.3">
      <c r="A231" s="202"/>
      <c r="B231" s="1116"/>
      <c r="C231" s="1212"/>
      <c r="D231" s="1117"/>
      <c r="E231" s="1213"/>
      <c r="F231" s="1213"/>
      <c r="G231" s="1213"/>
      <c r="H231" s="1213"/>
      <c r="I231" s="1213"/>
      <c r="J231" s="1213"/>
      <c r="K231" s="14"/>
    </row>
    <row r="232" spans="1:12" ht="15" hidden="1" customHeight="1" x14ac:dyDescent="0.3">
      <c r="A232" s="200"/>
      <c r="B232" s="1098" t="s">
        <v>13</v>
      </c>
      <c r="C232" s="1098"/>
      <c r="D232" s="1098"/>
      <c r="E232" s="1090" t="s">
        <v>14</v>
      </c>
      <c r="F232" s="1090"/>
      <c r="G232" s="1090" t="s">
        <v>14</v>
      </c>
      <c r="H232" s="1090"/>
      <c r="I232" s="1090"/>
      <c r="J232" s="1090"/>
    </row>
    <row r="233" spans="1:12" ht="16.5" customHeight="1" x14ac:dyDescent="0.3">
      <c r="A233" s="1218" t="s">
        <v>282</v>
      </c>
      <c r="B233" s="1218"/>
      <c r="C233" s="1218"/>
      <c r="D233" s="1218"/>
      <c r="E233" s="1218"/>
      <c r="F233" s="1218"/>
      <c r="G233" s="1218"/>
      <c r="H233" s="1218"/>
      <c r="I233" s="1218"/>
      <c r="J233" s="1218"/>
    </row>
    <row r="234" spans="1:12" ht="15" customHeight="1" x14ac:dyDescent="0.3">
      <c r="A234" s="1174" t="s">
        <v>1</v>
      </c>
      <c r="B234" s="1176" t="s">
        <v>15</v>
      </c>
      <c r="C234" s="1177"/>
      <c r="D234" s="1178"/>
      <c r="E234" s="1174" t="s">
        <v>61</v>
      </c>
      <c r="F234" s="1174" t="s">
        <v>62</v>
      </c>
      <c r="G234" s="1110" t="s">
        <v>63</v>
      </c>
      <c r="H234" s="1110"/>
      <c r="I234" s="1110"/>
      <c r="J234" s="1110"/>
    </row>
    <row r="235" spans="1:12" ht="24" customHeight="1" x14ac:dyDescent="0.3">
      <c r="A235" s="1175"/>
      <c r="B235" s="1179"/>
      <c r="C235" s="1180"/>
      <c r="D235" s="1181"/>
      <c r="E235" s="1175"/>
      <c r="F235" s="1175"/>
      <c r="G235" s="199" t="s">
        <v>305</v>
      </c>
      <c r="H235" s="199" t="s">
        <v>302</v>
      </c>
      <c r="I235" s="195" t="s">
        <v>303</v>
      </c>
      <c r="J235" s="199" t="s">
        <v>304</v>
      </c>
    </row>
    <row r="236" spans="1:12" ht="11.25" customHeight="1" x14ac:dyDescent="0.3">
      <c r="A236" s="199">
        <v>1</v>
      </c>
      <c r="B236" s="1110">
        <v>2</v>
      </c>
      <c r="C236" s="1110"/>
      <c r="D236" s="1110"/>
      <c r="E236" s="199">
        <v>3</v>
      </c>
      <c r="F236" s="199">
        <v>4</v>
      </c>
      <c r="G236" s="1139">
        <v>5</v>
      </c>
      <c r="H236" s="1210"/>
      <c r="I236" s="1210"/>
      <c r="J236" s="1140"/>
    </row>
    <row r="237" spans="1:12" ht="41.25" customHeight="1" x14ac:dyDescent="0.3">
      <c r="A237" s="202">
        <v>1</v>
      </c>
      <c r="B237" s="835" t="s">
        <v>716</v>
      </c>
      <c r="C237" s="835"/>
      <c r="D237" s="835"/>
      <c r="E237" s="202" t="s">
        <v>600</v>
      </c>
      <c r="F237" s="202"/>
      <c r="G237" s="202"/>
      <c r="H237" s="202"/>
      <c r="I237" s="172"/>
      <c r="J237" s="165">
        <v>0</v>
      </c>
    </row>
    <row r="238" spans="1:12" ht="21" customHeight="1" x14ac:dyDescent="0.3">
      <c r="A238" s="202">
        <v>2</v>
      </c>
      <c r="B238" s="835" t="s">
        <v>788</v>
      </c>
      <c r="C238" s="835"/>
      <c r="D238" s="835"/>
      <c r="E238" s="202" t="s">
        <v>600</v>
      </c>
      <c r="F238" s="202">
        <v>1</v>
      </c>
      <c r="G238" s="202" t="s">
        <v>306</v>
      </c>
      <c r="H238" s="202">
        <v>1</v>
      </c>
      <c r="I238" s="172">
        <v>12000</v>
      </c>
      <c r="J238" s="165">
        <v>12000</v>
      </c>
    </row>
    <row r="239" spans="1:12" ht="22.5" customHeight="1" x14ac:dyDescent="0.3">
      <c r="A239" s="202">
        <v>3</v>
      </c>
      <c r="B239" s="835" t="s">
        <v>786</v>
      </c>
      <c r="C239" s="835"/>
      <c r="D239" s="835"/>
      <c r="E239" s="530" t="s">
        <v>811</v>
      </c>
      <c r="F239" s="530">
        <v>1</v>
      </c>
      <c r="G239" s="530" t="s">
        <v>787</v>
      </c>
      <c r="H239" s="530">
        <v>1</v>
      </c>
      <c r="I239" s="172">
        <v>50000</v>
      </c>
      <c r="J239" s="533">
        <v>40000</v>
      </c>
      <c r="K239" s="166"/>
      <c r="L239" s="142"/>
    </row>
    <row r="240" spans="1:12" ht="24.75" customHeight="1" x14ac:dyDescent="0.3">
      <c r="A240" s="202">
        <v>4</v>
      </c>
      <c r="B240" s="835" t="s">
        <v>942</v>
      </c>
      <c r="C240" s="835"/>
      <c r="D240" s="835"/>
      <c r="E240" s="544" t="s">
        <v>811</v>
      </c>
      <c r="F240" s="544">
        <v>1</v>
      </c>
      <c r="G240" s="544" t="s">
        <v>787</v>
      </c>
      <c r="H240" s="544">
        <v>1</v>
      </c>
      <c r="I240" s="172">
        <v>10000</v>
      </c>
      <c r="J240" s="165">
        <f>I240</f>
        <v>10000</v>
      </c>
      <c r="K240" s="166"/>
      <c r="L240" s="142"/>
    </row>
    <row r="241" spans="1:12" ht="17.25" hidden="1" customHeight="1" x14ac:dyDescent="0.3">
      <c r="A241" s="1392"/>
      <c r="B241" s="836"/>
      <c r="C241" s="837"/>
      <c r="D241" s="838"/>
      <c r="E241" s="202"/>
      <c r="F241" s="211"/>
      <c r="G241" s="211"/>
      <c r="H241" s="211"/>
      <c r="I241" s="172"/>
      <c r="J241" s="165"/>
      <c r="K241" s="175"/>
    </row>
    <row r="242" spans="1:12" hidden="1" x14ac:dyDescent="0.3">
      <c r="A242" s="1393"/>
      <c r="B242" s="1394"/>
      <c r="C242" s="1395"/>
      <c r="D242" s="1396"/>
      <c r="E242" s="202"/>
      <c r="F242" s="211"/>
      <c r="G242" s="211"/>
      <c r="H242" s="211"/>
      <c r="I242" s="172"/>
      <c r="J242" s="165"/>
    </row>
    <row r="243" spans="1:12" ht="24" hidden="1" customHeight="1" x14ac:dyDescent="0.3">
      <c r="A243" s="202"/>
      <c r="B243" s="835"/>
      <c r="C243" s="835"/>
      <c r="D243" s="835"/>
      <c r="E243" s="202"/>
      <c r="F243" s="202"/>
      <c r="G243" s="202"/>
      <c r="H243" s="202"/>
      <c r="I243" s="172"/>
      <c r="J243" s="165"/>
    </row>
    <row r="244" spans="1:12" ht="30" hidden="1" customHeight="1" x14ac:dyDescent="0.3">
      <c r="A244" s="202"/>
      <c r="B244" s="1219"/>
      <c r="C244" s="1219"/>
      <c r="D244" s="1219"/>
      <c r="E244" s="202"/>
      <c r="F244" s="202"/>
      <c r="G244" s="202"/>
      <c r="H244" s="202"/>
      <c r="I244" s="171"/>
      <c r="J244" s="164"/>
      <c r="K244" s="11"/>
      <c r="L244" s="11"/>
    </row>
    <row r="245" spans="1:12" ht="29.25" hidden="1" customHeight="1" x14ac:dyDescent="0.3">
      <c r="A245" s="202"/>
      <c r="B245" s="835"/>
      <c r="C245" s="835"/>
      <c r="D245" s="835"/>
      <c r="E245" s="202"/>
      <c r="F245" s="202"/>
      <c r="G245" s="202"/>
      <c r="H245" s="202"/>
      <c r="I245" s="172"/>
      <c r="J245" s="165"/>
      <c r="K245" s="11"/>
      <c r="L245" s="11"/>
    </row>
    <row r="246" spans="1:12" ht="23.25" hidden="1" customHeight="1" x14ac:dyDescent="0.3">
      <c r="A246" s="202"/>
      <c r="B246" s="835"/>
      <c r="C246" s="835"/>
      <c r="D246" s="835"/>
      <c r="E246" s="202"/>
      <c r="F246" s="202"/>
      <c r="G246" s="202"/>
      <c r="H246" s="202"/>
      <c r="I246" s="172"/>
      <c r="J246" s="165"/>
      <c r="K246" s="11"/>
      <c r="L246" s="11"/>
    </row>
    <row r="247" spans="1:12" ht="46.5" hidden="1" customHeight="1" x14ac:dyDescent="0.3">
      <c r="A247" s="202"/>
      <c r="B247" s="835"/>
      <c r="C247" s="835"/>
      <c r="D247" s="835"/>
      <c r="E247" s="202"/>
      <c r="F247" s="202"/>
      <c r="G247" s="202"/>
      <c r="H247" s="202"/>
      <c r="I247" s="172"/>
      <c r="J247" s="165"/>
    </row>
    <row r="248" spans="1:12" ht="25.5" hidden="1" customHeight="1" x14ac:dyDescent="0.3">
      <c r="A248" s="202"/>
      <c r="B248" s="809"/>
      <c r="C248" s="1220"/>
      <c r="D248" s="1221"/>
      <c r="E248" s="202"/>
      <c r="F248" s="202"/>
      <c r="G248" s="202"/>
      <c r="H248" s="202"/>
      <c r="I248" s="172"/>
      <c r="J248" s="165"/>
    </row>
    <row r="249" spans="1:12" ht="38.25" hidden="1" customHeight="1" x14ac:dyDescent="0.3">
      <c r="A249" s="202"/>
      <c r="B249" s="835"/>
      <c r="C249" s="835"/>
      <c r="D249" s="835"/>
      <c r="E249" s="202"/>
      <c r="F249" s="202"/>
      <c r="G249" s="202"/>
      <c r="H249" s="202"/>
      <c r="I249" s="172"/>
      <c r="J249" s="165"/>
    </row>
    <row r="250" spans="1:12" ht="38.25" hidden="1" customHeight="1" x14ac:dyDescent="0.3">
      <c r="A250" s="202"/>
      <c r="B250" s="809"/>
      <c r="C250" s="810"/>
      <c r="D250" s="811"/>
      <c r="E250" s="202"/>
      <c r="F250" s="202"/>
      <c r="G250" s="202"/>
      <c r="H250" s="202"/>
      <c r="I250" s="172"/>
      <c r="J250" s="165"/>
    </row>
    <row r="251" spans="1:12" ht="17.25" hidden="1" customHeight="1" x14ac:dyDescent="0.3">
      <c r="A251" s="202"/>
      <c r="B251" s="809"/>
      <c r="C251" s="810"/>
      <c r="D251" s="811"/>
      <c r="E251" s="202"/>
      <c r="F251" s="202"/>
      <c r="G251" s="202"/>
      <c r="H251" s="202"/>
      <c r="I251" s="172"/>
      <c r="J251" s="165"/>
    </row>
    <row r="252" spans="1:12" ht="9.75" hidden="1" customHeight="1" x14ac:dyDescent="0.3">
      <c r="A252" s="202"/>
      <c r="B252" s="820"/>
      <c r="C252" s="821"/>
      <c r="D252" s="822"/>
      <c r="E252" s="202"/>
      <c r="F252" s="202"/>
      <c r="G252" s="202"/>
      <c r="H252" s="202"/>
      <c r="I252" s="172"/>
      <c r="J252" s="165"/>
    </row>
    <row r="253" spans="1:12" ht="11.25" hidden="1" customHeight="1" x14ac:dyDescent="0.3">
      <c r="A253" s="202"/>
      <c r="B253" s="820"/>
      <c r="C253" s="821"/>
      <c r="D253" s="822"/>
      <c r="E253" s="202"/>
      <c r="F253" s="202"/>
      <c r="G253" s="202"/>
      <c r="H253" s="202"/>
      <c r="I253" s="172"/>
      <c r="J253" s="165"/>
    </row>
    <row r="254" spans="1:12" x14ac:dyDescent="0.3">
      <c r="A254" s="200"/>
      <c r="B254" s="1098" t="s">
        <v>13</v>
      </c>
      <c r="C254" s="1098"/>
      <c r="D254" s="1098"/>
      <c r="E254" s="200" t="s">
        <v>14</v>
      </c>
      <c r="F254" s="200" t="s">
        <v>14</v>
      </c>
      <c r="G254" s="1167">
        <f>SUM(J237:J253)</f>
        <v>62000</v>
      </c>
      <c r="H254" s="1168"/>
      <c r="I254" s="1168"/>
      <c r="J254" s="1168"/>
    </row>
    <row r="255" spans="1:12" ht="17.25" hidden="1" customHeight="1" x14ac:dyDescent="0.3">
      <c r="A255" s="1218" t="s">
        <v>287</v>
      </c>
      <c r="B255" s="1218"/>
      <c r="C255" s="1218"/>
      <c r="D255" s="1218"/>
      <c r="E255" s="1218"/>
      <c r="F255" s="1218"/>
      <c r="G255" s="1218"/>
      <c r="H255" s="1218"/>
      <c r="I255" s="1218"/>
      <c r="J255" s="1218"/>
    </row>
    <row r="256" spans="1:12" ht="17.25" hidden="1" customHeight="1" x14ac:dyDescent="0.3">
      <c r="A256" s="1174" t="s">
        <v>1</v>
      </c>
      <c r="B256" s="1176" t="s">
        <v>15</v>
      </c>
      <c r="C256" s="1177"/>
      <c r="D256" s="1178"/>
      <c r="E256" s="1176" t="s">
        <v>64</v>
      </c>
      <c r="F256" s="1178"/>
      <c r="G256" s="1110" t="s">
        <v>65</v>
      </c>
      <c r="H256" s="1110"/>
      <c r="I256" s="1110"/>
      <c r="J256" s="1110"/>
    </row>
    <row r="257" spans="1:11" ht="27.75" hidden="1" customHeight="1" x14ac:dyDescent="0.3">
      <c r="A257" s="1175"/>
      <c r="B257" s="1179"/>
      <c r="C257" s="1180"/>
      <c r="D257" s="1181"/>
      <c r="E257" s="1179"/>
      <c r="F257" s="1181"/>
      <c r="G257" s="199" t="s">
        <v>305</v>
      </c>
      <c r="H257" s="199" t="s">
        <v>302</v>
      </c>
      <c r="I257" s="199" t="s">
        <v>303</v>
      </c>
      <c r="J257" s="199" t="s">
        <v>304</v>
      </c>
    </row>
    <row r="258" spans="1:11" ht="14.25" hidden="1" customHeight="1" x14ac:dyDescent="0.3">
      <c r="A258" s="199">
        <v>1</v>
      </c>
      <c r="B258" s="1110">
        <v>2</v>
      </c>
      <c r="C258" s="1110"/>
      <c r="D258" s="1110"/>
      <c r="E258" s="1139">
        <v>3</v>
      </c>
      <c r="F258" s="1140"/>
      <c r="G258" s="1110">
        <v>4</v>
      </c>
      <c r="H258" s="1110"/>
      <c r="I258" s="1110"/>
      <c r="J258" s="1110"/>
    </row>
    <row r="259" spans="1:11" ht="30" hidden="1" customHeight="1" x14ac:dyDescent="0.3">
      <c r="A259" s="198" t="s">
        <v>70</v>
      </c>
      <c r="B259" s="1125" t="s">
        <v>354</v>
      </c>
      <c r="C259" s="1126"/>
      <c r="D259" s="1127"/>
      <c r="E259" s="1128" t="s">
        <v>74</v>
      </c>
      <c r="F259" s="1129"/>
      <c r="G259" s="155" t="s">
        <v>74</v>
      </c>
      <c r="H259" s="155" t="s">
        <v>74</v>
      </c>
      <c r="I259" s="156" t="s">
        <v>74</v>
      </c>
      <c r="J259" s="154">
        <f>SUM(J260:J263)</f>
        <v>0</v>
      </c>
    </row>
    <row r="260" spans="1:11" ht="30" hidden="1" customHeight="1" x14ac:dyDescent="0.3">
      <c r="A260" s="169">
        <v>1</v>
      </c>
      <c r="B260" s="1143"/>
      <c r="C260" s="1143"/>
      <c r="D260" s="1143"/>
      <c r="E260" s="266"/>
      <c r="F260" s="267">
        <v>1</v>
      </c>
      <c r="G260" s="233">
        <v>1</v>
      </c>
      <c r="H260" s="233">
        <v>1</v>
      </c>
      <c r="I260" s="234">
        <v>0</v>
      </c>
      <c r="J260" s="165">
        <v>0</v>
      </c>
    </row>
    <row r="261" spans="1:11" ht="30" hidden="1" customHeight="1" x14ac:dyDescent="0.3">
      <c r="A261" s="202">
        <v>1</v>
      </c>
      <c r="B261" s="835" t="s">
        <v>637</v>
      </c>
      <c r="C261" s="835"/>
      <c r="D261" s="835"/>
      <c r="E261" s="1116">
        <v>1</v>
      </c>
      <c r="F261" s="1117"/>
      <c r="G261" s="202">
        <v>1</v>
      </c>
      <c r="H261" s="202">
        <v>1</v>
      </c>
      <c r="I261" s="170">
        <v>0</v>
      </c>
      <c r="J261" s="547">
        <v>0</v>
      </c>
    </row>
    <row r="262" spans="1:11" s="41" customFormat="1" ht="30" hidden="1" customHeight="1" x14ac:dyDescent="0.3">
      <c r="A262" s="107">
        <v>3</v>
      </c>
      <c r="B262" s="809" t="s">
        <v>637</v>
      </c>
      <c r="C262" s="1390"/>
      <c r="D262" s="1391"/>
      <c r="E262" s="1116">
        <v>1</v>
      </c>
      <c r="F262" s="1117"/>
      <c r="G262" s="276">
        <v>1</v>
      </c>
      <c r="H262" s="276">
        <v>1</v>
      </c>
      <c r="I262" s="170">
        <v>0</v>
      </c>
      <c r="J262" s="165">
        <f>I262</f>
        <v>0</v>
      </c>
    </row>
    <row r="263" spans="1:11" ht="30" hidden="1" customHeight="1" x14ac:dyDescent="0.3">
      <c r="A263" s="202">
        <v>4</v>
      </c>
      <c r="B263" s="835" t="s">
        <v>647</v>
      </c>
      <c r="C263" s="835"/>
      <c r="D263" s="835"/>
      <c r="E263" s="1116"/>
      <c r="F263" s="1117"/>
      <c r="G263" s="202"/>
      <c r="H263" s="202"/>
      <c r="I263" s="170"/>
      <c r="J263" s="165">
        <v>0</v>
      </c>
    </row>
    <row r="264" spans="1:11" ht="24" hidden="1" customHeight="1" x14ac:dyDescent="0.3">
      <c r="A264" s="202"/>
      <c r="B264" s="835"/>
      <c r="C264" s="835"/>
      <c r="D264" s="835"/>
      <c r="E264" s="820"/>
      <c r="F264" s="822"/>
      <c r="G264" s="169"/>
      <c r="H264" s="169"/>
      <c r="I264" s="170"/>
      <c r="J264" s="110"/>
    </row>
    <row r="265" spans="1:11" ht="22.5" hidden="1" customHeight="1" x14ac:dyDescent="0.3">
      <c r="A265" s="202"/>
      <c r="B265" s="835"/>
      <c r="C265" s="835"/>
      <c r="D265" s="835"/>
      <c r="E265" s="1116"/>
      <c r="F265" s="1117"/>
      <c r="G265" s="202"/>
      <c r="H265" s="202"/>
      <c r="I265" s="170"/>
      <c r="J265" s="110"/>
    </row>
    <row r="266" spans="1:11" ht="30" hidden="1" customHeight="1" x14ac:dyDescent="0.3">
      <c r="A266" s="202"/>
      <c r="B266" s="835"/>
      <c r="C266" s="835"/>
      <c r="D266" s="835"/>
      <c r="E266" s="1116"/>
      <c r="F266" s="1117"/>
      <c r="G266" s="202"/>
      <c r="H266" s="202"/>
      <c r="I266" s="170"/>
      <c r="J266" s="110"/>
    </row>
    <row r="267" spans="1:11" ht="30" hidden="1" customHeight="1" x14ac:dyDescent="0.3">
      <c r="A267" s="202"/>
      <c r="B267" s="835"/>
      <c r="C267" s="835"/>
      <c r="D267" s="835"/>
      <c r="E267" s="820"/>
      <c r="F267" s="822"/>
      <c r="G267" s="169"/>
      <c r="H267" s="169"/>
      <c r="I267" s="170"/>
      <c r="J267" s="110"/>
      <c r="K267" s="173"/>
    </row>
    <row r="268" spans="1:11" ht="51.75" hidden="1" customHeight="1" x14ac:dyDescent="0.3">
      <c r="A268" s="202"/>
      <c r="B268" s="835"/>
      <c r="C268" s="835"/>
      <c r="D268" s="835"/>
      <c r="E268" s="1116"/>
      <c r="F268" s="1117"/>
      <c r="G268" s="202"/>
      <c r="H268" s="202"/>
      <c r="I268" s="170"/>
      <c r="J268" s="110"/>
    </row>
    <row r="269" spans="1:11" ht="30" hidden="1" customHeight="1" x14ac:dyDescent="0.3">
      <c r="A269" s="202"/>
      <c r="B269" s="835"/>
      <c r="C269" s="835"/>
      <c r="D269" s="835"/>
      <c r="E269" s="1116"/>
      <c r="F269" s="1117"/>
      <c r="G269" s="202"/>
      <c r="H269" s="202"/>
      <c r="I269" s="170"/>
      <c r="J269" s="110"/>
    </row>
    <row r="270" spans="1:11" ht="43.5" hidden="1" customHeight="1" x14ac:dyDescent="0.3">
      <c r="A270" s="202"/>
      <c r="B270" s="1143"/>
      <c r="C270" s="1143"/>
      <c r="D270" s="1143"/>
      <c r="E270" s="1116"/>
      <c r="F270" s="1117"/>
      <c r="G270" s="202"/>
      <c r="H270" s="202"/>
      <c r="I270" s="170"/>
      <c r="J270" s="110"/>
    </row>
    <row r="271" spans="1:11" ht="48" hidden="1" customHeight="1" x14ac:dyDescent="0.3">
      <c r="A271" s="202"/>
      <c r="B271" s="1143"/>
      <c r="C271" s="1143"/>
      <c r="D271" s="1143"/>
      <c r="E271" s="1116"/>
      <c r="F271" s="1117"/>
      <c r="G271" s="202"/>
      <c r="H271" s="202"/>
      <c r="I271" s="170"/>
      <c r="J271" s="110"/>
    </row>
    <row r="272" spans="1:11" ht="30" hidden="1" customHeight="1" x14ac:dyDescent="0.3">
      <c r="A272" s="202"/>
      <c r="B272" s="1143"/>
      <c r="C272" s="1143"/>
      <c r="D272" s="1143"/>
      <c r="E272" s="1116"/>
      <c r="F272" s="1117"/>
      <c r="G272" s="202"/>
      <c r="H272" s="201"/>
      <c r="I272" s="170"/>
      <c r="J272" s="110"/>
    </row>
    <row r="273" spans="1:11" ht="30" hidden="1" customHeight="1" x14ac:dyDescent="0.3">
      <c r="A273" s="202"/>
      <c r="B273" s="835"/>
      <c r="C273" s="835"/>
      <c r="D273" s="835"/>
      <c r="E273" s="1116"/>
      <c r="F273" s="1117"/>
      <c r="G273" s="202"/>
      <c r="H273" s="202"/>
      <c r="I273" s="170"/>
      <c r="J273" s="110"/>
    </row>
    <row r="274" spans="1:11" ht="30" hidden="1" customHeight="1" x14ac:dyDescent="0.3">
      <c r="A274" s="202"/>
      <c r="B274" s="203"/>
      <c r="C274" s="231"/>
      <c r="D274" s="232"/>
      <c r="E274" s="196"/>
      <c r="F274" s="197"/>
      <c r="G274" s="202"/>
      <c r="H274" s="202"/>
      <c r="I274" s="170"/>
      <c r="J274" s="110"/>
    </row>
    <row r="275" spans="1:11" ht="30" hidden="1" customHeight="1" x14ac:dyDescent="0.3">
      <c r="A275" s="198" t="s">
        <v>75</v>
      </c>
      <c r="B275" s="1125" t="s">
        <v>354</v>
      </c>
      <c r="C275" s="1126"/>
      <c r="D275" s="1127"/>
      <c r="E275" s="1128" t="s">
        <v>74</v>
      </c>
      <c r="F275" s="1129"/>
      <c r="G275" s="155" t="s">
        <v>74</v>
      </c>
      <c r="H275" s="155" t="s">
        <v>74</v>
      </c>
      <c r="I275" s="156" t="s">
        <v>74</v>
      </c>
      <c r="J275" s="154">
        <f>J276</f>
        <v>0</v>
      </c>
    </row>
    <row r="276" spans="1:11" ht="30" hidden="1" customHeight="1" x14ac:dyDescent="0.3">
      <c r="A276" s="202"/>
      <c r="B276" s="1143"/>
      <c r="C276" s="1143"/>
      <c r="D276" s="1143"/>
      <c r="E276" s="1116"/>
      <c r="F276" s="1117"/>
      <c r="G276" s="202"/>
      <c r="H276" s="202"/>
      <c r="I276" s="101"/>
      <c r="J276" s="110"/>
    </row>
    <row r="277" spans="1:11" ht="30" hidden="1" customHeight="1" x14ac:dyDescent="0.3">
      <c r="A277" s="198" t="s">
        <v>77</v>
      </c>
      <c r="B277" s="1125" t="s">
        <v>524</v>
      </c>
      <c r="C277" s="1126"/>
      <c r="D277" s="1127"/>
      <c r="E277" s="1128" t="s">
        <v>74</v>
      </c>
      <c r="F277" s="1129"/>
      <c r="G277" s="155" t="s">
        <v>74</v>
      </c>
      <c r="H277" s="155" t="s">
        <v>74</v>
      </c>
      <c r="I277" s="156" t="s">
        <v>74</v>
      </c>
      <c r="J277" s="154">
        <f>J278</f>
        <v>0</v>
      </c>
    </row>
    <row r="278" spans="1:11" ht="30" hidden="1" customHeight="1" x14ac:dyDescent="0.3">
      <c r="A278" s="202"/>
      <c r="B278" s="1143"/>
      <c r="C278" s="1143"/>
      <c r="D278" s="1143"/>
      <c r="E278" s="1116"/>
      <c r="F278" s="1117"/>
      <c r="G278" s="202"/>
      <c r="H278" s="202"/>
      <c r="I278" s="101"/>
      <c r="J278" s="110"/>
    </row>
    <row r="279" spans="1:11" ht="30" hidden="1" customHeight="1" x14ac:dyDescent="0.3">
      <c r="A279" s="198" t="s">
        <v>86</v>
      </c>
      <c r="B279" s="1125" t="s">
        <v>356</v>
      </c>
      <c r="C279" s="1126"/>
      <c r="D279" s="1127"/>
      <c r="E279" s="1128" t="s">
        <v>74</v>
      </c>
      <c r="F279" s="1129"/>
      <c r="G279" s="155" t="s">
        <v>74</v>
      </c>
      <c r="H279" s="155" t="s">
        <v>74</v>
      </c>
      <c r="I279" s="156" t="s">
        <v>74</v>
      </c>
      <c r="J279" s="154">
        <f>J280+J281</f>
        <v>0</v>
      </c>
      <c r="K279" s="1" t="s">
        <v>533</v>
      </c>
    </row>
    <row r="280" spans="1:11" ht="30" hidden="1" customHeight="1" x14ac:dyDescent="0.3">
      <c r="A280" s="169"/>
      <c r="B280" s="809"/>
      <c r="C280" s="810"/>
      <c r="D280" s="811"/>
      <c r="E280" s="858"/>
      <c r="F280" s="859"/>
      <c r="G280" s="233"/>
      <c r="H280" s="233"/>
      <c r="I280" s="234"/>
      <c r="J280" s="165"/>
    </row>
    <row r="281" spans="1:11" ht="30" hidden="1" customHeight="1" x14ac:dyDescent="0.3">
      <c r="A281" s="169"/>
      <c r="B281" s="809"/>
      <c r="C281" s="810"/>
      <c r="D281" s="811"/>
      <c r="E281" s="236"/>
      <c r="F281" s="235"/>
      <c r="G281" s="233"/>
      <c r="H281" s="233"/>
      <c r="I281" s="234"/>
      <c r="J281" s="165"/>
    </row>
    <row r="282" spans="1:11" ht="55.5" hidden="1" customHeight="1" x14ac:dyDescent="0.3">
      <c r="A282" s="198" t="s">
        <v>87</v>
      </c>
      <c r="B282" s="1125" t="s">
        <v>530</v>
      </c>
      <c r="C282" s="1126"/>
      <c r="D282" s="1127"/>
      <c r="E282" s="1128" t="s">
        <v>74</v>
      </c>
      <c r="F282" s="1129"/>
      <c r="G282" s="155" t="s">
        <v>74</v>
      </c>
      <c r="H282" s="155" t="s">
        <v>74</v>
      </c>
      <c r="I282" s="156" t="s">
        <v>74</v>
      </c>
      <c r="J282" s="238">
        <f>J283</f>
        <v>0</v>
      </c>
    </row>
    <row r="283" spans="1:11" ht="30" hidden="1" customHeight="1" x14ac:dyDescent="0.3">
      <c r="A283" s="169"/>
      <c r="B283" s="809"/>
      <c r="C283" s="810"/>
      <c r="D283" s="811"/>
      <c r="E283" s="858"/>
      <c r="F283" s="859"/>
      <c r="G283" s="233"/>
      <c r="H283" s="233"/>
      <c r="I283" s="234"/>
      <c r="J283" s="237"/>
    </row>
    <row r="284" spans="1:11" ht="54.75" hidden="1" customHeight="1" x14ac:dyDescent="0.3">
      <c r="A284" s="198" t="s">
        <v>97</v>
      </c>
      <c r="B284" s="1125" t="s">
        <v>534</v>
      </c>
      <c r="C284" s="1126"/>
      <c r="D284" s="1127"/>
      <c r="E284" s="1128" t="s">
        <v>74</v>
      </c>
      <c r="F284" s="1129"/>
      <c r="G284" s="155" t="s">
        <v>74</v>
      </c>
      <c r="H284" s="155" t="s">
        <v>74</v>
      </c>
      <c r="I284" s="156" t="s">
        <v>74</v>
      </c>
      <c r="J284" s="238">
        <f>J285+J286+J287+J288</f>
        <v>0</v>
      </c>
    </row>
    <row r="285" spans="1:11" ht="30" hidden="1" customHeight="1" x14ac:dyDescent="0.3">
      <c r="A285" s="169"/>
      <c r="B285" s="999"/>
      <c r="C285" s="1000"/>
      <c r="D285" s="1001"/>
      <c r="E285" s="858"/>
      <c r="F285" s="859"/>
      <c r="G285" s="233"/>
      <c r="H285" s="233"/>
      <c r="I285" s="234"/>
      <c r="J285" s="165"/>
    </row>
    <row r="286" spans="1:11" ht="30" hidden="1" customHeight="1" x14ac:dyDescent="0.3">
      <c r="A286" s="169"/>
      <c r="B286" s="999"/>
      <c r="C286" s="1000"/>
      <c r="D286" s="1001"/>
      <c r="E286" s="858"/>
      <c r="F286" s="859"/>
      <c r="G286" s="233"/>
      <c r="H286" s="233"/>
      <c r="I286" s="234"/>
      <c r="J286" s="165"/>
    </row>
    <row r="287" spans="1:11" ht="30" hidden="1" customHeight="1" x14ac:dyDescent="0.3">
      <c r="A287" s="169"/>
      <c r="B287" s="999"/>
      <c r="C287" s="1000"/>
      <c r="D287" s="1001"/>
      <c r="E287" s="858"/>
      <c r="F287" s="859"/>
      <c r="G287" s="233"/>
      <c r="H287" s="233"/>
      <c r="I287" s="234"/>
      <c r="J287" s="165"/>
    </row>
    <row r="288" spans="1:11" ht="30" hidden="1" customHeight="1" x14ac:dyDescent="0.3">
      <c r="A288" s="169"/>
      <c r="B288" s="1151"/>
      <c r="C288" s="1151"/>
      <c r="D288" s="1151"/>
      <c r="E288" s="1116"/>
      <c r="F288" s="1117"/>
      <c r="G288" s="202"/>
      <c r="H288" s="202"/>
      <c r="I288" s="101"/>
      <c r="J288" s="110"/>
    </row>
    <row r="289" spans="1:11" ht="30" hidden="1" customHeight="1" x14ac:dyDescent="0.3">
      <c r="A289" s="179"/>
      <c r="B289" s="1164" t="s">
        <v>332</v>
      </c>
      <c r="C289" s="1164"/>
      <c r="D289" s="1164"/>
      <c r="E289" s="1165" t="s">
        <v>14</v>
      </c>
      <c r="F289" s="1166"/>
      <c r="G289" s="1167">
        <f>J259+J275+J277+J279+J282+J284</f>
        <v>0</v>
      </c>
      <c r="H289" s="1168"/>
      <c r="I289" s="1168"/>
      <c r="J289" s="1168"/>
    </row>
    <row r="290" spans="1:11" ht="30" hidden="1" customHeight="1" x14ac:dyDescent="0.3">
      <c r="A290" s="893" t="s">
        <v>382</v>
      </c>
      <c r="B290" s="893"/>
      <c r="C290" s="893"/>
      <c r="D290" s="893"/>
      <c r="E290" s="893"/>
      <c r="F290" s="893"/>
      <c r="G290" s="893"/>
      <c r="H290" s="893"/>
      <c r="I290" s="893"/>
      <c r="J290" s="893"/>
    </row>
    <row r="291" spans="1:11" ht="30" hidden="1" customHeight="1" x14ac:dyDescent="0.3">
      <c r="A291" s="199" t="s">
        <v>1</v>
      </c>
      <c r="B291" s="1110" t="s">
        <v>44</v>
      </c>
      <c r="C291" s="1110"/>
      <c r="D291" s="1110"/>
      <c r="E291" s="1110" t="s">
        <v>58</v>
      </c>
      <c r="F291" s="1110"/>
      <c r="G291" s="1139" t="s">
        <v>66</v>
      </c>
      <c r="H291" s="1140"/>
      <c r="I291" s="1110" t="s">
        <v>60</v>
      </c>
      <c r="J291" s="1110"/>
    </row>
    <row r="292" spans="1:11" ht="30" hidden="1" customHeight="1" x14ac:dyDescent="0.3">
      <c r="A292" s="199">
        <v>1</v>
      </c>
      <c r="B292" s="1110">
        <v>2</v>
      </c>
      <c r="C292" s="1110"/>
      <c r="D292" s="1110"/>
      <c r="E292" s="1110">
        <v>3</v>
      </c>
      <c r="F292" s="1110"/>
      <c r="G292" s="1110">
        <v>4</v>
      </c>
      <c r="H292" s="1110"/>
      <c r="I292" s="1110">
        <v>5</v>
      </c>
      <c r="J292" s="1110"/>
    </row>
    <row r="293" spans="1:11" ht="30" hidden="1" customHeight="1" x14ac:dyDescent="0.3">
      <c r="A293" s="202" t="s">
        <v>27</v>
      </c>
      <c r="B293" s="1116"/>
      <c r="C293" s="1212"/>
      <c r="D293" s="1117"/>
      <c r="E293" s="1213"/>
      <c r="F293" s="1213"/>
      <c r="G293" s="1213"/>
      <c r="H293" s="1213"/>
      <c r="I293" s="1213"/>
      <c r="J293" s="1213"/>
    </row>
    <row r="294" spans="1:11" ht="30" hidden="1" customHeight="1" x14ac:dyDescent="0.3">
      <c r="A294" s="200"/>
      <c r="B294" s="1098" t="s">
        <v>13</v>
      </c>
      <c r="C294" s="1098"/>
      <c r="D294" s="1098"/>
      <c r="E294" s="1090" t="s">
        <v>14</v>
      </c>
      <c r="F294" s="1090"/>
      <c r="G294" s="1090" t="s">
        <v>14</v>
      </c>
      <c r="H294" s="1090"/>
      <c r="I294" s="1090">
        <f>I293</f>
        <v>0</v>
      </c>
      <c r="J294" s="1090"/>
    </row>
    <row r="295" spans="1:11" ht="15.75" customHeight="1" x14ac:dyDescent="0.3">
      <c r="A295" s="1214" t="s">
        <v>383</v>
      </c>
      <c r="B295" s="1214"/>
      <c r="C295" s="1214"/>
      <c r="D295" s="1214"/>
      <c r="E295" s="1214"/>
      <c r="F295" s="1214"/>
      <c r="G295" s="1214"/>
      <c r="H295" s="1214"/>
      <c r="I295" s="1214"/>
      <c r="J295" s="1214"/>
    </row>
    <row r="296" spans="1:11" ht="17.25" customHeight="1" x14ac:dyDescent="0.3">
      <c r="A296" s="199" t="s">
        <v>1</v>
      </c>
      <c r="B296" s="1139" t="s">
        <v>15</v>
      </c>
      <c r="C296" s="1210"/>
      <c r="D296" s="1140"/>
      <c r="E296" s="1139" t="s">
        <v>58</v>
      </c>
      <c r="F296" s="1140"/>
      <c r="G296" s="1139" t="s">
        <v>66</v>
      </c>
      <c r="H296" s="1140"/>
      <c r="I296" s="1139" t="s">
        <v>264</v>
      </c>
      <c r="J296" s="1140"/>
    </row>
    <row r="297" spans="1:11" ht="16.5" customHeight="1" x14ac:dyDescent="0.3">
      <c r="A297" s="199">
        <v>1</v>
      </c>
      <c r="B297" s="1139">
        <v>2</v>
      </c>
      <c r="C297" s="1210"/>
      <c r="D297" s="1140"/>
      <c r="E297" s="1139">
        <v>3</v>
      </c>
      <c r="F297" s="1140"/>
      <c r="G297" s="1139">
        <v>4</v>
      </c>
      <c r="H297" s="1140"/>
      <c r="I297" s="1139">
        <v>5</v>
      </c>
      <c r="J297" s="1140"/>
    </row>
    <row r="298" spans="1:11" ht="30" hidden="1" customHeight="1" x14ac:dyDescent="0.3">
      <c r="A298" s="198" t="s">
        <v>70</v>
      </c>
      <c r="B298" s="1125" t="s">
        <v>170</v>
      </c>
      <c r="C298" s="1126"/>
      <c r="D298" s="1127"/>
      <c r="E298" s="102"/>
      <c r="F298" s="102"/>
      <c r="G298" s="1187"/>
      <c r="H298" s="1188"/>
      <c r="I298" s="1211">
        <f>I299</f>
        <v>0</v>
      </c>
      <c r="J298" s="1190"/>
    </row>
    <row r="299" spans="1:11" ht="17.25" hidden="1" customHeight="1" x14ac:dyDescent="0.3">
      <c r="A299" s="202" t="s">
        <v>27</v>
      </c>
      <c r="B299" s="1104" t="s">
        <v>334</v>
      </c>
      <c r="C299" s="1105"/>
      <c r="D299" s="1106"/>
      <c r="E299" s="103" t="s">
        <v>307</v>
      </c>
      <c r="F299" s="103">
        <v>4</v>
      </c>
      <c r="G299" s="1192" t="s">
        <v>260</v>
      </c>
      <c r="H299" s="1193"/>
      <c r="I299" s="1204"/>
      <c r="J299" s="1109"/>
    </row>
    <row r="300" spans="1:11" ht="30" customHeight="1" x14ac:dyDescent="0.3">
      <c r="A300" s="198" t="s">
        <v>70</v>
      </c>
      <c r="B300" s="1125" t="s">
        <v>591</v>
      </c>
      <c r="C300" s="1126"/>
      <c r="D300" s="1127"/>
      <c r="E300" s="158" t="s">
        <v>74</v>
      </c>
      <c r="F300" s="158" t="s">
        <v>74</v>
      </c>
      <c r="G300" s="1128" t="s">
        <v>74</v>
      </c>
      <c r="H300" s="1129"/>
      <c r="I300" s="1211">
        <f>I301+I303+I302+I304</f>
        <v>20000</v>
      </c>
      <c r="J300" s="1190"/>
    </row>
    <row r="301" spans="1:11" s="41" customFormat="1" ht="30" customHeight="1" x14ac:dyDescent="0.3">
      <c r="A301" s="202">
        <v>1</v>
      </c>
      <c r="B301" s="999" t="s">
        <v>938</v>
      </c>
      <c r="C301" s="1000"/>
      <c r="D301" s="1001"/>
      <c r="E301" s="103" t="s">
        <v>543</v>
      </c>
      <c r="F301" s="201">
        <v>33</v>
      </c>
      <c r="G301" s="1192" t="s">
        <v>74</v>
      </c>
      <c r="H301" s="1193"/>
      <c r="I301" s="1204">
        <v>20000</v>
      </c>
      <c r="J301" s="1109"/>
      <c r="K301" s="41" t="s">
        <v>646</v>
      </c>
    </row>
    <row r="302" spans="1:11" s="41" customFormat="1" ht="30" hidden="1" customHeight="1" x14ac:dyDescent="0.3">
      <c r="A302" s="202">
        <v>2</v>
      </c>
      <c r="B302" s="999" t="s">
        <v>636</v>
      </c>
      <c r="C302" s="1000"/>
      <c r="D302" s="1001"/>
      <c r="E302" s="103" t="s">
        <v>543</v>
      </c>
      <c r="F302" s="157">
        <v>33</v>
      </c>
      <c r="G302" s="1192" t="s">
        <v>74</v>
      </c>
      <c r="H302" s="1193"/>
      <c r="I302" s="1377">
        <v>0</v>
      </c>
      <c r="J302" s="1378"/>
    </row>
    <row r="303" spans="1:11" s="41" customFormat="1" ht="30" hidden="1" customHeight="1" x14ac:dyDescent="0.3">
      <c r="A303" s="202">
        <v>3</v>
      </c>
      <c r="B303" s="999" t="s">
        <v>645</v>
      </c>
      <c r="C303" s="1000"/>
      <c r="D303" s="1001"/>
      <c r="E303" s="103" t="s">
        <v>543</v>
      </c>
      <c r="F303" s="157">
        <v>33</v>
      </c>
      <c r="G303" s="1192" t="s">
        <v>74</v>
      </c>
      <c r="H303" s="1193"/>
      <c r="I303" s="1388">
        <v>0</v>
      </c>
      <c r="J303" s="1389"/>
    </row>
    <row r="304" spans="1:11" ht="95.25" hidden="1" customHeight="1" x14ac:dyDescent="0.3">
      <c r="A304" s="202">
        <v>4</v>
      </c>
      <c r="B304" s="999" t="s">
        <v>648</v>
      </c>
      <c r="C304" s="1000"/>
      <c r="D304" s="1001"/>
      <c r="E304" s="103" t="s">
        <v>543</v>
      </c>
      <c r="F304" s="157">
        <v>33</v>
      </c>
      <c r="G304" s="1192" t="s">
        <v>74</v>
      </c>
      <c r="H304" s="1193"/>
      <c r="I304" s="1377">
        <v>0</v>
      </c>
      <c r="J304" s="1378"/>
    </row>
    <row r="305" spans="1:11" ht="30" hidden="1" customHeight="1" x14ac:dyDescent="0.3">
      <c r="A305" s="198" t="s">
        <v>75</v>
      </c>
      <c r="B305" s="1125" t="s">
        <v>566</v>
      </c>
      <c r="C305" s="1126"/>
      <c r="D305" s="1127"/>
      <c r="E305" s="1128" t="s">
        <v>74</v>
      </c>
      <c r="F305" s="1129"/>
      <c r="G305" s="1128" t="s">
        <v>74</v>
      </c>
      <c r="H305" s="1129"/>
      <c r="I305" s="1385">
        <f>I306</f>
        <v>0</v>
      </c>
      <c r="J305" s="1386"/>
    </row>
    <row r="306" spans="1:11" s="41" customFormat="1" ht="30" hidden="1" customHeight="1" x14ac:dyDescent="0.3">
      <c r="A306" s="104" t="s">
        <v>34</v>
      </c>
      <c r="B306" s="1141" t="s">
        <v>544</v>
      </c>
      <c r="C306" s="1387"/>
      <c r="D306" s="1142"/>
      <c r="E306" s="103" t="s">
        <v>308</v>
      </c>
      <c r="F306" s="201">
        <v>822</v>
      </c>
      <c r="G306" s="1107" t="s">
        <v>260</v>
      </c>
      <c r="H306" s="1107"/>
      <c r="I306" s="1102"/>
      <c r="J306" s="1103"/>
    </row>
    <row r="307" spans="1:11" ht="30" hidden="1" customHeight="1" x14ac:dyDescent="0.3">
      <c r="A307" s="202"/>
      <c r="B307" s="1191"/>
      <c r="C307" s="1191"/>
      <c r="D307" s="1191"/>
      <c r="E307" s="103" t="s">
        <v>308</v>
      </c>
      <c r="F307" s="201">
        <v>1007</v>
      </c>
      <c r="G307" s="1107" t="s">
        <v>260</v>
      </c>
      <c r="H307" s="1107"/>
      <c r="I307" s="1102"/>
      <c r="J307" s="1103"/>
      <c r="K307" s="15"/>
    </row>
    <row r="308" spans="1:11" ht="30" hidden="1" customHeight="1" x14ac:dyDescent="0.3">
      <c r="A308" s="202"/>
      <c r="B308" s="1191"/>
      <c r="C308" s="1191"/>
      <c r="D308" s="1191"/>
      <c r="E308" s="103" t="s">
        <v>308</v>
      </c>
      <c r="F308" s="201">
        <v>1007</v>
      </c>
      <c r="G308" s="1107" t="s">
        <v>260</v>
      </c>
      <c r="H308" s="1107"/>
      <c r="I308" s="1102"/>
      <c r="J308" s="1103"/>
      <c r="K308" s="14"/>
    </row>
    <row r="309" spans="1:11" ht="30" hidden="1" customHeight="1" x14ac:dyDescent="0.3">
      <c r="A309" s="104"/>
      <c r="B309" s="1191"/>
      <c r="C309" s="1191"/>
      <c r="D309" s="1191"/>
      <c r="E309" s="103" t="s">
        <v>308</v>
      </c>
      <c r="F309" s="201">
        <v>1007</v>
      </c>
      <c r="G309" s="1107" t="s">
        <v>260</v>
      </c>
      <c r="H309" s="1107"/>
      <c r="I309" s="1102"/>
      <c r="J309" s="1103"/>
    </row>
    <row r="310" spans="1:11" ht="17.25" customHeight="1" x14ac:dyDescent="0.3">
      <c r="A310" s="202"/>
      <c r="B310" s="1098" t="s">
        <v>13</v>
      </c>
      <c r="C310" s="1098"/>
      <c r="D310" s="1098"/>
      <c r="E310" s="1201" t="s">
        <v>74</v>
      </c>
      <c r="F310" s="1202"/>
      <c r="G310" s="1090" t="s">
        <v>14</v>
      </c>
      <c r="H310" s="1090"/>
      <c r="I310" s="1384">
        <f>I305+I300</f>
        <v>20000</v>
      </c>
      <c r="J310" s="1384"/>
    </row>
    <row r="311" spans="1:11" ht="21.75" customHeight="1" x14ac:dyDescent="0.3">
      <c r="A311" s="1200" t="s">
        <v>384</v>
      </c>
      <c r="B311" s="1200"/>
      <c r="C311" s="1200"/>
      <c r="D311" s="1200"/>
      <c r="E311" s="1200"/>
      <c r="F311" s="1200"/>
      <c r="G311" s="1200"/>
      <c r="H311" s="1200"/>
      <c r="I311" s="1200"/>
      <c r="J311" s="1200"/>
    </row>
    <row r="312" spans="1:11" ht="21.75" hidden="1" customHeight="1" x14ac:dyDescent="0.3">
      <c r="A312" s="1196" t="s">
        <v>545</v>
      </c>
      <c r="B312" s="1196"/>
      <c r="C312" s="1196"/>
      <c r="D312" s="1196"/>
      <c r="E312" s="1196"/>
      <c r="F312" s="1196"/>
      <c r="G312" s="1196"/>
      <c r="H312" s="1196"/>
      <c r="I312" s="1196"/>
      <c r="J312" s="1196"/>
    </row>
    <row r="313" spans="1:11" ht="21.75" hidden="1" customHeight="1" x14ac:dyDescent="0.3">
      <c r="A313" s="199" t="s">
        <v>1</v>
      </c>
      <c r="B313" s="1110" t="s">
        <v>15</v>
      </c>
      <c r="C313" s="1110"/>
      <c r="D313" s="1110"/>
      <c r="E313" s="1110" t="s">
        <v>58</v>
      </c>
      <c r="F313" s="1110"/>
      <c r="G313" s="1110" t="s">
        <v>66</v>
      </c>
      <c r="H313" s="1110"/>
      <c r="I313" s="1110" t="s">
        <v>264</v>
      </c>
      <c r="J313" s="1110"/>
    </row>
    <row r="314" spans="1:11" ht="21.75" hidden="1" customHeight="1" x14ac:dyDescent="0.3">
      <c r="A314" s="199">
        <v>1</v>
      </c>
      <c r="B314" s="1110">
        <v>2</v>
      </c>
      <c r="C314" s="1110"/>
      <c r="D314" s="1110"/>
      <c r="E314" s="1110">
        <v>3</v>
      </c>
      <c r="F314" s="1110"/>
      <c r="G314" s="1110">
        <v>4</v>
      </c>
      <c r="H314" s="1110"/>
      <c r="I314" s="1110">
        <v>5</v>
      </c>
      <c r="J314" s="1110"/>
    </row>
    <row r="315" spans="1:11" ht="39.75" hidden="1" customHeight="1" x14ac:dyDescent="0.3">
      <c r="A315" s="198" t="s">
        <v>70</v>
      </c>
      <c r="B315" s="1125" t="s">
        <v>172</v>
      </c>
      <c r="C315" s="1126"/>
      <c r="D315" s="1127"/>
      <c r="E315" s="102"/>
      <c r="F315" s="102"/>
      <c r="G315" s="1187"/>
      <c r="H315" s="1188"/>
      <c r="I315" s="1189">
        <f>SUM(I316:J317)</f>
        <v>0</v>
      </c>
      <c r="J315" s="1190"/>
    </row>
    <row r="316" spans="1:11" ht="35.25" hidden="1" customHeight="1" x14ac:dyDescent="0.3">
      <c r="A316" s="202" t="s">
        <v>27</v>
      </c>
      <c r="B316" s="1191" t="s">
        <v>173</v>
      </c>
      <c r="C316" s="1191"/>
      <c r="D316" s="1191"/>
      <c r="E316" s="103" t="s">
        <v>308</v>
      </c>
      <c r="F316" s="201">
        <v>822</v>
      </c>
      <c r="G316" s="1107" t="s">
        <v>260</v>
      </c>
      <c r="H316" s="1107"/>
      <c r="I316" s="1102"/>
      <c r="J316" s="1103"/>
    </row>
    <row r="317" spans="1:11" ht="21.75" hidden="1" customHeight="1" x14ac:dyDescent="0.3">
      <c r="A317" s="104" t="s">
        <v>27</v>
      </c>
      <c r="B317" s="1104"/>
      <c r="C317" s="1105"/>
      <c r="D317" s="1106"/>
      <c r="E317" s="103"/>
      <c r="F317" s="147"/>
      <c r="G317" s="1107"/>
      <c r="H317" s="1107"/>
      <c r="I317" s="1108"/>
      <c r="J317" s="1109"/>
    </row>
    <row r="318" spans="1:11" ht="21.75" hidden="1" customHeight="1" x14ac:dyDescent="0.3">
      <c r="A318" s="202"/>
      <c r="B318" s="1098" t="s">
        <v>13</v>
      </c>
      <c r="C318" s="1098"/>
      <c r="D318" s="1098"/>
      <c r="E318" s="1123" t="s">
        <v>74</v>
      </c>
      <c r="F318" s="1124"/>
      <c r="G318" s="1090" t="s">
        <v>14</v>
      </c>
      <c r="H318" s="1090"/>
      <c r="I318" s="1101">
        <f>I315</f>
        <v>0</v>
      </c>
      <c r="J318" s="1090"/>
    </row>
    <row r="319" spans="1:11" ht="15.6" hidden="1" x14ac:dyDescent="0.3">
      <c r="A319" s="1196" t="s">
        <v>546</v>
      </c>
      <c r="B319" s="1196"/>
      <c r="C319" s="1196"/>
      <c r="D319" s="1196"/>
      <c r="E319" s="1196"/>
      <c r="F319" s="1196"/>
      <c r="G319" s="1196"/>
      <c r="H319" s="1196"/>
      <c r="I319" s="1196"/>
      <c r="J319" s="1196"/>
    </row>
    <row r="320" spans="1:11" ht="15" hidden="1" customHeight="1" x14ac:dyDescent="0.3">
      <c r="A320" s="199" t="s">
        <v>1</v>
      </c>
      <c r="B320" s="1110" t="s">
        <v>15</v>
      </c>
      <c r="C320" s="1110"/>
      <c r="D320" s="1110"/>
      <c r="E320" s="1110" t="s">
        <v>58</v>
      </c>
      <c r="F320" s="1110"/>
      <c r="G320" s="1110" t="s">
        <v>66</v>
      </c>
      <c r="H320" s="1110"/>
      <c r="I320" s="1110" t="s">
        <v>264</v>
      </c>
      <c r="J320" s="1110"/>
    </row>
    <row r="321" spans="1:12" hidden="1" x14ac:dyDescent="0.3">
      <c r="A321" s="199">
        <v>1</v>
      </c>
      <c r="B321" s="1110">
        <v>2</v>
      </c>
      <c r="C321" s="1110"/>
      <c r="D321" s="1110"/>
      <c r="E321" s="1110">
        <v>3</v>
      </c>
      <c r="F321" s="1110"/>
      <c r="G321" s="1110">
        <v>4</v>
      </c>
      <c r="H321" s="1110"/>
      <c r="I321" s="1110">
        <v>5</v>
      </c>
      <c r="J321" s="1110"/>
    </row>
    <row r="322" spans="1:12" ht="30.75" hidden="1" customHeight="1" x14ac:dyDescent="0.3">
      <c r="A322" s="198" t="s">
        <v>70</v>
      </c>
      <c r="B322" s="1125" t="s">
        <v>172</v>
      </c>
      <c r="C322" s="1126"/>
      <c r="D322" s="1127"/>
      <c r="E322" s="102"/>
      <c r="F322" s="102"/>
      <c r="G322" s="1187"/>
      <c r="H322" s="1188"/>
      <c r="I322" s="1189">
        <f>SUM(I323:J324)</f>
        <v>0</v>
      </c>
      <c r="J322" s="1190"/>
      <c r="K322" s="148"/>
      <c r="L322" s="149"/>
    </row>
    <row r="323" spans="1:12" hidden="1" x14ac:dyDescent="0.3">
      <c r="A323" s="202" t="s">
        <v>27</v>
      </c>
      <c r="B323" s="1191" t="s">
        <v>173</v>
      </c>
      <c r="C323" s="1191"/>
      <c r="D323" s="1191"/>
      <c r="E323" s="103" t="s">
        <v>308</v>
      </c>
      <c r="F323" s="201"/>
      <c r="G323" s="1107" t="s">
        <v>260</v>
      </c>
      <c r="H323" s="1107"/>
      <c r="I323" s="1102"/>
      <c r="J323" s="1103"/>
      <c r="K323" s="148"/>
      <c r="L323" s="149"/>
    </row>
    <row r="324" spans="1:12" hidden="1" x14ac:dyDescent="0.3">
      <c r="A324" s="104" t="s">
        <v>27</v>
      </c>
      <c r="B324" s="1104"/>
      <c r="C324" s="1105"/>
      <c r="D324" s="1106"/>
      <c r="E324" s="103"/>
      <c r="F324" s="147"/>
      <c r="G324" s="1107"/>
      <c r="H324" s="1107"/>
      <c r="I324" s="1108"/>
      <c r="J324" s="1109"/>
    </row>
    <row r="325" spans="1:12" s="45" customFormat="1" ht="15" hidden="1" customHeight="1" x14ac:dyDescent="0.3">
      <c r="A325" s="202"/>
      <c r="B325" s="1098" t="s">
        <v>13</v>
      </c>
      <c r="C325" s="1098"/>
      <c r="D325" s="1098"/>
      <c r="E325" s="1123" t="s">
        <v>74</v>
      </c>
      <c r="F325" s="1124"/>
      <c r="G325" s="1090" t="s">
        <v>14</v>
      </c>
      <c r="H325" s="1090"/>
      <c r="I325" s="1101">
        <f>I322</f>
        <v>0</v>
      </c>
      <c r="J325" s="1090"/>
    </row>
    <row r="326" spans="1:12" s="45" customFormat="1" ht="15" hidden="1" customHeight="1" x14ac:dyDescent="0.3">
      <c r="A326" s="1196" t="s">
        <v>547</v>
      </c>
      <c r="B326" s="1196"/>
      <c r="C326" s="1196"/>
      <c r="D326" s="1196"/>
      <c r="E326" s="1196"/>
      <c r="F326" s="1196"/>
      <c r="G326" s="1196"/>
      <c r="H326" s="1196"/>
      <c r="I326" s="1196"/>
      <c r="J326" s="1196"/>
    </row>
    <row r="327" spans="1:12" s="45" customFormat="1" ht="15" hidden="1" customHeight="1" x14ac:dyDescent="0.3">
      <c r="A327" s="199" t="s">
        <v>1</v>
      </c>
      <c r="B327" s="1110" t="s">
        <v>15</v>
      </c>
      <c r="C327" s="1110"/>
      <c r="D327" s="1110"/>
      <c r="E327" s="1110" t="s">
        <v>58</v>
      </c>
      <c r="F327" s="1110"/>
      <c r="G327" s="1110" t="s">
        <v>66</v>
      </c>
      <c r="H327" s="1110"/>
      <c r="I327" s="1110" t="s">
        <v>264</v>
      </c>
      <c r="J327" s="1110"/>
    </row>
    <row r="328" spans="1:12" s="45" customFormat="1" ht="15" hidden="1" customHeight="1" x14ac:dyDescent="0.3">
      <c r="A328" s="199">
        <v>1</v>
      </c>
      <c r="B328" s="1110">
        <v>2</v>
      </c>
      <c r="C328" s="1110"/>
      <c r="D328" s="1110"/>
      <c r="E328" s="1110">
        <v>3</v>
      </c>
      <c r="F328" s="1110"/>
      <c r="G328" s="1110">
        <v>4</v>
      </c>
      <c r="H328" s="1110"/>
      <c r="I328" s="1110">
        <v>5</v>
      </c>
      <c r="J328" s="1110"/>
    </row>
    <row r="329" spans="1:12" s="45" customFormat="1" ht="39.75" hidden="1" customHeight="1" x14ac:dyDescent="0.3">
      <c r="A329" s="198" t="s">
        <v>70</v>
      </c>
      <c r="B329" s="1125" t="s">
        <v>172</v>
      </c>
      <c r="C329" s="1126"/>
      <c r="D329" s="1127"/>
      <c r="E329" s="102"/>
      <c r="F329" s="102"/>
      <c r="G329" s="1187"/>
      <c r="H329" s="1188"/>
      <c r="I329" s="1189">
        <f>SUM(I330:J331)</f>
        <v>0</v>
      </c>
      <c r="J329" s="1190"/>
    </row>
    <row r="330" spans="1:12" s="45" customFormat="1" ht="15" hidden="1" customHeight="1" x14ac:dyDescent="0.3">
      <c r="A330" s="202" t="s">
        <v>27</v>
      </c>
      <c r="B330" s="1191" t="s">
        <v>549</v>
      </c>
      <c r="C330" s="1191"/>
      <c r="D330" s="1191"/>
      <c r="E330" s="103"/>
      <c r="F330" s="201"/>
      <c r="G330" s="1107" t="s">
        <v>260</v>
      </c>
      <c r="H330" s="1107"/>
      <c r="I330" s="1102"/>
      <c r="J330" s="1103"/>
    </row>
    <row r="331" spans="1:12" s="46" customFormat="1" ht="15" hidden="1" customHeight="1" x14ac:dyDescent="0.3">
      <c r="A331" s="104" t="s">
        <v>27</v>
      </c>
      <c r="B331" s="1104"/>
      <c r="C331" s="1105"/>
      <c r="D331" s="1106"/>
      <c r="E331" s="103"/>
      <c r="F331" s="147"/>
      <c r="G331" s="1107"/>
      <c r="H331" s="1107"/>
      <c r="I331" s="1108"/>
      <c r="J331" s="1109"/>
    </row>
    <row r="332" spans="1:12" s="45" customFormat="1" ht="33" hidden="1" customHeight="1" x14ac:dyDescent="0.3">
      <c r="A332" s="202"/>
      <c r="B332" s="1098" t="s">
        <v>13</v>
      </c>
      <c r="C332" s="1098"/>
      <c r="D332" s="1098"/>
      <c r="E332" s="1123" t="s">
        <v>74</v>
      </c>
      <c r="F332" s="1124"/>
      <c r="G332" s="1090" t="s">
        <v>14</v>
      </c>
      <c r="H332" s="1090"/>
      <c r="I332" s="1101">
        <f>I329</f>
        <v>0</v>
      </c>
      <c r="J332" s="1090"/>
    </row>
    <row r="333" spans="1:12" s="46" customFormat="1" ht="15" hidden="1" customHeight="1" x14ac:dyDescent="0.3">
      <c r="A333" s="1196" t="s">
        <v>548</v>
      </c>
      <c r="B333" s="1196"/>
      <c r="C333" s="1196"/>
      <c r="D333" s="1196"/>
      <c r="E333" s="1196"/>
      <c r="F333" s="1196"/>
      <c r="G333" s="1196"/>
      <c r="H333" s="1196"/>
      <c r="I333" s="1196"/>
      <c r="J333" s="1196"/>
    </row>
    <row r="334" spans="1:12" s="46" customFormat="1" ht="15" hidden="1" customHeight="1" x14ac:dyDescent="0.3">
      <c r="A334" s="199" t="s">
        <v>1</v>
      </c>
      <c r="B334" s="1110" t="s">
        <v>15</v>
      </c>
      <c r="C334" s="1110"/>
      <c r="D334" s="1110"/>
      <c r="E334" s="1110" t="s">
        <v>58</v>
      </c>
      <c r="F334" s="1110"/>
      <c r="G334" s="1110" t="s">
        <v>66</v>
      </c>
      <c r="H334" s="1110"/>
      <c r="I334" s="1110" t="s">
        <v>264</v>
      </c>
      <c r="J334" s="1110"/>
    </row>
    <row r="335" spans="1:12" s="46" customFormat="1" ht="15" hidden="1" customHeight="1" x14ac:dyDescent="0.3">
      <c r="A335" s="199">
        <v>1</v>
      </c>
      <c r="B335" s="1110">
        <v>2</v>
      </c>
      <c r="C335" s="1110"/>
      <c r="D335" s="1110"/>
      <c r="E335" s="1110">
        <v>3</v>
      </c>
      <c r="F335" s="1110"/>
      <c r="G335" s="1110">
        <v>4</v>
      </c>
      <c r="H335" s="1110"/>
      <c r="I335" s="1110">
        <v>5</v>
      </c>
      <c r="J335" s="1110"/>
    </row>
    <row r="336" spans="1:12" s="46" customFormat="1" ht="38.25" hidden="1" customHeight="1" x14ac:dyDescent="0.3">
      <c r="A336" s="198" t="s">
        <v>70</v>
      </c>
      <c r="B336" s="1125" t="s">
        <v>172</v>
      </c>
      <c r="C336" s="1126"/>
      <c r="D336" s="1127"/>
      <c r="E336" s="102"/>
      <c r="F336" s="102"/>
      <c r="G336" s="1187"/>
      <c r="H336" s="1188"/>
      <c r="I336" s="1189">
        <f>SUM(I337:J338)</f>
        <v>0</v>
      </c>
      <c r="J336" s="1190"/>
    </row>
    <row r="337" spans="1:10" s="46" customFormat="1" ht="15" hidden="1" customHeight="1" x14ac:dyDescent="0.3">
      <c r="A337" s="202" t="s">
        <v>27</v>
      </c>
      <c r="B337" s="1191"/>
      <c r="C337" s="1191"/>
      <c r="D337" s="1191"/>
      <c r="E337" s="103" t="s">
        <v>308</v>
      </c>
      <c r="F337" s="201"/>
      <c r="G337" s="1107" t="s">
        <v>260</v>
      </c>
      <c r="H337" s="1107"/>
      <c r="I337" s="1102"/>
      <c r="J337" s="1103"/>
    </row>
    <row r="338" spans="1:10" s="46" customFormat="1" ht="15" hidden="1" customHeight="1" x14ac:dyDescent="0.3">
      <c r="A338" s="104" t="s">
        <v>27</v>
      </c>
      <c r="B338" s="1104"/>
      <c r="C338" s="1105"/>
      <c r="D338" s="1106"/>
      <c r="E338" s="103"/>
      <c r="F338" s="147"/>
      <c r="G338" s="1107"/>
      <c r="H338" s="1107"/>
      <c r="I338" s="1108"/>
      <c r="J338" s="1109"/>
    </row>
    <row r="339" spans="1:10" s="46" customFormat="1" ht="15" hidden="1" customHeight="1" x14ac:dyDescent="0.3">
      <c r="A339" s="202"/>
      <c r="B339" s="1098" t="s">
        <v>13</v>
      </c>
      <c r="C339" s="1098"/>
      <c r="D339" s="1098"/>
      <c r="E339" s="1123" t="s">
        <v>74</v>
      </c>
      <c r="F339" s="1124"/>
      <c r="G339" s="1090" t="s">
        <v>14</v>
      </c>
      <c r="H339" s="1090"/>
      <c r="I339" s="1101">
        <f>I336</f>
        <v>0</v>
      </c>
      <c r="J339" s="1090"/>
    </row>
    <row r="340" spans="1:10" s="46" customFormat="1" ht="15" hidden="1" customHeight="1" x14ac:dyDescent="0.3">
      <c r="A340" s="1196" t="s">
        <v>551</v>
      </c>
      <c r="B340" s="1196"/>
      <c r="C340" s="1196"/>
      <c r="D340" s="1196"/>
      <c r="E340" s="1196"/>
      <c r="F340" s="1196"/>
      <c r="G340" s="1196"/>
      <c r="H340" s="1196"/>
      <c r="I340" s="1196"/>
      <c r="J340" s="1196"/>
    </row>
    <row r="341" spans="1:10" s="46" customFormat="1" ht="15" hidden="1" customHeight="1" x14ac:dyDescent="0.3">
      <c r="A341" s="199" t="s">
        <v>1</v>
      </c>
      <c r="B341" s="1110" t="s">
        <v>15</v>
      </c>
      <c r="C341" s="1110"/>
      <c r="D341" s="1110"/>
      <c r="E341" s="1110" t="s">
        <v>58</v>
      </c>
      <c r="F341" s="1110"/>
      <c r="G341" s="1110" t="s">
        <v>66</v>
      </c>
      <c r="H341" s="1110"/>
      <c r="I341" s="1110" t="s">
        <v>264</v>
      </c>
      <c r="J341" s="1110"/>
    </row>
    <row r="342" spans="1:10" s="46" customFormat="1" ht="15" hidden="1" customHeight="1" x14ac:dyDescent="0.3">
      <c r="A342" s="199">
        <v>1</v>
      </c>
      <c r="B342" s="1110">
        <v>2</v>
      </c>
      <c r="C342" s="1110"/>
      <c r="D342" s="1110"/>
      <c r="E342" s="1110">
        <v>3</v>
      </c>
      <c r="F342" s="1110"/>
      <c r="G342" s="1110">
        <v>4</v>
      </c>
      <c r="H342" s="1110"/>
      <c r="I342" s="1110">
        <v>5</v>
      </c>
      <c r="J342" s="1110"/>
    </row>
    <row r="343" spans="1:10" s="46" customFormat="1" ht="36" hidden="1" customHeight="1" x14ac:dyDescent="0.3">
      <c r="A343" s="198" t="s">
        <v>70</v>
      </c>
      <c r="B343" s="1125" t="s">
        <v>172</v>
      </c>
      <c r="C343" s="1126"/>
      <c r="D343" s="1127"/>
      <c r="E343" s="102"/>
      <c r="F343" s="102"/>
      <c r="G343" s="1187"/>
      <c r="H343" s="1188"/>
      <c r="I343" s="1189">
        <f>SUM(I344:J345)</f>
        <v>0</v>
      </c>
      <c r="J343" s="1190"/>
    </row>
    <row r="344" spans="1:10" s="46" customFormat="1" ht="15" hidden="1" customHeight="1" x14ac:dyDescent="0.3">
      <c r="A344" s="202" t="s">
        <v>27</v>
      </c>
      <c r="B344" s="1191" t="s">
        <v>550</v>
      </c>
      <c r="C344" s="1191"/>
      <c r="D344" s="1191"/>
      <c r="E344" s="103" t="s">
        <v>308</v>
      </c>
      <c r="F344" s="201"/>
      <c r="G344" s="1107" t="s">
        <v>260</v>
      </c>
      <c r="H344" s="1107"/>
      <c r="I344" s="1102"/>
      <c r="J344" s="1103"/>
    </row>
    <row r="345" spans="1:10" s="46" customFormat="1" ht="15" hidden="1" customHeight="1" x14ac:dyDescent="0.3">
      <c r="A345" s="104" t="s">
        <v>27</v>
      </c>
      <c r="B345" s="1104"/>
      <c r="C345" s="1105"/>
      <c r="D345" s="1106"/>
      <c r="E345" s="103"/>
      <c r="F345" s="147"/>
      <c r="G345" s="1107"/>
      <c r="H345" s="1107"/>
      <c r="I345" s="1108"/>
      <c r="J345" s="1109"/>
    </row>
    <row r="346" spans="1:10" s="45" customFormat="1" ht="15.6" x14ac:dyDescent="0.3">
      <c r="A346" s="1383" t="s">
        <v>552</v>
      </c>
      <c r="B346" s="1383"/>
      <c r="C346" s="1383"/>
      <c r="D346" s="1383"/>
      <c r="E346" s="1383"/>
      <c r="F346" s="1383"/>
      <c r="G346" s="1383"/>
      <c r="H346" s="1383"/>
      <c r="I346" s="1383"/>
      <c r="J346" s="1383"/>
    </row>
    <row r="347" spans="1:10" s="45" customFormat="1" ht="13.8" x14ac:dyDescent="0.3">
      <c r="A347" s="199" t="s">
        <v>1</v>
      </c>
      <c r="B347" s="1110" t="s">
        <v>15</v>
      </c>
      <c r="C347" s="1110"/>
      <c r="D347" s="1110"/>
      <c r="E347" s="1110" t="s">
        <v>58</v>
      </c>
      <c r="F347" s="1110"/>
      <c r="G347" s="1110" t="s">
        <v>66</v>
      </c>
      <c r="H347" s="1110"/>
      <c r="I347" s="1110" t="s">
        <v>264</v>
      </c>
      <c r="J347" s="1110"/>
    </row>
    <row r="348" spans="1:10" s="45" customFormat="1" ht="13.8" x14ac:dyDescent="0.3">
      <c r="A348" s="199">
        <v>1</v>
      </c>
      <c r="B348" s="1110">
        <v>2</v>
      </c>
      <c r="C348" s="1110"/>
      <c r="D348" s="1110"/>
      <c r="E348" s="1110">
        <v>3</v>
      </c>
      <c r="F348" s="1110"/>
      <c r="G348" s="1110">
        <v>4</v>
      </c>
      <c r="H348" s="1110"/>
      <c r="I348" s="1110">
        <v>5</v>
      </c>
      <c r="J348" s="1110"/>
    </row>
    <row r="349" spans="1:10" s="45" customFormat="1" ht="32.25" customHeight="1" x14ac:dyDescent="0.3">
      <c r="A349" s="198">
        <v>1</v>
      </c>
      <c r="B349" s="1125" t="s">
        <v>172</v>
      </c>
      <c r="C349" s="1126"/>
      <c r="D349" s="1127"/>
      <c r="E349" s="102"/>
      <c r="F349" s="102"/>
      <c r="G349" s="1187"/>
      <c r="H349" s="1188"/>
      <c r="I349" s="1211">
        <f>I350+I351</f>
        <v>48700</v>
      </c>
      <c r="J349" s="1190"/>
    </row>
    <row r="350" spans="1:10" s="45" customFormat="1" ht="47.25" customHeight="1" x14ac:dyDescent="0.3">
      <c r="A350" s="202">
        <v>1</v>
      </c>
      <c r="B350" s="835" t="s">
        <v>904</v>
      </c>
      <c r="C350" s="835"/>
      <c r="D350" s="835"/>
      <c r="E350" s="167"/>
      <c r="F350" s="168"/>
      <c r="G350" s="978"/>
      <c r="H350" s="978"/>
      <c r="I350" s="991">
        <v>29300</v>
      </c>
      <c r="J350" s="992"/>
    </row>
    <row r="351" spans="1:10" s="45" customFormat="1" ht="30" customHeight="1" x14ac:dyDescent="0.3">
      <c r="A351" s="202">
        <v>2</v>
      </c>
      <c r="B351" s="835" t="s">
        <v>944</v>
      </c>
      <c r="C351" s="835"/>
      <c r="D351" s="835"/>
      <c r="E351" s="167"/>
      <c r="F351" s="168"/>
      <c r="G351" s="978"/>
      <c r="H351" s="978"/>
      <c r="I351" s="991">
        <f>17000+2486-86</f>
        <v>19400</v>
      </c>
      <c r="J351" s="992"/>
    </row>
    <row r="352" spans="1:10" s="45" customFormat="1" ht="28.5" hidden="1" customHeight="1" x14ac:dyDescent="0.3">
      <c r="A352" s="1196" t="s">
        <v>551</v>
      </c>
      <c r="B352" s="1196"/>
      <c r="C352" s="1196"/>
      <c r="D352" s="1196"/>
      <c r="E352" s="1196"/>
      <c r="F352" s="1196"/>
      <c r="G352" s="1196"/>
      <c r="H352" s="1196"/>
      <c r="I352" s="1196"/>
      <c r="J352" s="1196"/>
    </row>
    <row r="353" spans="1:10" s="45" customFormat="1" ht="42.75" hidden="1" customHeight="1" x14ac:dyDescent="0.3">
      <c r="A353" s="277" t="s">
        <v>1</v>
      </c>
      <c r="B353" s="1110" t="s">
        <v>15</v>
      </c>
      <c r="C353" s="1110"/>
      <c r="D353" s="1110"/>
      <c r="E353" s="1110" t="s">
        <v>58</v>
      </c>
      <c r="F353" s="1110"/>
      <c r="G353" s="1110" t="s">
        <v>66</v>
      </c>
      <c r="H353" s="1110"/>
      <c r="I353" s="1110" t="s">
        <v>264</v>
      </c>
      <c r="J353" s="1110"/>
    </row>
    <row r="354" spans="1:10" s="45" customFormat="1" ht="23.25" hidden="1" customHeight="1" x14ac:dyDescent="0.3">
      <c r="A354" s="277">
        <v>1</v>
      </c>
      <c r="B354" s="1110">
        <v>2</v>
      </c>
      <c r="C354" s="1110"/>
      <c r="D354" s="1110"/>
      <c r="E354" s="1110">
        <v>3</v>
      </c>
      <c r="F354" s="1110"/>
      <c r="G354" s="1110">
        <v>4</v>
      </c>
      <c r="H354" s="1110"/>
      <c r="I354" s="1110">
        <v>5</v>
      </c>
      <c r="J354" s="1110"/>
    </row>
    <row r="355" spans="1:10" s="45" customFormat="1" ht="33" hidden="1" customHeight="1" x14ac:dyDescent="0.3">
      <c r="A355" s="279" t="s">
        <v>70</v>
      </c>
      <c r="B355" s="1125" t="s">
        <v>172</v>
      </c>
      <c r="C355" s="1126"/>
      <c r="D355" s="1127"/>
      <c r="E355" s="102"/>
      <c r="F355" s="102"/>
      <c r="G355" s="1187"/>
      <c r="H355" s="1188"/>
      <c r="I355" s="1189">
        <f>SUM(I356:J357)</f>
        <v>0</v>
      </c>
      <c r="J355" s="1190"/>
    </row>
    <row r="356" spans="1:10" s="45" customFormat="1" ht="48" hidden="1" customHeight="1" x14ac:dyDescent="0.3">
      <c r="A356" s="276" t="s">
        <v>27</v>
      </c>
      <c r="B356" s="1191" t="s">
        <v>639</v>
      </c>
      <c r="C356" s="1191"/>
      <c r="D356" s="1191"/>
      <c r="E356" s="103" t="s">
        <v>308</v>
      </c>
      <c r="F356" s="278"/>
      <c r="G356" s="1107" t="s">
        <v>260</v>
      </c>
      <c r="H356" s="1107"/>
      <c r="I356" s="1102">
        <v>0</v>
      </c>
      <c r="J356" s="1103"/>
    </row>
    <row r="357" spans="1:10" ht="48.75" hidden="1" customHeight="1" x14ac:dyDescent="0.3">
      <c r="A357" s="104" t="s">
        <v>27</v>
      </c>
      <c r="B357" s="1104" t="s">
        <v>649</v>
      </c>
      <c r="C357" s="1105"/>
      <c r="D357" s="1106"/>
      <c r="E357" s="103"/>
      <c r="F357" s="147"/>
      <c r="G357" s="1107"/>
      <c r="H357" s="1107"/>
      <c r="I357" s="1108">
        <v>0</v>
      </c>
      <c r="J357" s="1109"/>
    </row>
    <row r="358" spans="1:10" ht="48.75" hidden="1" customHeight="1" x14ac:dyDescent="0.3">
      <c r="A358" s="1383" t="s">
        <v>552</v>
      </c>
      <c r="B358" s="1383"/>
      <c r="C358" s="1383"/>
      <c r="D358" s="1383"/>
      <c r="E358" s="1383"/>
      <c r="F358" s="1383"/>
      <c r="G358" s="1383"/>
      <c r="H358" s="1383"/>
      <c r="I358" s="1383"/>
      <c r="J358" s="1383"/>
    </row>
    <row r="359" spans="1:10" ht="26.25" hidden="1" customHeight="1" x14ac:dyDescent="0.3">
      <c r="A359" s="288" t="s">
        <v>1</v>
      </c>
      <c r="B359" s="1110" t="s">
        <v>15</v>
      </c>
      <c r="C359" s="1110"/>
      <c r="D359" s="1110"/>
      <c r="E359" s="1110" t="s">
        <v>58</v>
      </c>
      <c r="F359" s="1110"/>
      <c r="G359" s="1110" t="s">
        <v>66</v>
      </c>
      <c r="H359" s="1110"/>
      <c r="I359" s="1110" t="s">
        <v>264</v>
      </c>
      <c r="J359" s="1110"/>
    </row>
    <row r="360" spans="1:10" ht="23.25" hidden="1" customHeight="1" x14ac:dyDescent="0.3">
      <c r="A360" s="288">
        <v>1</v>
      </c>
      <c r="B360" s="1110">
        <v>2</v>
      </c>
      <c r="C360" s="1110"/>
      <c r="D360" s="1110"/>
      <c r="E360" s="1110">
        <v>3</v>
      </c>
      <c r="F360" s="1110"/>
      <c r="G360" s="1110">
        <v>4</v>
      </c>
      <c r="H360" s="1110"/>
      <c r="I360" s="1110">
        <v>5</v>
      </c>
      <c r="J360" s="1110"/>
    </row>
    <row r="361" spans="1:10" ht="48.75" hidden="1" customHeight="1" x14ac:dyDescent="0.3">
      <c r="A361" s="292">
        <v>1</v>
      </c>
      <c r="B361" s="1125" t="s">
        <v>650</v>
      </c>
      <c r="C361" s="1126"/>
      <c r="D361" s="1127"/>
      <c r="E361" s="102"/>
      <c r="F361" s="102"/>
      <c r="G361" s="1187"/>
      <c r="H361" s="1188"/>
      <c r="I361" s="1211">
        <f>I362+I363</f>
        <v>0</v>
      </c>
      <c r="J361" s="1190"/>
    </row>
    <row r="362" spans="1:10" ht="48.75" hidden="1" customHeight="1" x14ac:dyDescent="0.3">
      <c r="A362" s="291" t="s">
        <v>27</v>
      </c>
      <c r="B362" s="1042" t="s">
        <v>651</v>
      </c>
      <c r="C362" s="1042"/>
      <c r="D362" s="1042"/>
      <c r="E362" s="167"/>
      <c r="F362" s="168"/>
      <c r="G362" s="978"/>
      <c r="H362" s="978"/>
      <c r="I362" s="991">
        <v>0</v>
      </c>
      <c r="J362" s="992"/>
    </row>
    <row r="363" spans="1:10" ht="48.75" hidden="1" customHeight="1" x14ac:dyDescent="0.3">
      <c r="A363" s="295" t="s">
        <v>29</v>
      </c>
      <c r="B363" s="1042" t="s">
        <v>654</v>
      </c>
      <c r="C363" s="1042"/>
      <c r="D363" s="1042"/>
      <c r="E363" s="167"/>
      <c r="F363" s="168"/>
      <c r="G363" s="978"/>
      <c r="H363" s="978"/>
      <c r="I363" s="1047">
        <v>0</v>
      </c>
      <c r="J363" s="1047"/>
    </row>
    <row r="364" spans="1:10" ht="48.75" hidden="1" customHeight="1" x14ac:dyDescent="0.3">
      <c r="A364" s="104" t="s">
        <v>31</v>
      </c>
      <c r="B364" s="1213" t="s">
        <v>655</v>
      </c>
      <c r="C364" s="1213"/>
      <c r="D364" s="1213"/>
      <c r="E364" s="103"/>
      <c r="F364" s="147"/>
      <c r="G364" s="1107"/>
      <c r="H364" s="1107"/>
      <c r="I364" s="1412">
        <v>0</v>
      </c>
      <c r="J364" s="1412"/>
    </row>
    <row r="365" spans="1:10" ht="48.75" hidden="1" customHeight="1" x14ac:dyDescent="0.3">
      <c r="A365" s="256"/>
      <c r="B365" s="290"/>
      <c r="C365" s="290"/>
      <c r="D365" s="290"/>
      <c r="E365" s="281"/>
      <c r="F365" s="294"/>
      <c r="G365" s="293"/>
      <c r="H365" s="293"/>
      <c r="I365" s="289"/>
      <c r="J365" s="289"/>
    </row>
    <row r="366" spans="1:10" ht="15.6" hidden="1" x14ac:dyDescent="0.3">
      <c r="A366" s="1383" t="s">
        <v>557</v>
      </c>
      <c r="B366" s="1383"/>
      <c r="C366" s="1383"/>
      <c r="D366" s="1383"/>
      <c r="E366" s="1383"/>
      <c r="F366" s="1383"/>
      <c r="G366" s="1383"/>
      <c r="H366" s="1383"/>
      <c r="I366" s="1383"/>
      <c r="J366" s="1383"/>
    </row>
    <row r="367" spans="1:10" hidden="1" x14ac:dyDescent="0.3">
      <c r="A367" s="199" t="s">
        <v>1</v>
      </c>
      <c r="B367" s="1110" t="s">
        <v>15</v>
      </c>
      <c r="C367" s="1110"/>
      <c r="D367" s="1110"/>
      <c r="E367" s="1110" t="s">
        <v>58</v>
      </c>
      <c r="F367" s="1110"/>
      <c r="G367" s="1110" t="s">
        <v>66</v>
      </c>
      <c r="H367" s="1110"/>
      <c r="I367" s="1110" t="s">
        <v>264</v>
      </c>
      <c r="J367" s="1110"/>
    </row>
    <row r="368" spans="1:10" hidden="1" x14ac:dyDescent="0.3">
      <c r="A368" s="199">
        <v>1</v>
      </c>
      <c r="B368" s="1110">
        <v>2</v>
      </c>
      <c r="C368" s="1110"/>
      <c r="D368" s="1110"/>
      <c r="E368" s="1110">
        <v>3</v>
      </c>
      <c r="F368" s="1110"/>
      <c r="G368" s="1110">
        <v>4</v>
      </c>
      <c r="H368" s="1110"/>
      <c r="I368" s="1110">
        <v>5</v>
      </c>
      <c r="J368" s="1110"/>
    </row>
    <row r="369" spans="1:10" ht="46.5" hidden="1" customHeight="1" x14ac:dyDescent="0.3">
      <c r="A369" s="240" t="s">
        <v>70</v>
      </c>
      <c r="B369" s="1125" t="s">
        <v>187</v>
      </c>
      <c r="C369" s="1126"/>
      <c r="D369" s="1127"/>
      <c r="E369" s="102"/>
      <c r="F369" s="99"/>
      <c r="G369" s="1382"/>
      <c r="H369" s="1382"/>
      <c r="I369" s="1189">
        <f>I370</f>
        <v>0</v>
      </c>
      <c r="J369" s="1190"/>
    </row>
    <row r="370" spans="1:10" hidden="1" x14ac:dyDescent="0.3">
      <c r="A370" s="104" t="s">
        <v>27</v>
      </c>
      <c r="B370" s="1042" t="s">
        <v>638</v>
      </c>
      <c r="C370" s="1042"/>
      <c r="D370" s="1042"/>
      <c r="E370" s="167"/>
      <c r="F370" s="168"/>
      <c r="G370" s="978"/>
      <c r="H370" s="978"/>
      <c r="I370" s="991">
        <v>0</v>
      </c>
      <c r="J370" s="992"/>
    </row>
    <row r="371" spans="1:10" hidden="1" x14ac:dyDescent="0.3">
      <c r="A371" s="104"/>
      <c r="B371" s="820"/>
      <c r="C371" s="821"/>
      <c r="D371" s="822"/>
      <c r="E371" s="167"/>
      <c r="F371" s="168"/>
      <c r="G371" s="823"/>
      <c r="H371" s="824"/>
      <c r="I371" s="208"/>
      <c r="J371" s="209"/>
    </row>
    <row r="372" spans="1:10" ht="25.5" customHeight="1" x14ac:dyDescent="0.3">
      <c r="A372" s="104"/>
      <c r="B372" s="1098" t="s">
        <v>13</v>
      </c>
      <c r="C372" s="1098"/>
      <c r="D372" s="1098"/>
      <c r="E372" s="103"/>
      <c r="F372" s="201"/>
      <c r="G372" s="1107"/>
      <c r="H372" s="1107"/>
      <c r="I372" s="1182">
        <f>I315+I322+I329+I336+I343+I349+I355+I369+I361</f>
        <v>48700</v>
      </c>
      <c r="J372" s="1183"/>
    </row>
    <row r="373" spans="1:10" ht="15.6" hidden="1" x14ac:dyDescent="0.3">
      <c r="A373" s="1173" t="s">
        <v>385</v>
      </c>
      <c r="B373" s="1173"/>
      <c r="C373" s="1173"/>
      <c r="D373" s="1173"/>
      <c r="E373" s="1173"/>
      <c r="F373" s="1173"/>
      <c r="G373" s="1173"/>
      <c r="H373" s="1173"/>
      <c r="I373" s="1173"/>
      <c r="J373" s="1173"/>
    </row>
    <row r="374" spans="1:10" hidden="1" x14ac:dyDescent="0.3">
      <c r="A374" s="1174" t="s">
        <v>1</v>
      </c>
      <c r="B374" s="1176" t="s">
        <v>15</v>
      </c>
      <c r="C374" s="1177"/>
      <c r="D374" s="1178"/>
      <c r="E374" s="1176" t="s">
        <v>64</v>
      </c>
      <c r="F374" s="1178"/>
      <c r="G374" s="1110" t="s">
        <v>65</v>
      </c>
      <c r="H374" s="1110"/>
      <c r="I374" s="1110"/>
      <c r="J374" s="1110"/>
    </row>
    <row r="375" spans="1:10" ht="26.4" hidden="1" x14ac:dyDescent="0.3">
      <c r="A375" s="1175"/>
      <c r="B375" s="1179"/>
      <c r="C375" s="1180"/>
      <c r="D375" s="1181"/>
      <c r="E375" s="1179"/>
      <c r="F375" s="1181"/>
      <c r="G375" s="199" t="s">
        <v>305</v>
      </c>
      <c r="H375" s="199" t="s">
        <v>302</v>
      </c>
      <c r="I375" s="199" t="s">
        <v>303</v>
      </c>
      <c r="J375" s="199" t="s">
        <v>304</v>
      </c>
    </row>
    <row r="376" spans="1:10" hidden="1" x14ac:dyDescent="0.3">
      <c r="A376" s="199">
        <v>1</v>
      </c>
      <c r="B376" s="1110">
        <v>2</v>
      </c>
      <c r="C376" s="1110"/>
      <c r="D376" s="1110"/>
      <c r="E376" s="1139">
        <v>3</v>
      </c>
      <c r="F376" s="1140"/>
      <c r="G376" s="1110">
        <v>4</v>
      </c>
      <c r="H376" s="1110"/>
      <c r="I376" s="1110"/>
      <c r="J376" s="1110"/>
    </row>
    <row r="377" spans="1:10" hidden="1" x14ac:dyDescent="0.3">
      <c r="A377" s="202" t="s">
        <v>70</v>
      </c>
      <c r="B377" s="1143" t="s">
        <v>346</v>
      </c>
      <c r="C377" s="1143"/>
      <c r="D377" s="1143"/>
      <c r="E377" s="1116">
        <v>1</v>
      </c>
      <c r="F377" s="1117"/>
      <c r="G377" s="202" t="s">
        <v>306</v>
      </c>
      <c r="H377" s="202">
        <v>1</v>
      </c>
      <c r="I377" s="101"/>
      <c r="J377" s="110">
        <v>0</v>
      </c>
    </row>
    <row r="378" spans="1:10" hidden="1" x14ac:dyDescent="0.3">
      <c r="A378" s="202" t="s">
        <v>75</v>
      </c>
      <c r="B378" s="1143" t="s">
        <v>347</v>
      </c>
      <c r="C378" s="1143"/>
      <c r="D378" s="1143"/>
      <c r="E378" s="1116">
        <v>1</v>
      </c>
      <c r="F378" s="1117"/>
      <c r="G378" s="202" t="s">
        <v>306</v>
      </c>
      <c r="H378" s="202">
        <v>1</v>
      </c>
      <c r="I378" s="101"/>
      <c r="J378" s="110">
        <f t="shared" ref="J378:J379" si="19">H378*I378</f>
        <v>0</v>
      </c>
    </row>
    <row r="379" spans="1:10" hidden="1" x14ac:dyDescent="0.3">
      <c r="A379" s="202" t="s">
        <v>77</v>
      </c>
      <c r="B379" s="1143" t="s">
        <v>342</v>
      </c>
      <c r="C379" s="1143"/>
      <c r="D379" s="1143"/>
      <c r="E379" s="1116">
        <v>1</v>
      </c>
      <c r="F379" s="1117"/>
      <c r="G379" s="202" t="s">
        <v>306</v>
      </c>
      <c r="H379" s="201">
        <v>1</v>
      </c>
      <c r="I379" s="101"/>
      <c r="J379" s="110">
        <f t="shared" si="19"/>
        <v>0</v>
      </c>
    </row>
    <row r="380" spans="1:10" ht="15.6" hidden="1" x14ac:dyDescent="0.3">
      <c r="A380" s="179"/>
      <c r="B380" s="1164" t="s">
        <v>13</v>
      </c>
      <c r="C380" s="1164"/>
      <c r="D380" s="1164"/>
      <c r="E380" s="1165" t="s">
        <v>14</v>
      </c>
      <c r="F380" s="1166"/>
      <c r="G380" s="1167">
        <f>SUM(J377:J379)</f>
        <v>0</v>
      </c>
      <c r="H380" s="1168"/>
      <c r="I380" s="1168"/>
      <c r="J380" s="1168"/>
    </row>
    <row r="381" spans="1:10" hidden="1" x14ac:dyDescent="0.3">
      <c r="A381" s="90"/>
      <c r="B381" s="90"/>
      <c r="C381" s="90"/>
      <c r="D381" s="90"/>
      <c r="E381" s="90"/>
      <c r="F381" s="90"/>
      <c r="G381" s="90"/>
      <c r="H381" s="90"/>
      <c r="I381" s="90"/>
      <c r="J381" s="90"/>
    </row>
    <row r="382" spans="1:10" ht="32.25" customHeight="1" x14ac:dyDescent="0.3">
      <c r="A382" s="90"/>
      <c r="B382" s="90"/>
      <c r="C382" s="90"/>
      <c r="D382" s="90"/>
      <c r="E382" s="90"/>
      <c r="F382" s="90"/>
      <c r="G382" s="90"/>
      <c r="H382" s="105" t="s">
        <v>212</v>
      </c>
      <c r="I382" s="1172">
        <f>J87+J94+I105+I145+I166+I182+I196+I227+G254+G289+I294+I310+I372+G380</f>
        <v>306999.99600000004</v>
      </c>
      <c r="J382" s="1172"/>
    </row>
    <row r="383" spans="1:10" x14ac:dyDescent="0.3">
      <c r="A383" s="90"/>
      <c r="B383" s="90"/>
      <c r="C383" s="90"/>
      <c r="D383" s="90"/>
      <c r="E383" s="90"/>
      <c r="F383" s="90"/>
      <c r="G383" s="90"/>
      <c r="H383" s="106" t="s">
        <v>248</v>
      </c>
      <c r="I383" s="90"/>
      <c r="J383" s="90"/>
    </row>
    <row r="384" spans="1:10" x14ac:dyDescent="0.3">
      <c r="A384" s="90"/>
      <c r="B384" s="90"/>
      <c r="C384" s="90"/>
      <c r="D384" s="90"/>
      <c r="E384" s="90"/>
      <c r="F384" s="90"/>
      <c r="G384" s="90"/>
      <c r="H384" s="106" t="s">
        <v>266</v>
      </c>
      <c r="I384" s="1163">
        <f>I382</f>
        <v>306999.99600000004</v>
      </c>
      <c r="J384" s="1163"/>
    </row>
    <row r="385" spans="1:12" x14ac:dyDescent="0.3">
      <c r="A385" s="90"/>
      <c r="B385" s="90"/>
      <c r="C385" s="90"/>
      <c r="D385" s="90"/>
      <c r="E385" s="90"/>
      <c r="F385" s="90"/>
      <c r="G385" s="90"/>
      <c r="H385" s="106" t="s">
        <v>592</v>
      </c>
      <c r="I385" s="1163">
        <v>0</v>
      </c>
      <c r="J385" s="1163"/>
    </row>
    <row r="386" spans="1:12" x14ac:dyDescent="0.3">
      <c r="A386" s="90"/>
      <c r="B386" s="90"/>
      <c r="C386" s="90"/>
      <c r="D386" s="90"/>
      <c r="E386" s="90"/>
      <c r="F386" s="90"/>
      <c r="G386" s="90"/>
      <c r="H386" s="106" t="s">
        <v>338</v>
      </c>
      <c r="I386" s="1163">
        <v>0</v>
      </c>
      <c r="J386" s="1163"/>
    </row>
    <row r="387" spans="1:12" hidden="1" x14ac:dyDescent="0.3">
      <c r="A387" s="90"/>
      <c r="B387" s="90"/>
      <c r="C387" s="90"/>
      <c r="D387" s="90"/>
      <c r="E387" s="90"/>
      <c r="F387" s="90"/>
      <c r="G387" s="90"/>
      <c r="H387" s="106"/>
      <c r="I387" s="1163"/>
      <c r="J387" s="1163"/>
    </row>
    <row r="388" spans="1:12" hidden="1" x14ac:dyDescent="0.3">
      <c r="A388" s="90"/>
      <c r="B388" s="90"/>
      <c r="C388" s="90"/>
      <c r="D388" s="90"/>
      <c r="E388" s="90"/>
      <c r="F388" s="90"/>
      <c r="G388" s="90"/>
      <c r="H388" s="106"/>
      <c r="I388" s="1163"/>
      <c r="J388" s="1163"/>
    </row>
    <row r="389" spans="1:12" hidden="1" x14ac:dyDescent="0.3">
      <c r="A389" s="90"/>
      <c r="B389" s="90"/>
      <c r="C389" s="90"/>
      <c r="D389" s="90"/>
      <c r="E389" s="90"/>
      <c r="F389" s="90"/>
      <c r="G389" s="90"/>
      <c r="H389" s="106"/>
      <c r="I389" s="1163"/>
      <c r="J389" s="1163"/>
    </row>
    <row r="390" spans="1:12" hidden="1" x14ac:dyDescent="0.3">
      <c r="A390" s="90"/>
      <c r="B390" s="90"/>
      <c r="C390" s="90"/>
      <c r="D390" s="90"/>
      <c r="E390" s="90"/>
      <c r="F390" s="90"/>
      <c r="G390" s="90"/>
      <c r="H390" s="106"/>
      <c r="I390" s="1163"/>
      <c r="J390" s="1163"/>
    </row>
    <row r="391" spans="1:12" hidden="1" x14ac:dyDescent="0.3">
      <c r="A391" s="90"/>
      <c r="B391" s="90"/>
      <c r="C391" s="90"/>
      <c r="D391" s="90"/>
      <c r="E391" s="90"/>
      <c r="F391" s="90"/>
      <c r="G391" s="90"/>
      <c r="H391" s="106"/>
      <c r="I391" s="1163"/>
      <c r="J391" s="1163"/>
    </row>
    <row r="392" spans="1:12" hidden="1" x14ac:dyDescent="0.3">
      <c r="A392" s="90"/>
      <c r="B392" s="90"/>
      <c r="C392" s="90"/>
      <c r="D392" s="90"/>
      <c r="E392" s="90"/>
      <c r="F392" s="90"/>
      <c r="G392" s="90"/>
      <c r="H392" s="106"/>
      <c r="I392" s="210"/>
      <c r="J392" s="210"/>
    </row>
    <row r="393" spans="1:12" hidden="1" x14ac:dyDescent="0.3">
      <c r="A393" s="90"/>
      <c r="B393" s="90"/>
      <c r="C393" s="90"/>
      <c r="D393" s="90"/>
      <c r="E393" s="90"/>
      <c r="F393" s="90"/>
      <c r="G393" s="90"/>
      <c r="H393" s="106"/>
      <c r="I393" s="90"/>
      <c r="J393" s="90"/>
    </row>
    <row r="394" spans="1:12" hidden="1" x14ac:dyDescent="0.3">
      <c r="A394" s="1379"/>
      <c r="B394" s="1379"/>
      <c r="C394" s="1379"/>
      <c r="D394" s="244"/>
      <c r="E394" s="244"/>
      <c r="F394" s="245"/>
      <c r="G394" s="246"/>
      <c r="H394" s="246"/>
      <c r="I394" s="246"/>
      <c r="J394" s="174"/>
    </row>
    <row r="395" spans="1:12" x14ac:dyDescent="0.3">
      <c r="A395" s="247"/>
      <c r="B395" s="247"/>
      <c r="C395" s="247"/>
      <c r="D395" s="1380"/>
      <c r="E395" s="1380"/>
      <c r="F395" s="1381"/>
      <c r="G395" s="1381"/>
      <c r="H395" s="1381"/>
      <c r="I395" s="1381"/>
      <c r="J395" s="45"/>
    </row>
    <row r="396" spans="1:12" s="173" customFormat="1" ht="15.6" x14ac:dyDescent="0.3">
      <c r="A396" s="1024" t="s">
        <v>211</v>
      </c>
      <c r="B396" s="1024"/>
      <c r="C396" s="1024"/>
      <c r="D396" s="432"/>
      <c r="E396" s="432"/>
      <c r="F396" s="433" t="s">
        <v>471</v>
      </c>
      <c r="G396" s="433"/>
      <c r="H396" s="433"/>
      <c r="I396" s="433"/>
      <c r="J396" s="434"/>
      <c r="K396" s="334"/>
      <c r="L396" s="323">
        <f>I384+I390</f>
        <v>306999.99600000004</v>
      </c>
    </row>
    <row r="397" spans="1:12" x14ac:dyDescent="0.3">
      <c r="A397" s="51"/>
      <c r="B397" s="51"/>
      <c r="C397" s="51"/>
      <c r="D397" s="1025" t="s">
        <v>279</v>
      </c>
      <c r="E397" s="1025"/>
      <c r="F397" s="1026" t="s">
        <v>280</v>
      </c>
      <c r="G397" s="1026"/>
      <c r="H397" s="1026"/>
      <c r="I397" s="1026"/>
      <c r="J397" s="45"/>
    </row>
    <row r="398" spans="1:12" x14ac:dyDescent="0.3">
      <c r="A398" s="1169" t="s">
        <v>470</v>
      </c>
      <c r="B398" s="1169"/>
      <c r="C398" s="1169"/>
      <c r="D398" s="150"/>
      <c r="E398" s="150"/>
      <c r="F398" s="151" t="s">
        <v>472</v>
      </c>
      <c r="G398" s="151"/>
      <c r="H398" s="151"/>
      <c r="I398" s="151"/>
      <c r="J398" s="46"/>
    </row>
    <row r="399" spans="1:12" x14ac:dyDescent="0.3">
      <c r="A399" s="178"/>
      <c r="B399" s="178"/>
      <c r="C399" s="178"/>
      <c r="D399" s="1025" t="s">
        <v>279</v>
      </c>
      <c r="E399" s="1025"/>
      <c r="F399" s="1026" t="s">
        <v>280</v>
      </c>
      <c r="G399" s="1026"/>
      <c r="H399" s="1026"/>
      <c r="I399" s="1026"/>
      <c r="J399" s="45"/>
    </row>
    <row r="400" spans="1:12" x14ac:dyDescent="0.3">
      <c r="A400" s="178"/>
      <c r="B400" s="178"/>
      <c r="C400" s="178"/>
      <c r="D400" s="178"/>
      <c r="E400" s="178"/>
      <c r="F400" s="178"/>
      <c r="G400" s="45"/>
      <c r="H400" s="45"/>
      <c r="I400" s="45"/>
      <c r="J400" s="45"/>
    </row>
    <row r="401" spans="1:10" x14ac:dyDescent="0.3">
      <c r="A401" s="1152" t="s">
        <v>473</v>
      </c>
      <c r="B401" s="1152"/>
      <c r="C401" s="178"/>
      <c r="D401" s="178"/>
      <c r="E401" s="178"/>
      <c r="F401" s="178"/>
      <c r="G401" s="45"/>
      <c r="H401" s="45"/>
      <c r="I401" s="45"/>
      <c r="J401" s="45"/>
    </row>
    <row r="402" spans="1:10" x14ac:dyDescent="0.3">
      <c r="A402" s="178"/>
      <c r="B402" s="178"/>
      <c r="C402" s="178"/>
      <c r="D402" s="178"/>
      <c r="E402" s="178"/>
      <c r="F402" s="178"/>
      <c r="G402" s="45"/>
      <c r="H402" s="45"/>
      <c r="I402" s="45"/>
      <c r="J402" s="45"/>
    </row>
    <row r="403" spans="1:10" x14ac:dyDescent="0.3">
      <c r="A403" s="758"/>
      <c r="B403" s="758"/>
      <c r="C403" s="178"/>
      <c r="D403" s="178"/>
      <c r="E403" s="178"/>
      <c r="F403" s="178"/>
      <c r="G403" s="45"/>
      <c r="H403" s="45"/>
      <c r="I403" s="45"/>
      <c r="J403" s="45"/>
    </row>
  </sheetData>
  <mergeCells count="820">
    <mergeCell ref="B364:D364"/>
    <mergeCell ref="G364:H364"/>
    <mergeCell ref="I364:J364"/>
    <mergeCell ref="B361:D361"/>
    <mergeCell ref="G361:H361"/>
    <mergeCell ref="I361:J361"/>
    <mergeCell ref="B362:D362"/>
    <mergeCell ref="G362:H362"/>
    <mergeCell ref="I362:J362"/>
    <mergeCell ref="B363:D363"/>
    <mergeCell ref="G363:H363"/>
    <mergeCell ref="I363:J363"/>
    <mergeCell ref="A358:J358"/>
    <mergeCell ref="B359:D359"/>
    <mergeCell ref="E359:F359"/>
    <mergeCell ref="G359:H359"/>
    <mergeCell ref="I359:J359"/>
    <mergeCell ref="B360:D360"/>
    <mergeCell ref="E360:F360"/>
    <mergeCell ref="G360:H360"/>
    <mergeCell ref="I360:J360"/>
    <mergeCell ref="B173:D173"/>
    <mergeCell ref="E173:F173"/>
    <mergeCell ref="A167:J167"/>
    <mergeCell ref="G140:H140"/>
    <mergeCell ref="I140:J140"/>
    <mergeCell ref="G138:H138"/>
    <mergeCell ref="I138:J138"/>
    <mergeCell ref="G135:H135"/>
    <mergeCell ref="I135:J135"/>
    <mergeCell ref="G136:H136"/>
    <mergeCell ref="I136:J136"/>
    <mergeCell ref="G137:H137"/>
    <mergeCell ref="I137:J137"/>
    <mergeCell ref="I144:J144"/>
    <mergeCell ref="G141:H141"/>
    <mergeCell ref="I141:J141"/>
    <mergeCell ref="G142:H142"/>
    <mergeCell ref="I142:J142"/>
    <mergeCell ref="G143:H143"/>
    <mergeCell ref="I143:J143"/>
    <mergeCell ref="B141:F141"/>
    <mergeCell ref="B142:F142"/>
    <mergeCell ref="B143:F143"/>
    <mergeCell ref="B144:F144"/>
    <mergeCell ref="A174:J174"/>
    <mergeCell ref="A177:J177"/>
    <mergeCell ref="B178:D178"/>
    <mergeCell ref="E178:F178"/>
    <mergeCell ref="G178:H178"/>
    <mergeCell ref="I178:J178"/>
    <mergeCell ref="B179:D179"/>
    <mergeCell ref="E179:F179"/>
    <mergeCell ref="G179:H179"/>
    <mergeCell ref="I179:J179"/>
    <mergeCell ref="B172:D172"/>
    <mergeCell ref="E172:F172"/>
    <mergeCell ref="B164:D164"/>
    <mergeCell ref="G164:H164"/>
    <mergeCell ref="I164:J164"/>
    <mergeCell ref="B165:D165"/>
    <mergeCell ref="G165:H165"/>
    <mergeCell ref="I165:J165"/>
    <mergeCell ref="B163:D163"/>
    <mergeCell ref="G163:H163"/>
    <mergeCell ref="I163:J163"/>
    <mergeCell ref="B171:D171"/>
    <mergeCell ref="E171:F171"/>
    <mergeCell ref="B166:D166"/>
    <mergeCell ref="E166:F166"/>
    <mergeCell ref="G166:H166"/>
    <mergeCell ref="I166:J166"/>
    <mergeCell ref="B170:D170"/>
    <mergeCell ref="E170:F170"/>
    <mergeCell ref="E163:F163"/>
    <mergeCell ref="E164:F164"/>
    <mergeCell ref="E165:F165"/>
    <mergeCell ref="B154:D154"/>
    <mergeCell ref="G154:H154"/>
    <mergeCell ref="I154:J154"/>
    <mergeCell ref="B155:D155"/>
    <mergeCell ref="G155:H155"/>
    <mergeCell ref="I155:J155"/>
    <mergeCell ref="A156:J156"/>
    <mergeCell ref="E161:F161"/>
    <mergeCell ref="G161:H161"/>
    <mergeCell ref="I161:J161"/>
    <mergeCell ref="A161:A162"/>
    <mergeCell ref="G162:H162"/>
    <mergeCell ref="I162:J162"/>
    <mergeCell ref="B160:D160"/>
    <mergeCell ref="E160:F160"/>
    <mergeCell ref="G160:H160"/>
    <mergeCell ref="I160:J160"/>
    <mergeCell ref="B159:D159"/>
    <mergeCell ref="E159:F159"/>
    <mergeCell ref="G159:H159"/>
    <mergeCell ref="I159:J159"/>
    <mergeCell ref="B161:C162"/>
    <mergeCell ref="E162:F162"/>
    <mergeCell ref="A1:J1"/>
    <mergeCell ref="A2:J2"/>
    <mergeCell ref="A3:J3"/>
    <mergeCell ref="A5:J5"/>
    <mergeCell ref="A14:J14"/>
    <mergeCell ref="A22:J22"/>
    <mergeCell ref="A23:J23"/>
    <mergeCell ref="B101:D101"/>
    <mergeCell ref="H9:H11"/>
    <mergeCell ref="D9:G9"/>
    <mergeCell ref="C9:C11"/>
    <mergeCell ref="B9:B11"/>
    <mergeCell ref="I9:I11"/>
    <mergeCell ref="J9:J11"/>
    <mergeCell ref="D10:D11"/>
    <mergeCell ref="A8:J8"/>
    <mergeCell ref="E10:G10"/>
    <mergeCell ref="A13:J13"/>
    <mergeCell ref="A9:A11"/>
    <mergeCell ref="B93:D93"/>
    <mergeCell ref="I93:J93"/>
    <mergeCell ref="A89:J89"/>
    <mergeCell ref="A36:J36"/>
    <mergeCell ref="A51:J51"/>
    <mergeCell ref="A56:J56"/>
    <mergeCell ref="A66:B66"/>
    <mergeCell ref="A67:I67"/>
    <mergeCell ref="A68:I68"/>
    <mergeCell ref="A71:A73"/>
    <mergeCell ref="B71:B73"/>
    <mergeCell ref="C71:C73"/>
    <mergeCell ref="D71:G71"/>
    <mergeCell ref="H71:H73"/>
    <mergeCell ref="I71:I73"/>
    <mergeCell ref="J71:J73"/>
    <mergeCell ref="D72:D73"/>
    <mergeCell ref="E72:G72"/>
    <mergeCell ref="A75:J75"/>
    <mergeCell ref="A82:I82"/>
    <mergeCell ref="A83:I83"/>
    <mergeCell ref="A85:J85"/>
    <mergeCell ref="A86:B86"/>
    <mergeCell ref="A87:I87"/>
    <mergeCell ref="B90:D90"/>
    <mergeCell ref="E90:F90"/>
    <mergeCell ref="G90:H90"/>
    <mergeCell ref="I90:J90"/>
    <mergeCell ref="B91:D91"/>
    <mergeCell ref="E91:F91"/>
    <mergeCell ref="G91:H91"/>
    <mergeCell ref="I91:J91"/>
    <mergeCell ref="B92:D92"/>
    <mergeCell ref="E92:F92"/>
    <mergeCell ref="G92:H92"/>
    <mergeCell ref="I92:J92"/>
    <mergeCell ref="E93:F93"/>
    <mergeCell ref="G93:H93"/>
    <mergeCell ref="E94:F94"/>
    <mergeCell ref="G94:H94"/>
    <mergeCell ref="A95:J95"/>
    <mergeCell ref="E96:F96"/>
    <mergeCell ref="E97:F97"/>
    <mergeCell ref="A98:J98"/>
    <mergeCell ref="E99:F99"/>
    <mergeCell ref="A100:J100"/>
    <mergeCell ref="E101:F101"/>
    <mergeCell ref="B99:D99"/>
    <mergeCell ref="I99:J99"/>
    <mergeCell ref="B97:D97"/>
    <mergeCell ref="I97:J97"/>
    <mergeCell ref="B94:D94"/>
    <mergeCell ref="B96:D96"/>
    <mergeCell ref="I96:J96"/>
    <mergeCell ref="I101:J101"/>
    <mergeCell ref="B102:D102"/>
    <mergeCell ref="E102:F102"/>
    <mergeCell ref="I102:J102"/>
    <mergeCell ref="A103:J103"/>
    <mergeCell ref="E104:F104"/>
    <mergeCell ref="I104:J104"/>
    <mergeCell ref="I105:J105"/>
    <mergeCell ref="A106:J106"/>
    <mergeCell ref="E107:F107"/>
    <mergeCell ref="I107:J107"/>
    <mergeCell ref="B105:D105"/>
    <mergeCell ref="B104:D104"/>
    <mergeCell ref="E105:F105"/>
    <mergeCell ref="B107:D107"/>
    <mergeCell ref="E108:F108"/>
    <mergeCell ref="I108:J108"/>
    <mergeCell ref="B109:D109"/>
    <mergeCell ref="E109:F109"/>
    <mergeCell ref="I109:J109"/>
    <mergeCell ref="I110:J110"/>
    <mergeCell ref="A111:J111"/>
    <mergeCell ref="B112:F112"/>
    <mergeCell ref="G112:H112"/>
    <mergeCell ref="I112:J112"/>
    <mergeCell ref="B108:D108"/>
    <mergeCell ref="B110:D110"/>
    <mergeCell ref="E110:F110"/>
    <mergeCell ref="B113:F113"/>
    <mergeCell ref="G113:H113"/>
    <mergeCell ref="I113:J113"/>
    <mergeCell ref="B114:F114"/>
    <mergeCell ref="G114:H114"/>
    <mergeCell ref="I114:J114"/>
    <mergeCell ref="B115:F115"/>
    <mergeCell ref="G115:H115"/>
    <mergeCell ref="I115:J115"/>
    <mergeCell ref="B116:F116"/>
    <mergeCell ref="G116:H116"/>
    <mergeCell ref="I116:J116"/>
    <mergeCell ref="B117:F117"/>
    <mergeCell ref="G117:H117"/>
    <mergeCell ref="I117:J117"/>
    <mergeCell ref="B118:F118"/>
    <mergeCell ref="G118:H118"/>
    <mergeCell ref="I118:J118"/>
    <mergeCell ref="B119:F119"/>
    <mergeCell ref="G119:H119"/>
    <mergeCell ref="I119:J119"/>
    <mergeCell ref="B120:F120"/>
    <mergeCell ref="G120:H120"/>
    <mergeCell ref="I120:J120"/>
    <mergeCell ref="B121:F121"/>
    <mergeCell ref="G121:H121"/>
    <mergeCell ref="I121:J121"/>
    <mergeCell ref="B122:F122"/>
    <mergeCell ref="G122:H122"/>
    <mergeCell ref="I122:J122"/>
    <mergeCell ref="B123:F123"/>
    <mergeCell ref="G123:H123"/>
    <mergeCell ref="I123:J123"/>
    <mergeCell ref="B124:F124"/>
    <mergeCell ref="B125:F125"/>
    <mergeCell ref="B126:F126"/>
    <mergeCell ref="G124:H124"/>
    <mergeCell ref="I124:J124"/>
    <mergeCell ref="G125:H125"/>
    <mergeCell ref="I125:J125"/>
    <mergeCell ref="G126:H126"/>
    <mergeCell ref="I126:J126"/>
    <mergeCell ref="B127:F127"/>
    <mergeCell ref="B128:F128"/>
    <mergeCell ref="B129:F129"/>
    <mergeCell ref="B130:F130"/>
    <mergeCell ref="B131:F131"/>
    <mergeCell ref="B132:F132"/>
    <mergeCell ref="G132:H132"/>
    <mergeCell ref="I132:J132"/>
    <mergeCell ref="B133:F133"/>
    <mergeCell ref="G133:H133"/>
    <mergeCell ref="I133:J133"/>
    <mergeCell ref="I129:J129"/>
    <mergeCell ref="G131:H131"/>
    <mergeCell ref="I131:J131"/>
    <mergeCell ref="G129:H129"/>
    <mergeCell ref="G130:H130"/>
    <mergeCell ref="I130:J130"/>
    <mergeCell ref="G127:H127"/>
    <mergeCell ref="I127:J127"/>
    <mergeCell ref="G128:H128"/>
    <mergeCell ref="I128:J128"/>
    <mergeCell ref="B134:F134"/>
    <mergeCell ref="B135:F135"/>
    <mergeCell ref="B136:F136"/>
    <mergeCell ref="B137:F137"/>
    <mergeCell ref="B138:F138"/>
    <mergeCell ref="B139:F139"/>
    <mergeCell ref="G139:H139"/>
    <mergeCell ref="I139:J139"/>
    <mergeCell ref="B140:F140"/>
    <mergeCell ref="G134:H134"/>
    <mergeCell ref="I134:J134"/>
    <mergeCell ref="K145:L145"/>
    <mergeCell ref="A146:J146"/>
    <mergeCell ref="A147:J147"/>
    <mergeCell ref="B151:D151"/>
    <mergeCell ref="E151:F151"/>
    <mergeCell ref="G151:H151"/>
    <mergeCell ref="I151:J151"/>
    <mergeCell ref="E154:F154"/>
    <mergeCell ref="E155:F155"/>
    <mergeCell ref="B145:F145"/>
    <mergeCell ref="G145:H145"/>
    <mergeCell ref="I145:J145"/>
    <mergeCell ref="B150:D150"/>
    <mergeCell ref="E150:F150"/>
    <mergeCell ref="G150:H150"/>
    <mergeCell ref="I150:J150"/>
    <mergeCell ref="B152:D152"/>
    <mergeCell ref="E152:F152"/>
    <mergeCell ref="G152:H152"/>
    <mergeCell ref="I152:J152"/>
    <mergeCell ref="B153:D153"/>
    <mergeCell ref="E153:F153"/>
    <mergeCell ref="G153:H153"/>
    <mergeCell ref="I153:J153"/>
    <mergeCell ref="K167:L167"/>
    <mergeCell ref="G170:H170"/>
    <mergeCell ref="I170:J170"/>
    <mergeCell ref="G171:H171"/>
    <mergeCell ref="I171:J171"/>
    <mergeCell ref="G172:H172"/>
    <mergeCell ref="I172:J172"/>
    <mergeCell ref="G173:H173"/>
    <mergeCell ref="I173:J173"/>
    <mergeCell ref="E180:F180"/>
    <mergeCell ref="G180:H180"/>
    <mergeCell ref="I180:J180"/>
    <mergeCell ref="B181:D181"/>
    <mergeCell ref="E181:F181"/>
    <mergeCell ref="G181:H181"/>
    <mergeCell ref="I181:J181"/>
    <mergeCell ref="B182:D182"/>
    <mergeCell ref="E182:F182"/>
    <mergeCell ref="G182:H182"/>
    <mergeCell ref="I182:J182"/>
    <mergeCell ref="B180:D180"/>
    <mergeCell ref="A183:J183"/>
    <mergeCell ref="A186:J186"/>
    <mergeCell ref="B187:D187"/>
    <mergeCell ref="G187:H187"/>
    <mergeCell ref="I187:J187"/>
    <mergeCell ref="B188:D188"/>
    <mergeCell ref="G188:H188"/>
    <mergeCell ref="I188:J188"/>
    <mergeCell ref="B189:D189"/>
    <mergeCell ref="G189:H189"/>
    <mergeCell ref="I189:J189"/>
    <mergeCell ref="B190:D190"/>
    <mergeCell ref="G190:H190"/>
    <mergeCell ref="I190:J190"/>
    <mergeCell ref="B191:D191"/>
    <mergeCell ref="G191:H191"/>
    <mergeCell ref="I191:J191"/>
    <mergeCell ref="B192:D192"/>
    <mergeCell ref="G192:H192"/>
    <mergeCell ref="I192:J192"/>
    <mergeCell ref="B193:D193"/>
    <mergeCell ref="G193:H193"/>
    <mergeCell ref="I193:J193"/>
    <mergeCell ref="B194:D194"/>
    <mergeCell ref="G194:H194"/>
    <mergeCell ref="I194:J194"/>
    <mergeCell ref="B195:D195"/>
    <mergeCell ref="G195:H195"/>
    <mergeCell ref="I195:J195"/>
    <mergeCell ref="B196:D196"/>
    <mergeCell ref="G196:H196"/>
    <mergeCell ref="I196:J196"/>
    <mergeCell ref="A198:J198"/>
    <mergeCell ref="B199:D199"/>
    <mergeCell ref="E199:F199"/>
    <mergeCell ref="G199:H199"/>
    <mergeCell ref="I199:J199"/>
    <mergeCell ref="B200:D200"/>
    <mergeCell ref="E200:F200"/>
    <mergeCell ref="G200:H200"/>
    <mergeCell ref="I200:J200"/>
    <mergeCell ref="B201:D201"/>
    <mergeCell ref="E201:F201"/>
    <mergeCell ref="G201:H201"/>
    <mergeCell ref="I201:J201"/>
    <mergeCell ref="B202:D202"/>
    <mergeCell ref="E202:F202"/>
    <mergeCell ref="G202:H202"/>
    <mergeCell ref="I202:J202"/>
    <mergeCell ref="A203:J203"/>
    <mergeCell ref="B204:D204"/>
    <mergeCell ref="F204:G204"/>
    <mergeCell ref="I204:J204"/>
    <mergeCell ref="B205:D205"/>
    <mergeCell ref="F205:G205"/>
    <mergeCell ref="I205:J205"/>
    <mergeCell ref="B206:D206"/>
    <mergeCell ref="F206:G206"/>
    <mergeCell ref="I206:J206"/>
    <mergeCell ref="B207:D207"/>
    <mergeCell ref="F207:G207"/>
    <mergeCell ref="I207:J207"/>
    <mergeCell ref="B208:D208"/>
    <mergeCell ref="F208:G208"/>
    <mergeCell ref="I208:J208"/>
    <mergeCell ref="B209:D209"/>
    <mergeCell ref="F209:G209"/>
    <mergeCell ref="I209:J209"/>
    <mergeCell ref="B210:D210"/>
    <mergeCell ref="F210:G210"/>
    <mergeCell ref="I210:J210"/>
    <mergeCell ref="B211:D211"/>
    <mergeCell ref="F211:G211"/>
    <mergeCell ref="I211:J211"/>
    <mergeCell ref="B212:D212"/>
    <mergeCell ref="F212:G212"/>
    <mergeCell ref="I212:J212"/>
    <mergeCell ref="B213:D213"/>
    <mergeCell ref="F213:G213"/>
    <mergeCell ref="I213:J213"/>
    <mergeCell ref="B214:D214"/>
    <mergeCell ref="F214:G214"/>
    <mergeCell ref="I214:J214"/>
    <mergeCell ref="B215:D215"/>
    <mergeCell ref="F215:G215"/>
    <mergeCell ref="I215:J215"/>
    <mergeCell ref="B216:D216"/>
    <mergeCell ref="F216:G216"/>
    <mergeCell ref="I216:J216"/>
    <mergeCell ref="B217:D217"/>
    <mergeCell ref="F217:G217"/>
    <mergeCell ref="I217:J217"/>
    <mergeCell ref="B218:D218"/>
    <mergeCell ref="F218:G218"/>
    <mergeCell ref="I218:J218"/>
    <mergeCell ref="B219:D219"/>
    <mergeCell ref="F219:G219"/>
    <mergeCell ref="I219:J219"/>
    <mergeCell ref="B220:D220"/>
    <mergeCell ref="F220:G220"/>
    <mergeCell ref="I220:J220"/>
    <mergeCell ref="B221:D221"/>
    <mergeCell ref="F221:G221"/>
    <mergeCell ref="I221:J221"/>
    <mergeCell ref="B222:D222"/>
    <mergeCell ref="F222:G222"/>
    <mergeCell ref="I222:J222"/>
    <mergeCell ref="B223:D223"/>
    <mergeCell ref="F223:G223"/>
    <mergeCell ref="I223:J223"/>
    <mergeCell ref="B224:D224"/>
    <mergeCell ref="F224:G224"/>
    <mergeCell ref="I224:J224"/>
    <mergeCell ref="B225:D225"/>
    <mergeCell ref="F225:G225"/>
    <mergeCell ref="I225:J225"/>
    <mergeCell ref="B226:D226"/>
    <mergeCell ref="F226:G226"/>
    <mergeCell ref="I226:J226"/>
    <mergeCell ref="B227:D227"/>
    <mergeCell ref="F227:G227"/>
    <mergeCell ref="I227:J227"/>
    <mergeCell ref="A228:J228"/>
    <mergeCell ref="B229:D229"/>
    <mergeCell ref="E229:F229"/>
    <mergeCell ref="G229:H229"/>
    <mergeCell ref="I229:J229"/>
    <mergeCell ref="B230:D230"/>
    <mergeCell ref="E230:F230"/>
    <mergeCell ref="G230:H230"/>
    <mergeCell ref="I230:J230"/>
    <mergeCell ref="F234:F235"/>
    <mergeCell ref="G234:J234"/>
    <mergeCell ref="B236:D236"/>
    <mergeCell ref="G236:J236"/>
    <mergeCell ref="B231:D231"/>
    <mergeCell ref="E231:F231"/>
    <mergeCell ref="G231:H231"/>
    <mergeCell ref="I231:J231"/>
    <mergeCell ref="B232:D232"/>
    <mergeCell ref="E232:F232"/>
    <mergeCell ref="G232:H232"/>
    <mergeCell ref="I232:J232"/>
    <mergeCell ref="A233:J233"/>
    <mergeCell ref="B237:D237"/>
    <mergeCell ref="B238:D238"/>
    <mergeCell ref="B239:D239"/>
    <mergeCell ref="B240:D240"/>
    <mergeCell ref="A241:A242"/>
    <mergeCell ref="B241:D242"/>
    <mergeCell ref="A234:A235"/>
    <mergeCell ref="B234:D235"/>
    <mergeCell ref="E234:E235"/>
    <mergeCell ref="B243:D243"/>
    <mergeCell ref="B244:D244"/>
    <mergeCell ref="B245:D245"/>
    <mergeCell ref="B246:D246"/>
    <mergeCell ref="B247:D247"/>
    <mergeCell ref="B248:D248"/>
    <mergeCell ref="B249:D249"/>
    <mergeCell ref="B250:D250"/>
    <mergeCell ref="B251:D251"/>
    <mergeCell ref="B252:D252"/>
    <mergeCell ref="B253:D253"/>
    <mergeCell ref="B254:D254"/>
    <mergeCell ref="G254:J254"/>
    <mergeCell ref="A255:J255"/>
    <mergeCell ref="A256:A257"/>
    <mergeCell ref="B256:D257"/>
    <mergeCell ref="E256:F257"/>
    <mergeCell ref="G256:J256"/>
    <mergeCell ref="B258:D258"/>
    <mergeCell ref="E258:F258"/>
    <mergeCell ref="G258:J258"/>
    <mergeCell ref="B259:D259"/>
    <mergeCell ref="E259:F259"/>
    <mergeCell ref="B261:D261"/>
    <mergeCell ref="E261:F261"/>
    <mergeCell ref="B262:D262"/>
    <mergeCell ref="E262:F262"/>
    <mergeCell ref="B260:D260"/>
    <mergeCell ref="B263:D263"/>
    <mergeCell ref="E263:F263"/>
    <mergeCell ref="B264:D264"/>
    <mergeCell ref="E264:F264"/>
    <mergeCell ref="B265:D265"/>
    <mergeCell ref="E265:F265"/>
    <mergeCell ref="B266:D266"/>
    <mergeCell ref="E266:F266"/>
    <mergeCell ref="B267:D267"/>
    <mergeCell ref="E267:F267"/>
    <mergeCell ref="B268:D268"/>
    <mergeCell ref="E268:F268"/>
    <mergeCell ref="B269:D269"/>
    <mergeCell ref="E269:F269"/>
    <mergeCell ref="B270:D270"/>
    <mergeCell ref="E270:F270"/>
    <mergeCell ref="B271:D271"/>
    <mergeCell ref="E271:F271"/>
    <mergeCell ref="B272:D272"/>
    <mergeCell ref="E272:F272"/>
    <mergeCell ref="B273:D273"/>
    <mergeCell ref="E273:F273"/>
    <mergeCell ref="B275:D275"/>
    <mergeCell ref="E275:F275"/>
    <mergeCell ref="B276:D276"/>
    <mergeCell ref="E276:F276"/>
    <mergeCell ref="B277:D277"/>
    <mergeCell ref="E277:F277"/>
    <mergeCell ref="B278:D278"/>
    <mergeCell ref="E278:F278"/>
    <mergeCell ref="B279:D279"/>
    <mergeCell ref="E279:F279"/>
    <mergeCell ref="B280:D280"/>
    <mergeCell ref="E280:F280"/>
    <mergeCell ref="B281:D281"/>
    <mergeCell ref="B282:D282"/>
    <mergeCell ref="E282:F282"/>
    <mergeCell ref="B283:D283"/>
    <mergeCell ref="E283:F283"/>
    <mergeCell ref="B284:D284"/>
    <mergeCell ref="E284:F284"/>
    <mergeCell ref="B285:D285"/>
    <mergeCell ref="E285:F285"/>
    <mergeCell ref="B286:D286"/>
    <mergeCell ref="E286:F286"/>
    <mergeCell ref="B287:D287"/>
    <mergeCell ref="E287:F287"/>
    <mergeCell ref="B288:D288"/>
    <mergeCell ref="E288:F288"/>
    <mergeCell ref="B289:D289"/>
    <mergeCell ref="E289:F289"/>
    <mergeCell ref="G289:J289"/>
    <mergeCell ref="A290:J290"/>
    <mergeCell ref="B291:D291"/>
    <mergeCell ref="E291:F291"/>
    <mergeCell ref="G291:H291"/>
    <mergeCell ref="I291:J291"/>
    <mergeCell ref="B292:D292"/>
    <mergeCell ref="E292:F292"/>
    <mergeCell ref="G292:H292"/>
    <mergeCell ref="I292:J292"/>
    <mergeCell ref="B293:D293"/>
    <mergeCell ref="E293:F293"/>
    <mergeCell ref="G293:H293"/>
    <mergeCell ref="I293:J293"/>
    <mergeCell ref="B294:D294"/>
    <mergeCell ref="E294:F294"/>
    <mergeCell ref="G294:H294"/>
    <mergeCell ref="I294:J294"/>
    <mergeCell ref="A295:J295"/>
    <mergeCell ref="B296:D296"/>
    <mergeCell ref="E296:F296"/>
    <mergeCell ref="G296:H296"/>
    <mergeCell ref="I296:J296"/>
    <mergeCell ref="B297:D297"/>
    <mergeCell ref="E297:F297"/>
    <mergeCell ref="G297:H297"/>
    <mergeCell ref="I297:J297"/>
    <mergeCell ref="B298:D298"/>
    <mergeCell ref="G298:H298"/>
    <mergeCell ref="I298:J298"/>
    <mergeCell ref="B299:D299"/>
    <mergeCell ref="G299:H299"/>
    <mergeCell ref="I299:J299"/>
    <mergeCell ref="B300:D300"/>
    <mergeCell ref="G300:H300"/>
    <mergeCell ref="I300:J300"/>
    <mergeCell ref="B301:D301"/>
    <mergeCell ref="G301:H301"/>
    <mergeCell ref="I301:J301"/>
    <mergeCell ref="B302:D302"/>
    <mergeCell ref="G302:H302"/>
    <mergeCell ref="I302:J302"/>
    <mergeCell ref="B303:D303"/>
    <mergeCell ref="G303:H303"/>
    <mergeCell ref="I303:J303"/>
    <mergeCell ref="B304:D304"/>
    <mergeCell ref="G304:H304"/>
    <mergeCell ref="I304:J304"/>
    <mergeCell ref="B305:D305"/>
    <mergeCell ref="E305:F305"/>
    <mergeCell ref="G305:H305"/>
    <mergeCell ref="I305:J305"/>
    <mergeCell ref="B306:D306"/>
    <mergeCell ref="G306:H306"/>
    <mergeCell ref="I306:J306"/>
    <mergeCell ref="B307:D307"/>
    <mergeCell ref="G307:H307"/>
    <mergeCell ref="I307:J307"/>
    <mergeCell ref="B308:D308"/>
    <mergeCell ref="G308:H308"/>
    <mergeCell ref="I308:J308"/>
    <mergeCell ref="B309:D309"/>
    <mergeCell ref="G309:H309"/>
    <mergeCell ref="I309:J309"/>
    <mergeCell ref="B310:D310"/>
    <mergeCell ref="E310:F310"/>
    <mergeCell ref="G310:H310"/>
    <mergeCell ref="I310:J310"/>
    <mergeCell ref="A311:J311"/>
    <mergeCell ref="A312:J312"/>
    <mergeCell ref="B313:D313"/>
    <mergeCell ref="E313:F313"/>
    <mergeCell ref="G313:H313"/>
    <mergeCell ref="I313:J313"/>
    <mergeCell ref="B314:D314"/>
    <mergeCell ref="E314:F314"/>
    <mergeCell ref="G314:H314"/>
    <mergeCell ref="I314:J314"/>
    <mergeCell ref="B315:D315"/>
    <mergeCell ref="G315:H315"/>
    <mergeCell ref="I315:J315"/>
    <mergeCell ref="B316:D316"/>
    <mergeCell ref="G316:H316"/>
    <mergeCell ref="I316:J316"/>
    <mergeCell ref="B317:D317"/>
    <mergeCell ref="G317:H317"/>
    <mergeCell ref="I317:J317"/>
    <mergeCell ref="B318:D318"/>
    <mergeCell ref="E318:F318"/>
    <mergeCell ref="G318:H318"/>
    <mergeCell ref="I318:J318"/>
    <mergeCell ref="A319:J319"/>
    <mergeCell ref="B320:D320"/>
    <mergeCell ref="E320:F320"/>
    <mergeCell ref="G320:H320"/>
    <mergeCell ref="I320:J320"/>
    <mergeCell ref="B321:D321"/>
    <mergeCell ref="E321:F321"/>
    <mergeCell ref="G321:H321"/>
    <mergeCell ref="I321:J321"/>
    <mergeCell ref="B322:D322"/>
    <mergeCell ref="G322:H322"/>
    <mergeCell ref="I322:J322"/>
    <mergeCell ref="B323:D323"/>
    <mergeCell ref="G323:H323"/>
    <mergeCell ref="I323:J323"/>
    <mergeCell ref="B324:D324"/>
    <mergeCell ref="G324:H324"/>
    <mergeCell ref="I324:J324"/>
    <mergeCell ref="B325:D325"/>
    <mergeCell ref="E325:F325"/>
    <mergeCell ref="G325:H325"/>
    <mergeCell ref="I325:J325"/>
    <mergeCell ref="A326:J326"/>
    <mergeCell ref="B327:D327"/>
    <mergeCell ref="E327:F327"/>
    <mergeCell ref="G327:H327"/>
    <mergeCell ref="I327:J327"/>
    <mergeCell ref="B328:D328"/>
    <mergeCell ref="E328:F328"/>
    <mergeCell ref="G328:H328"/>
    <mergeCell ref="I328:J328"/>
    <mergeCell ref="B329:D329"/>
    <mergeCell ref="G329:H329"/>
    <mergeCell ref="I329:J329"/>
    <mergeCell ref="B330:D330"/>
    <mergeCell ref="G330:H330"/>
    <mergeCell ref="I330:J330"/>
    <mergeCell ref="B331:D331"/>
    <mergeCell ref="G331:H331"/>
    <mergeCell ref="I331:J331"/>
    <mergeCell ref="B332:D332"/>
    <mergeCell ref="E332:F332"/>
    <mergeCell ref="G332:H332"/>
    <mergeCell ref="I332:J332"/>
    <mergeCell ref="A333:J333"/>
    <mergeCell ref="B334:D334"/>
    <mergeCell ref="E334:F334"/>
    <mergeCell ref="G334:H334"/>
    <mergeCell ref="I334:J334"/>
    <mergeCell ref="B335:D335"/>
    <mergeCell ref="E335:F335"/>
    <mergeCell ref="G335:H335"/>
    <mergeCell ref="I335:J335"/>
    <mergeCell ref="B336:D336"/>
    <mergeCell ref="G336:H336"/>
    <mergeCell ref="I336:J336"/>
    <mergeCell ref="B337:D337"/>
    <mergeCell ref="G337:H337"/>
    <mergeCell ref="I337:J337"/>
    <mergeCell ref="B338:D338"/>
    <mergeCell ref="G338:H338"/>
    <mergeCell ref="I338:J338"/>
    <mergeCell ref="B339:D339"/>
    <mergeCell ref="E339:F339"/>
    <mergeCell ref="G339:H339"/>
    <mergeCell ref="I339:J339"/>
    <mergeCell ref="A340:J340"/>
    <mergeCell ref="B341:D341"/>
    <mergeCell ref="E341:F341"/>
    <mergeCell ref="G341:H341"/>
    <mergeCell ref="I341:J341"/>
    <mergeCell ref="B342:D342"/>
    <mergeCell ref="E342:F342"/>
    <mergeCell ref="G342:H342"/>
    <mergeCell ref="I342:J342"/>
    <mergeCell ref="B343:D343"/>
    <mergeCell ref="G343:H343"/>
    <mergeCell ref="I343:J343"/>
    <mergeCell ref="B344:D344"/>
    <mergeCell ref="G344:H344"/>
    <mergeCell ref="I344:J344"/>
    <mergeCell ref="B345:D345"/>
    <mergeCell ref="G345:H345"/>
    <mergeCell ref="I345:J345"/>
    <mergeCell ref="A346:J346"/>
    <mergeCell ref="B347:D347"/>
    <mergeCell ref="E347:F347"/>
    <mergeCell ref="G347:H347"/>
    <mergeCell ref="I347:J347"/>
    <mergeCell ref="B348:D348"/>
    <mergeCell ref="E348:F348"/>
    <mergeCell ref="G348:H348"/>
    <mergeCell ref="I348:J348"/>
    <mergeCell ref="B349:D349"/>
    <mergeCell ref="G349:H349"/>
    <mergeCell ref="I349:J349"/>
    <mergeCell ref="B350:D350"/>
    <mergeCell ref="G350:H350"/>
    <mergeCell ref="I350:J350"/>
    <mergeCell ref="B351:D351"/>
    <mergeCell ref="G351:H351"/>
    <mergeCell ref="I351:J351"/>
    <mergeCell ref="B353:D353"/>
    <mergeCell ref="G353:H353"/>
    <mergeCell ref="I353:J353"/>
    <mergeCell ref="B354:D354"/>
    <mergeCell ref="G354:H354"/>
    <mergeCell ref="I354:J354"/>
    <mergeCell ref="A352:J352"/>
    <mergeCell ref="E353:F353"/>
    <mergeCell ref="E354:F354"/>
    <mergeCell ref="B355:D355"/>
    <mergeCell ref="G355:H355"/>
    <mergeCell ref="I355:J355"/>
    <mergeCell ref="B356:D356"/>
    <mergeCell ref="G356:H356"/>
    <mergeCell ref="I356:J356"/>
    <mergeCell ref="B357:D357"/>
    <mergeCell ref="G357:H357"/>
    <mergeCell ref="I357:J357"/>
    <mergeCell ref="A366:J366"/>
    <mergeCell ref="B367:D367"/>
    <mergeCell ref="E367:F367"/>
    <mergeCell ref="G367:H367"/>
    <mergeCell ref="I367:J367"/>
    <mergeCell ref="B368:D368"/>
    <mergeCell ref="E368:F368"/>
    <mergeCell ref="G368:H368"/>
    <mergeCell ref="I368:J368"/>
    <mergeCell ref="B369:D369"/>
    <mergeCell ref="G369:H369"/>
    <mergeCell ref="I369:J369"/>
    <mergeCell ref="B370:D370"/>
    <mergeCell ref="G370:H370"/>
    <mergeCell ref="I370:J370"/>
    <mergeCell ref="B371:D371"/>
    <mergeCell ref="G371:H371"/>
    <mergeCell ref="B372:D372"/>
    <mergeCell ref="G372:H372"/>
    <mergeCell ref="I372:J372"/>
    <mergeCell ref="A373:J373"/>
    <mergeCell ref="A374:A375"/>
    <mergeCell ref="B374:D375"/>
    <mergeCell ref="E374:F375"/>
    <mergeCell ref="G374:J374"/>
    <mergeCell ref="B376:D376"/>
    <mergeCell ref="E376:F376"/>
    <mergeCell ref="G376:J376"/>
    <mergeCell ref="B377:D377"/>
    <mergeCell ref="E377:F377"/>
    <mergeCell ref="B378:D378"/>
    <mergeCell ref="E378:F378"/>
    <mergeCell ref="B379:D379"/>
    <mergeCell ref="E379:F379"/>
    <mergeCell ref="B380:D380"/>
    <mergeCell ref="E380:F380"/>
    <mergeCell ref="G380:J380"/>
    <mergeCell ref="I382:J382"/>
    <mergeCell ref="I384:J384"/>
    <mergeCell ref="A396:C396"/>
    <mergeCell ref="D397:E397"/>
    <mergeCell ref="F397:I397"/>
    <mergeCell ref="A398:C398"/>
    <mergeCell ref="D399:E399"/>
    <mergeCell ref="F399:I399"/>
    <mergeCell ref="A401:B401"/>
    <mergeCell ref="A403:B403"/>
    <mergeCell ref="I385:J385"/>
    <mergeCell ref="I386:J386"/>
    <mergeCell ref="I387:J387"/>
    <mergeCell ref="I388:J388"/>
    <mergeCell ref="I389:J389"/>
    <mergeCell ref="I390:J390"/>
    <mergeCell ref="I391:J391"/>
    <mergeCell ref="A394:C394"/>
    <mergeCell ref="D395:E395"/>
    <mergeCell ref="F395:I395"/>
  </mergeCells>
  <printOptions horizontalCentered="1"/>
  <pageMargins left="0.59055118110236227" right="0.19685039370078741" top="0.39370078740157483" bottom="0.39370078740157483" header="0.31496062992125984" footer="0.31496062992125984"/>
  <pageSetup paperSize="9" scale="68" fitToHeight="2" orientation="portrait" r:id="rId1"/>
  <rowBreaks count="1" manualBreakCount="1">
    <brk id="9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7"/>
  <sheetViews>
    <sheetView topLeftCell="A305" workbookViewId="0">
      <selection activeCell="J279" sqref="J279"/>
    </sheetView>
  </sheetViews>
  <sheetFormatPr defaultColWidth="9.109375" defaultRowHeight="15.6" x14ac:dyDescent="0.3"/>
  <cols>
    <col min="1" max="1" width="5.109375" style="173" customWidth="1"/>
    <col min="2" max="2" width="25" style="173" customWidth="1"/>
    <col min="3" max="3" width="9.109375" style="173"/>
    <col min="4" max="4" width="12.109375" style="173" customWidth="1"/>
    <col min="5" max="5" width="26.88671875" style="173" customWidth="1"/>
    <col min="6" max="6" width="10.6640625" style="173" customWidth="1"/>
    <col min="7" max="7" width="12.33203125" style="173" customWidth="1"/>
    <col min="8" max="8" width="10.6640625" style="173" customWidth="1"/>
    <col min="9" max="9" width="16.33203125" style="173" customWidth="1"/>
    <col min="10" max="10" width="21.44140625" style="421" customWidth="1"/>
    <col min="11" max="11" width="0.33203125" style="334" customWidth="1"/>
    <col min="12" max="12" width="13.88671875" style="173" customWidth="1"/>
    <col min="13" max="13" width="0.109375" style="173" hidden="1" customWidth="1"/>
    <col min="14" max="14" width="22.88671875" style="173" customWidth="1"/>
    <col min="15" max="16384" width="9.109375" style="173"/>
  </cols>
  <sheetData>
    <row r="1" spans="1:11" ht="26.25" customHeight="1" x14ac:dyDescent="0.3">
      <c r="A1" s="947" t="s">
        <v>68</v>
      </c>
      <c r="B1" s="947"/>
      <c r="C1" s="947"/>
      <c r="D1" s="947"/>
      <c r="E1" s="947"/>
      <c r="F1" s="947"/>
      <c r="G1" s="947"/>
      <c r="H1" s="947"/>
      <c r="I1" s="947"/>
      <c r="J1" s="947"/>
    </row>
    <row r="2" spans="1:11" ht="17.25" customHeight="1" x14ac:dyDescent="0.3">
      <c r="A2" s="947" t="s">
        <v>474</v>
      </c>
      <c r="B2" s="947"/>
      <c r="C2" s="947"/>
      <c r="D2" s="947"/>
      <c r="E2" s="947"/>
      <c r="F2" s="947"/>
      <c r="G2" s="947"/>
      <c r="H2" s="947"/>
      <c r="I2" s="947"/>
      <c r="J2" s="947"/>
    </row>
    <row r="3" spans="1:11" ht="47.25" customHeight="1" x14ac:dyDescent="0.3">
      <c r="A3" s="947" t="s">
        <v>372</v>
      </c>
      <c r="B3" s="947"/>
      <c r="C3" s="947"/>
      <c r="D3" s="947"/>
      <c r="E3" s="947"/>
      <c r="F3" s="947"/>
      <c r="G3" s="947"/>
      <c r="H3" s="947"/>
      <c r="I3" s="947"/>
      <c r="J3" s="947"/>
    </row>
    <row r="4" spans="1:11" x14ac:dyDescent="0.3">
      <c r="A4" s="372"/>
      <c r="B4" s="373"/>
      <c r="C4" s="373"/>
      <c r="D4" s="374" t="s">
        <v>267</v>
      </c>
      <c r="E4" s="375">
        <v>2024</v>
      </c>
      <c r="F4" s="376" t="s">
        <v>656</v>
      </c>
      <c r="G4" s="373"/>
      <c r="H4" s="373"/>
      <c r="I4" s="373"/>
      <c r="J4" s="587"/>
    </row>
    <row r="5" spans="1:11" x14ac:dyDescent="0.3">
      <c r="A5" s="893" t="s">
        <v>0</v>
      </c>
      <c r="B5" s="893"/>
      <c r="C5" s="893"/>
      <c r="D5" s="893"/>
      <c r="E5" s="893"/>
      <c r="F5" s="893"/>
      <c r="G5" s="893"/>
      <c r="H5" s="893"/>
      <c r="I5" s="893"/>
      <c r="J5" s="893"/>
    </row>
    <row r="6" spans="1:11" ht="19.5" customHeight="1" x14ac:dyDescent="0.3">
      <c r="A6" s="372" t="s">
        <v>80</v>
      </c>
      <c r="B6" s="373"/>
      <c r="C6" s="377">
        <v>111</v>
      </c>
      <c r="D6" s="377">
        <v>112</v>
      </c>
      <c r="E6" s="377">
        <v>119</v>
      </c>
      <c r="F6" s="378"/>
      <c r="G6" s="378"/>
      <c r="H6" s="378"/>
      <c r="I6" s="378"/>
      <c r="J6" s="579"/>
    </row>
    <row r="7" spans="1:11" ht="22.5" customHeight="1" x14ac:dyDescent="0.3">
      <c r="A7" s="372" t="s">
        <v>81</v>
      </c>
      <c r="B7" s="373"/>
      <c r="C7" s="373"/>
      <c r="D7" s="373"/>
      <c r="E7" s="379" t="s">
        <v>82</v>
      </c>
      <c r="F7" s="380"/>
      <c r="G7" s="379" t="s">
        <v>195</v>
      </c>
      <c r="H7" s="380"/>
      <c r="I7" s="380"/>
      <c r="J7" s="257"/>
    </row>
    <row r="8" spans="1:11" ht="21" customHeight="1" x14ac:dyDescent="0.3">
      <c r="A8" s="871" t="s">
        <v>357</v>
      </c>
      <c r="B8" s="871"/>
      <c r="C8" s="871"/>
      <c r="D8" s="871"/>
      <c r="E8" s="871"/>
      <c r="F8" s="871"/>
      <c r="G8" s="871"/>
      <c r="H8" s="871"/>
      <c r="I8" s="871"/>
      <c r="J8" s="871"/>
    </row>
    <row r="9" spans="1:11" x14ac:dyDescent="0.3">
      <c r="A9" s="948" t="s">
        <v>1</v>
      </c>
      <c r="B9" s="949" t="s">
        <v>2</v>
      </c>
      <c r="C9" s="949" t="s">
        <v>3</v>
      </c>
      <c r="D9" s="948" t="s">
        <v>4</v>
      </c>
      <c r="E9" s="948"/>
      <c r="F9" s="948"/>
      <c r="G9" s="948"/>
      <c r="H9" s="948" t="s">
        <v>5</v>
      </c>
      <c r="I9" s="949" t="s">
        <v>6</v>
      </c>
      <c r="J9" s="949" t="s">
        <v>312</v>
      </c>
    </row>
    <row r="10" spans="1:11" ht="33" customHeight="1" x14ac:dyDescent="0.3">
      <c r="A10" s="948"/>
      <c r="B10" s="949"/>
      <c r="C10" s="949"/>
      <c r="D10" s="949" t="s">
        <v>8</v>
      </c>
      <c r="E10" s="949" t="s">
        <v>9</v>
      </c>
      <c r="F10" s="949"/>
      <c r="G10" s="949"/>
      <c r="H10" s="948"/>
      <c r="I10" s="949"/>
      <c r="J10" s="949"/>
      <c r="K10" s="334">
        <v>1.0389999999999999</v>
      </c>
    </row>
    <row r="11" spans="1:11" ht="69" x14ac:dyDescent="0.3">
      <c r="A11" s="948"/>
      <c r="B11" s="949"/>
      <c r="C11" s="949"/>
      <c r="D11" s="949"/>
      <c r="E11" s="590" t="s">
        <v>10</v>
      </c>
      <c r="F11" s="590" t="s">
        <v>11</v>
      </c>
      <c r="G11" s="590" t="s">
        <v>12</v>
      </c>
      <c r="H11" s="948"/>
      <c r="I11" s="949"/>
      <c r="J11" s="949"/>
    </row>
    <row r="12" spans="1:11" ht="14.25" customHeight="1" x14ac:dyDescent="0.3">
      <c r="A12" s="381">
        <v>1</v>
      </c>
      <c r="B12" s="381">
        <v>2</v>
      </c>
      <c r="C12" s="381">
        <v>3</v>
      </c>
      <c r="D12" s="381">
        <v>4</v>
      </c>
      <c r="E12" s="381">
        <v>5</v>
      </c>
      <c r="F12" s="381">
        <v>6</v>
      </c>
      <c r="G12" s="381">
        <v>7</v>
      </c>
      <c r="H12" s="381">
        <v>8</v>
      </c>
      <c r="I12" s="381">
        <v>9</v>
      </c>
      <c r="J12" s="381">
        <v>10</v>
      </c>
    </row>
    <row r="13" spans="1:11" s="317" customFormat="1" ht="15.75" customHeight="1" x14ac:dyDescent="0.3">
      <c r="A13" s="951" t="s">
        <v>358</v>
      </c>
      <c r="B13" s="949"/>
      <c r="C13" s="949"/>
      <c r="D13" s="949"/>
      <c r="E13" s="949"/>
      <c r="F13" s="949"/>
      <c r="G13" s="949"/>
      <c r="H13" s="949"/>
      <c r="I13" s="949"/>
      <c r="J13" s="949"/>
      <c r="K13" s="334"/>
    </row>
    <row r="14" spans="1:11" s="317" customFormat="1" ht="15.75" customHeight="1" x14ac:dyDescent="0.3">
      <c r="A14" s="957" t="s">
        <v>475</v>
      </c>
      <c r="B14" s="953"/>
      <c r="C14" s="953"/>
      <c r="D14" s="953"/>
      <c r="E14" s="953"/>
      <c r="F14" s="953"/>
      <c r="G14" s="953"/>
      <c r="H14" s="953"/>
      <c r="I14" s="953"/>
      <c r="J14" s="953"/>
      <c r="K14" s="334"/>
    </row>
    <row r="15" spans="1:11" ht="20.25" customHeight="1" x14ac:dyDescent="0.3">
      <c r="A15" s="720">
        <v>1</v>
      </c>
      <c r="B15" s="383" t="s">
        <v>261</v>
      </c>
      <c r="C15" s="720">
        <v>1</v>
      </c>
      <c r="D15" s="384">
        <f>E15+F15+G15</f>
        <v>71296.510090909083</v>
      </c>
      <c r="E15" s="384">
        <f>7107*1.5*(1.3+1.085)+50</f>
        <v>25475.292499999996</v>
      </c>
      <c r="F15" s="384">
        <v>0</v>
      </c>
      <c r="G15" s="384">
        <f>(E15+F15)*20%+(26353+63244.55)/2.2</f>
        <v>45821.217590909087</v>
      </c>
      <c r="H15" s="385">
        <v>50</v>
      </c>
      <c r="I15" s="720">
        <v>1.7</v>
      </c>
      <c r="J15" s="386">
        <f>((C15*D15*(H15/100+I15))*12)</f>
        <v>1882227.8663999999</v>
      </c>
      <c r="K15" s="337" t="s">
        <v>940</v>
      </c>
    </row>
    <row r="16" spans="1:11" ht="45" customHeight="1" x14ac:dyDescent="0.3">
      <c r="A16" s="720">
        <v>2</v>
      </c>
      <c r="B16" s="383" t="s">
        <v>476</v>
      </c>
      <c r="C16" s="720">
        <v>4</v>
      </c>
      <c r="D16" s="384">
        <f>E16+F16+G16</f>
        <v>119620.54320000001</v>
      </c>
      <c r="E16" s="384">
        <f>7107*4*1.5*(0.15+1.3+0.883)+(50*4)</f>
        <v>99683.786000000007</v>
      </c>
      <c r="F16" s="384">
        <v>0</v>
      </c>
      <c r="G16" s="384">
        <f t="shared" ref="G16:G20" si="0">(E16+F16)*20%</f>
        <v>19936.757200000004</v>
      </c>
      <c r="H16" s="385">
        <v>50</v>
      </c>
      <c r="I16" s="720">
        <v>1.7</v>
      </c>
      <c r="J16" s="386">
        <f>((D16*(H16/100+I16))*12)</f>
        <v>3157982.3404800007</v>
      </c>
    </row>
    <row r="17" spans="1:11" ht="45" customHeight="1" x14ac:dyDescent="0.3">
      <c r="A17" s="720">
        <v>3</v>
      </c>
      <c r="B17" s="383" t="s">
        <v>477</v>
      </c>
      <c r="C17" s="720">
        <v>1</v>
      </c>
      <c r="D17" s="384">
        <f>E17+F17+G17</f>
        <v>27986.245799999997</v>
      </c>
      <c r="E17" s="384">
        <f>7107*1.5*(1.3+0.883)+50</f>
        <v>23321.871499999997</v>
      </c>
      <c r="F17" s="384">
        <v>0</v>
      </c>
      <c r="G17" s="384">
        <f>(E17+F17)*20%</f>
        <v>4664.3742999999995</v>
      </c>
      <c r="H17" s="385">
        <v>50</v>
      </c>
      <c r="I17" s="720">
        <v>1.7</v>
      </c>
      <c r="J17" s="386">
        <f t="shared" ref="J17:J20" si="1">((C17*D17*(H17/100+I17))*12)</f>
        <v>738836.88911999995</v>
      </c>
    </row>
    <row r="18" spans="1:11" ht="45" customHeight="1" x14ac:dyDescent="0.3">
      <c r="A18" s="720">
        <v>4</v>
      </c>
      <c r="B18" s="383" t="s">
        <v>478</v>
      </c>
      <c r="C18" s="720">
        <v>1</v>
      </c>
      <c r="D18" s="384">
        <f t="shared" ref="D18:D64" si="2">E18+F18+G18</f>
        <v>27986.245799999997</v>
      </c>
      <c r="E18" s="384">
        <f t="shared" ref="E18:E20" si="3">7107*1.5*(1.3+0.883)+50</f>
        <v>23321.871499999997</v>
      </c>
      <c r="F18" s="384">
        <v>0</v>
      </c>
      <c r="G18" s="384">
        <f t="shared" si="0"/>
        <v>4664.3742999999995</v>
      </c>
      <c r="H18" s="385">
        <v>50</v>
      </c>
      <c r="I18" s="720">
        <v>1.7</v>
      </c>
      <c r="J18" s="386">
        <f t="shared" si="1"/>
        <v>738836.88911999995</v>
      </c>
    </row>
    <row r="19" spans="1:11" ht="49.5" customHeight="1" x14ac:dyDescent="0.3">
      <c r="A19" s="720">
        <v>5</v>
      </c>
      <c r="B19" s="383" t="s">
        <v>479</v>
      </c>
      <c r="C19" s="720">
        <v>1</v>
      </c>
      <c r="D19" s="384">
        <f t="shared" si="2"/>
        <v>27986.245799999997</v>
      </c>
      <c r="E19" s="384">
        <f t="shared" si="3"/>
        <v>23321.871499999997</v>
      </c>
      <c r="F19" s="384">
        <v>0</v>
      </c>
      <c r="G19" s="384">
        <f t="shared" si="0"/>
        <v>4664.3742999999995</v>
      </c>
      <c r="H19" s="385">
        <v>50</v>
      </c>
      <c r="I19" s="720">
        <v>1.7</v>
      </c>
      <c r="J19" s="386">
        <f t="shared" si="1"/>
        <v>738836.88911999995</v>
      </c>
    </row>
    <row r="20" spans="1:11" x14ac:dyDescent="0.3">
      <c r="A20" s="720">
        <v>6</v>
      </c>
      <c r="B20" s="383" t="s">
        <v>262</v>
      </c>
      <c r="C20" s="720">
        <v>1</v>
      </c>
      <c r="D20" s="384">
        <f t="shared" si="2"/>
        <v>27986.245799999997</v>
      </c>
      <c r="E20" s="384">
        <f t="shared" si="3"/>
        <v>23321.871499999997</v>
      </c>
      <c r="F20" s="384">
        <v>0</v>
      </c>
      <c r="G20" s="384">
        <f t="shared" si="0"/>
        <v>4664.3742999999995</v>
      </c>
      <c r="H20" s="385">
        <v>50</v>
      </c>
      <c r="I20" s="720">
        <v>1.7</v>
      </c>
      <c r="J20" s="386">
        <f t="shared" si="1"/>
        <v>738836.88911999995</v>
      </c>
    </row>
    <row r="21" spans="1:11" ht="27.6" x14ac:dyDescent="0.3">
      <c r="A21" s="720"/>
      <c r="B21" s="716" t="s">
        <v>480</v>
      </c>
      <c r="C21" s="387">
        <f>SUM(C15:C20)</f>
        <v>9</v>
      </c>
      <c r="D21" s="388">
        <f>SUM(D15:D20)</f>
        <v>302862.03649090906</v>
      </c>
      <c r="E21" s="387" t="s">
        <v>14</v>
      </c>
      <c r="F21" s="387">
        <v>0</v>
      </c>
      <c r="G21" s="387" t="s">
        <v>14</v>
      </c>
      <c r="H21" s="387" t="s">
        <v>14</v>
      </c>
      <c r="I21" s="387" t="s">
        <v>14</v>
      </c>
      <c r="J21" s="388">
        <f>SUM(J15:J20)</f>
        <v>7995557.7633599993</v>
      </c>
      <c r="K21" s="338"/>
    </row>
    <row r="22" spans="1:11" ht="15.75" customHeight="1" x14ac:dyDescent="0.3">
      <c r="A22" s="952" t="s">
        <v>481</v>
      </c>
      <c r="B22" s="958"/>
      <c r="C22" s="958"/>
      <c r="D22" s="958"/>
      <c r="E22" s="958"/>
      <c r="F22" s="958"/>
      <c r="G22" s="958"/>
      <c r="H22" s="958"/>
      <c r="I22" s="958"/>
      <c r="J22" s="958"/>
    </row>
    <row r="23" spans="1:11" ht="18.75" customHeight="1" x14ac:dyDescent="0.3">
      <c r="A23" s="959" t="s">
        <v>482</v>
      </c>
      <c r="B23" s="960"/>
      <c r="C23" s="960"/>
      <c r="D23" s="960"/>
      <c r="E23" s="960"/>
      <c r="F23" s="960"/>
      <c r="G23" s="960"/>
      <c r="H23" s="960"/>
      <c r="I23" s="960"/>
      <c r="J23" s="961"/>
    </row>
    <row r="24" spans="1:11" x14ac:dyDescent="0.3">
      <c r="A24" s="751">
        <v>1</v>
      </c>
      <c r="B24" s="383" t="s">
        <v>483</v>
      </c>
      <c r="C24" s="751">
        <v>7.5</v>
      </c>
      <c r="D24" s="384">
        <f>E24+F24+G24</f>
        <v>14131.86</v>
      </c>
      <c r="E24" s="384">
        <f>7107*1.5*1.1+50</f>
        <v>11776.550000000001</v>
      </c>
      <c r="F24" s="384">
        <v>0</v>
      </c>
      <c r="G24" s="384">
        <f t="shared" ref="G24:G35" si="4">(E24+F24)*20%</f>
        <v>2355.3100000000004</v>
      </c>
      <c r="H24" s="385">
        <v>50</v>
      </c>
      <c r="I24" s="751">
        <v>1.7</v>
      </c>
      <c r="J24" s="398">
        <f>((C24*D24*(H24/100+I24))*12)</f>
        <v>2798108.2800000003</v>
      </c>
    </row>
    <row r="25" spans="1:11" ht="69" x14ac:dyDescent="0.3">
      <c r="A25" s="751">
        <v>2</v>
      </c>
      <c r="B25" s="383" t="s">
        <v>484</v>
      </c>
      <c r="C25" s="751">
        <v>1</v>
      </c>
      <c r="D25" s="384">
        <f t="shared" ref="D25:D35" si="5">E25+F25+G25</f>
        <v>19888.8</v>
      </c>
      <c r="E25" s="384">
        <v>16574</v>
      </c>
      <c r="F25" s="384">
        <v>0</v>
      </c>
      <c r="G25" s="384">
        <f t="shared" si="4"/>
        <v>3314.8</v>
      </c>
      <c r="H25" s="385">
        <v>50</v>
      </c>
      <c r="I25" s="751">
        <v>1.7</v>
      </c>
      <c r="J25" s="398">
        <f t="shared" ref="J25:J35" si="6">((C25*D25*(H25/100+I25))*12)</f>
        <v>525064.32000000007</v>
      </c>
    </row>
    <row r="26" spans="1:11" x14ac:dyDescent="0.3">
      <c r="A26" s="751">
        <v>3</v>
      </c>
      <c r="B26" s="383" t="s">
        <v>323</v>
      </c>
      <c r="C26" s="751">
        <v>7.5</v>
      </c>
      <c r="D26" s="384">
        <f t="shared" si="5"/>
        <v>19888.8</v>
      </c>
      <c r="E26" s="384">
        <v>16574</v>
      </c>
      <c r="F26" s="384">
        <v>0</v>
      </c>
      <c r="G26" s="384">
        <f t="shared" si="4"/>
        <v>3314.8</v>
      </c>
      <c r="H26" s="385">
        <v>50</v>
      </c>
      <c r="I26" s="751">
        <v>1.7</v>
      </c>
      <c r="J26" s="398">
        <f>((C26*D26*(H26/100+I26))*12)</f>
        <v>3937982.4000000004</v>
      </c>
    </row>
    <row r="27" spans="1:11" x14ac:dyDescent="0.3">
      <c r="A27" s="751">
        <v>4</v>
      </c>
      <c r="B27" s="383" t="s">
        <v>718</v>
      </c>
      <c r="C27" s="751">
        <v>1</v>
      </c>
      <c r="D27" s="384">
        <f t="shared" si="5"/>
        <v>14131.86</v>
      </c>
      <c r="E27" s="384">
        <f t="shared" ref="E27:E33" si="7">7107*1.5*1.1+50</f>
        <v>11776.550000000001</v>
      </c>
      <c r="F27" s="384">
        <v>0</v>
      </c>
      <c r="G27" s="384">
        <f t="shared" si="4"/>
        <v>2355.3100000000004</v>
      </c>
      <c r="H27" s="385">
        <v>50</v>
      </c>
      <c r="I27" s="751">
        <v>1.7</v>
      </c>
      <c r="J27" s="398">
        <f t="shared" si="6"/>
        <v>373081.10400000005</v>
      </c>
    </row>
    <row r="28" spans="1:11" x14ac:dyDescent="0.3">
      <c r="A28" s="751">
        <v>5</v>
      </c>
      <c r="B28" s="383" t="s">
        <v>485</v>
      </c>
      <c r="C28" s="751">
        <v>2</v>
      </c>
      <c r="D28" s="384">
        <f t="shared" si="5"/>
        <v>11146.8</v>
      </c>
      <c r="E28" s="384">
        <f>9289</f>
        <v>9289</v>
      </c>
      <c r="F28" s="384">
        <v>0</v>
      </c>
      <c r="G28" s="384">
        <f t="shared" si="4"/>
        <v>1857.8000000000002</v>
      </c>
      <c r="H28" s="385">
        <v>50</v>
      </c>
      <c r="I28" s="751">
        <v>1.7</v>
      </c>
      <c r="J28" s="398">
        <f t="shared" si="6"/>
        <v>588551.04</v>
      </c>
    </row>
    <row r="29" spans="1:11" x14ac:dyDescent="0.3">
      <c r="A29" s="751">
        <v>6</v>
      </c>
      <c r="B29" s="383" t="s">
        <v>324</v>
      </c>
      <c r="C29" s="751">
        <v>2</v>
      </c>
      <c r="D29" s="384">
        <f t="shared" si="5"/>
        <v>16050.75</v>
      </c>
      <c r="E29" s="384">
        <f>7107*1.5*1.25+50</f>
        <v>13375.625</v>
      </c>
      <c r="F29" s="384">
        <v>0</v>
      </c>
      <c r="G29" s="384">
        <f t="shared" si="4"/>
        <v>2675.125</v>
      </c>
      <c r="H29" s="385">
        <v>50</v>
      </c>
      <c r="I29" s="751">
        <v>1.7</v>
      </c>
      <c r="J29" s="398">
        <f t="shared" si="6"/>
        <v>847479.60000000009</v>
      </c>
    </row>
    <row r="30" spans="1:11" x14ac:dyDescent="0.3">
      <c r="A30" s="751">
        <v>7</v>
      </c>
      <c r="B30" s="383" t="s">
        <v>322</v>
      </c>
      <c r="C30" s="751">
        <v>4.75</v>
      </c>
      <c r="D30" s="384">
        <f t="shared" si="5"/>
        <v>16050.75</v>
      </c>
      <c r="E30" s="384">
        <f>7107*1.5*1.25+50</f>
        <v>13375.625</v>
      </c>
      <c r="F30" s="384">
        <v>0</v>
      </c>
      <c r="G30" s="384">
        <f t="shared" si="4"/>
        <v>2675.125</v>
      </c>
      <c r="H30" s="385">
        <v>50</v>
      </c>
      <c r="I30" s="751">
        <v>1.7</v>
      </c>
      <c r="J30" s="398">
        <f t="shared" si="6"/>
        <v>2012764.0500000003</v>
      </c>
    </row>
    <row r="31" spans="1:11" x14ac:dyDescent="0.3">
      <c r="A31" s="751">
        <v>8</v>
      </c>
      <c r="B31" s="383" t="s">
        <v>321</v>
      </c>
      <c r="C31" s="751">
        <v>5</v>
      </c>
      <c r="D31" s="384">
        <f t="shared" si="5"/>
        <v>60703.199999999997</v>
      </c>
      <c r="E31" s="384">
        <f>(9289+9520+11244+11244+9289)</f>
        <v>50586</v>
      </c>
      <c r="F31" s="384">
        <v>0</v>
      </c>
      <c r="G31" s="384">
        <f t="shared" si="4"/>
        <v>10117.200000000001</v>
      </c>
      <c r="H31" s="385">
        <v>50</v>
      </c>
      <c r="I31" s="751">
        <v>1.7</v>
      </c>
      <c r="J31" s="398">
        <f>((D31*(H31/100+I31))*12)</f>
        <v>1602564.48</v>
      </c>
    </row>
    <row r="32" spans="1:11" ht="29.25" customHeight="1" x14ac:dyDescent="0.3">
      <c r="A32" s="751">
        <v>9</v>
      </c>
      <c r="B32" s="383" t="s">
        <v>486</v>
      </c>
      <c r="C32" s="751">
        <v>10.73</v>
      </c>
      <c r="D32" s="384">
        <f t="shared" si="5"/>
        <v>15411.12</v>
      </c>
      <c r="E32" s="384">
        <f>7107*1.5*1.2+50</f>
        <v>12842.6</v>
      </c>
      <c r="F32" s="384">
        <v>0</v>
      </c>
      <c r="G32" s="384">
        <f>(E32+F32)*20%</f>
        <v>2568.5200000000004</v>
      </c>
      <c r="H32" s="385">
        <v>50</v>
      </c>
      <c r="I32" s="751">
        <v>1.7</v>
      </c>
      <c r="J32" s="398">
        <f>((C32*D32*(H32/100+I32))*12)</f>
        <v>4365538.7846400011</v>
      </c>
      <c r="K32" s="339"/>
    </row>
    <row r="33" spans="1:13" ht="15.75" hidden="1" customHeight="1" x14ac:dyDescent="0.3">
      <c r="A33" s="751">
        <v>14</v>
      </c>
      <c r="B33" s="383" t="s">
        <v>324</v>
      </c>
      <c r="C33" s="751">
        <v>0</v>
      </c>
      <c r="D33" s="384">
        <f t="shared" si="5"/>
        <v>14131.86</v>
      </c>
      <c r="E33" s="384">
        <f t="shared" si="7"/>
        <v>11776.550000000001</v>
      </c>
      <c r="F33" s="384"/>
      <c r="G33" s="384">
        <f t="shared" ref="G33:G34" si="8">(E33+F33)*20%</f>
        <v>2355.3100000000004</v>
      </c>
      <c r="H33" s="385">
        <v>50</v>
      </c>
      <c r="I33" s="751">
        <v>1.7</v>
      </c>
      <c r="J33" s="398">
        <f t="shared" si="6"/>
        <v>0</v>
      </c>
      <c r="K33" s="339"/>
    </row>
    <row r="34" spans="1:13" x14ac:dyDescent="0.3">
      <c r="A34" s="751">
        <v>10</v>
      </c>
      <c r="B34" s="383" t="s">
        <v>487</v>
      </c>
      <c r="C34" s="751">
        <v>81.56</v>
      </c>
      <c r="D34" s="384">
        <f t="shared" si="5"/>
        <v>19878</v>
      </c>
      <c r="E34" s="384">
        <v>16565</v>
      </c>
      <c r="F34" s="384">
        <v>0</v>
      </c>
      <c r="G34" s="384">
        <f t="shared" si="8"/>
        <v>3313</v>
      </c>
      <c r="H34" s="385">
        <v>50</v>
      </c>
      <c r="I34" s="751">
        <v>1.7</v>
      </c>
      <c r="J34" s="398">
        <f>((C34*D34*(H34/100+I34))*12)</f>
        <v>42800991.552000001</v>
      </c>
      <c r="K34" s="339"/>
    </row>
    <row r="35" spans="1:13" x14ac:dyDescent="0.3">
      <c r="A35" s="751">
        <v>11</v>
      </c>
      <c r="B35" s="383" t="s">
        <v>808</v>
      </c>
      <c r="C35" s="751">
        <v>1</v>
      </c>
      <c r="D35" s="384">
        <f t="shared" si="5"/>
        <v>15411.12</v>
      </c>
      <c r="E35" s="384">
        <f>7107*1.5*1.2+50</f>
        <v>12842.6</v>
      </c>
      <c r="F35" s="384">
        <v>0</v>
      </c>
      <c r="G35" s="384">
        <f t="shared" si="4"/>
        <v>2568.5200000000004</v>
      </c>
      <c r="H35" s="385">
        <v>50</v>
      </c>
      <c r="I35" s="751">
        <v>1.7</v>
      </c>
      <c r="J35" s="398">
        <f t="shared" si="6"/>
        <v>406853.56800000009</v>
      </c>
      <c r="K35" s="339"/>
    </row>
    <row r="36" spans="1:13" s="319" customFormat="1" x14ac:dyDescent="0.3">
      <c r="A36" s="389"/>
      <c r="B36" s="390" t="s">
        <v>489</v>
      </c>
      <c r="C36" s="389">
        <f>SUM(C24:C35)</f>
        <v>124.04</v>
      </c>
      <c r="D36" s="389">
        <f t="shared" ref="D36:J36" si="9">SUM(D24:D35)</f>
        <v>236824.91999999998</v>
      </c>
      <c r="E36" s="389">
        <f t="shared" si="9"/>
        <v>197354.1</v>
      </c>
      <c r="F36" s="389">
        <f t="shared" si="9"/>
        <v>0</v>
      </c>
      <c r="G36" s="389">
        <f t="shared" si="9"/>
        <v>39470.820000000007</v>
      </c>
      <c r="H36" s="389">
        <v>0</v>
      </c>
      <c r="I36" s="389">
        <v>0</v>
      </c>
      <c r="J36" s="389">
        <f t="shared" si="9"/>
        <v>60258979.178640008</v>
      </c>
      <c r="K36" s="340"/>
      <c r="L36" s="319" t="s">
        <v>801</v>
      </c>
      <c r="M36" s="319" t="e">
        <f>J36+L36</f>
        <v>#VALUE!</v>
      </c>
    </row>
    <row r="37" spans="1:13" ht="15.75" customHeight="1" x14ac:dyDescent="0.3">
      <c r="A37" s="959" t="s">
        <v>490</v>
      </c>
      <c r="B37" s="960"/>
      <c r="C37" s="960"/>
      <c r="D37" s="960"/>
      <c r="E37" s="960"/>
      <c r="F37" s="960"/>
      <c r="G37" s="960"/>
      <c r="H37" s="960"/>
      <c r="I37" s="960"/>
      <c r="J37" s="961"/>
      <c r="K37" s="339"/>
    </row>
    <row r="38" spans="1:13" x14ac:dyDescent="0.3">
      <c r="A38" s="720">
        <v>1</v>
      </c>
      <c r="B38" s="383" t="s">
        <v>496</v>
      </c>
      <c r="C38" s="720">
        <v>2</v>
      </c>
      <c r="D38" s="384">
        <f t="shared" ref="D38:D45" si="10">E38+F38+G38</f>
        <v>15743.426399999998</v>
      </c>
      <c r="E38" s="384">
        <f>7107*1.3*1.42</f>
        <v>13119.521999999999</v>
      </c>
      <c r="F38" s="384">
        <v>0</v>
      </c>
      <c r="G38" s="384">
        <f t="shared" ref="G38:G49" si="11">(E38+F38)*20%</f>
        <v>2623.9043999999999</v>
      </c>
      <c r="H38" s="385">
        <v>50</v>
      </c>
      <c r="I38" s="720">
        <v>1.7</v>
      </c>
      <c r="J38" s="386">
        <f t="shared" ref="J38:J49" si="12">((C38*D38*(H38/100+I38))*12)</f>
        <v>831252.91391999996</v>
      </c>
      <c r="K38" s="339"/>
    </row>
    <row r="39" spans="1:13" x14ac:dyDescent="0.3">
      <c r="A39" s="720">
        <v>2</v>
      </c>
      <c r="B39" s="383" t="s">
        <v>495</v>
      </c>
      <c r="C39" s="720">
        <v>1.5</v>
      </c>
      <c r="D39" s="384">
        <f t="shared" si="10"/>
        <v>18805.121999999999</v>
      </c>
      <c r="E39" s="384">
        <f>7107*1.5*1.47</f>
        <v>15670.934999999999</v>
      </c>
      <c r="F39" s="384">
        <v>0</v>
      </c>
      <c r="G39" s="384">
        <f t="shared" si="11"/>
        <v>3134.1869999999999</v>
      </c>
      <c r="H39" s="385">
        <v>50</v>
      </c>
      <c r="I39" s="720">
        <v>1.7</v>
      </c>
      <c r="J39" s="386">
        <f t="shared" si="12"/>
        <v>744682.83120000002</v>
      </c>
      <c r="K39" s="339"/>
    </row>
    <row r="40" spans="1:13" x14ac:dyDescent="0.3">
      <c r="A40" s="720">
        <v>3</v>
      </c>
      <c r="B40" s="383" t="s">
        <v>494</v>
      </c>
      <c r="C40" s="720">
        <v>1.25</v>
      </c>
      <c r="D40" s="384">
        <f t="shared" si="10"/>
        <v>17525.862000000001</v>
      </c>
      <c r="E40" s="384">
        <f>7107*1.5*1.37</f>
        <v>14604.885000000002</v>
      </c>
      <c r="F40" s="384">
        <v>0</v>
      </c>
      <c r="G40" s="384">
        <f t="shared" si="11"/>
        <v>2920.9770000000008</v>
      </c>
      <c r="H40" s="385">
        <v>50</v>
      </c>
      <c r="I40" s="720">
        <v>1.7</v>
      </c>
      <c r="J40" s="386">
        <f t="shared" si="12"/>
        <v>578353.446</v>
      </c>
      <c r="K40" s="339"/>
    </row>
    <row r="41" spans="1:13" x14ac:dyDescent="0.3">
      <c r="A41" s="720">
        <v>4</v>
      </c>
      <c r="B41" s="383" t="s">
        <v>326</v>
      </c>
      <c r="C41" s="720">
        <v>1.25</v>
      </c>
      <c r="D41" s="384">
        <f t="shared" si="10"/>
        <v>15189.080400000001</v>
      </c>
      <c r="E41" s="384">
        <f>7107*1.3*1.37</f>
        <v>12657.567000000001</v>
      </c>
      <c r="F41" s="384">
        <v>0</v>
      </c>
      <c r="G41" s="384">
        <f t="shared" si="11"/>
        <v>2531.5134000000003</v>
      </c>
      <c r="H41" s="385">
        <v>50</v>
      </c>
      <c r="I41" s="720">
        <v>1.7</v>
      </c>
      <c r="J41" s="386">
        <f t="shared" si="12"/>
        <v>501239.65320000006</v>
      </c>
      <c r="K41" s="339"/>
    </row>
    <row r="42" spans="1:13" x14ac:dyDescent="0.3">
      <c r="A42" s="720">
        <v>5</v>
      </c>
      <c r="B42" s="383" t="s">
        <v>327</v>
      </c>
      <c r="C42" s="720">
        <v>1</v>
      </c>
      <c r="D42" s="384">
        <f t="shared" si="10"/>
        <v>17525.862000000001</v>
      </c>
      <c r="E42" s="384">
        <f t="shared" ref="E42:E49" si="13">7107*1.5*1.37</f>
        <v>14604.885000000002</v>
      </c>
      <c r="F42" s="384">
        <v>0</v>
      </c>
      <c r="G42" s="384">
        <f t="shared" si="11"/>
        <v>2920.9770000000008</v>
      </c>
      <c r="H42" s="385">
        <v>50</v>
      </c>
      <c r="I42" s="720">
        <v>1.7</v>
      </c>
      <c r="J42" s="386">
        <f t="shared" si="12"/>
        <v>462682.75680000009</v>
      </c>
      <c r="K42" s="339"/>
    </row>
    <row r="43" spans="1:13" x14ac:dyDescent="0.3">
      <c r="A43" s="720">
        <v>6</v>
      </c>
      <c r="B43" s="383" t="s">
        <v>493</v>
      </c>
      <c r="C43" s="720">
        <v>1</v>
      </c>
      <c r="D43" s="384">
        <f t="shared" si="10"/>
        <v>15189.080400000001</v>
      </c>
      <c r="E43" s="384">
        <f>7107*1.3*1.37</f>
        <v>12657.567000000001</v>
      </c>
      <c r="F43" s="384">
        <v>0</v>
      </c>
      <c r="G43" s="384">
        <f t="shared" si="11"/>
        <v>2531.5134000000003</v>
      </c>
      <c r="H43" s="385">
        <v>50</v>
      </c>
      <c r="I43" s="720">
        <v>1.7</v>
      </c>
      <c r="J43" s="386">
        <f t="shared" si="12"/>
        <v>400991.72256000002</v>
      </c>
      <c r="K43" s="339"/>
    </row>
    <row r="44" spans="1:13" ht="27.6" x14ac:dyDescent="0.3">
      <c r="A44" s="720">
        <v>7</v>
      </c>
      <c r="B44" s="383" t="s">
        <v>492</v>
      </c>
      <c r="C44" s="720">
        <v>1</v>
      </c>
      <c r="D44" s="384">
        <f t="shared" si="10"/>
        <v>17525.862000000001</v>
      </c>
      <c r="E44" s="384">
        <f t="shared" si="13"/>
        <v>14604.885000000002</v>
      </c>
      <c r="F44" s="384">
        <v>0</v>
      </c>
      <c r="G44" s="384">
        <f t="shared" si="11"/>
        <v>2920.9770000000008</v>
      </c>
      <c r="H44" s="385">
        <v>50</v>
      </c>
      <c r="I44" s="720">
        <v>1.7</v>
      </c>
      <c r="J44" s="386">
        <f t="shared" si="12"/>
        <v>462682.75680000009</v>
      </c>
      <c r="K44" s="339"/>
    </row>
    <row r="45" spans="1:13" ht="27.6" x14ac:dyDescent="0.3">
      <c r="A45" s="720">
        <v>8</v>
      </c>
      <c r="B45" s="383" t="s">
        <v>491</v>
      </c>
      <c r="C45" s="720">
        <v>1</v>
      </c>
      <c r="D45" s="384">
        <f t="shared" si="10"/>
        <v>17525.862000000001</v>
      </c>
      <c r="E45" s="384">
        <f t="shared" si="13"/>
        <v>14604.885000000002</v>
      </c>
      <c r="F45" s="384">
        <v>0</v>
      </c>
      <c r="G45" s="384">
        <f t="shared" si="11"/>
        <v>2920.9770000000008</v>
      </c>
      <c r="H45" s="385">
        <v>50</v>
      </c>
      <c r="I45" s="720">
        <v>1.7</v>
      </c>
      <c r="J45" s="386">
        <f t="shared" si="12"/>
        <v>462682.75680000009</v>
      </c>
      <c r="K45" s="339"/>
    </row>
    <row r="46" spans="1:13" ht="27.6" x14ac:dyDescent="0.3">
      <c r="A46" s="720">
        <v>9</v>
      </c>
      <c r="B46" s="383" t="s">
        <v>325</v>
      </c>
      <c r="C46" s="720">
        <v>1</v>
      </c>
      <c r="D46" s="384">
        <f t="shared" si="2"/>
        <v>17525.862000000001</v>
      </c>
      <c r="E46" s="384">
        <f t="shared" si="13"/>
        <v>14604.885000000002</v>
      </c>
      <c r="F46" s="384">
        <v>0</v>
      </c>
      <c r="G46" s="384">
        <f t="shared" si="11"/>
        <v>2920.9770000000008</v>
      </c>
      <c r="H46" s="385">
        <v>50</v>
      </c>
      <c r="I46" s="720">
        <v>1.7</v>
      </c>
      <c r="J46" s="386">
        <f t="shared" si="12"/>
        <v>462682.75680000009</v>
      </c>
      <c r="K46" s="337"/>
    </row>
    <row r="47" spans="1:13" x14ac:dyDescent="0.3">
      <c r="A47" s="720">
        <v>10</v>
      </c>
      <c r="B47" s="383" t="s">
        <v>497</v>
      </c>
      <c r="C47" s="720">
        <v>1</v>
      </c>
      <c r="D47" s="384">
        <f t="shared" si="2"/>
        <v>17525.862000000001</v>
      </c>
      <c r="E47" s="384">
        <f t="shared" si="13"/>
        <v>14604.885000000002</v>
      </c>
      <c r="F47" s="384">
        <v>0</v>
      </c>
      <c r="G47" s="384">
        <f t="shared" si="11"/>
        <v>2920.9770000000008</v>
      </c>
      <c r="H47" s="385">
        <v>50</v>
      </c>
      <c r="I47" s="720">
        <v>1.7</v>
      </c>
      <c r="J47" s="386">
        <f t="shared" si="12"/>
        <v>462682.75680000009</v>
      </c>
    </row>
    <row r="48" spans="1:13" x14ac:dyDescent="0.3">
      <c r="A48" s="720">
        <v>11</v>
      </c>
      <c r="B48" s="383" t="s">
        <v>498</v>
      </c>
      <c r="C48" s="720">
        <v>1</v>
      </c>
      <c r="D48" s="384">
        <f t="shared" si="2"/>
        <v>15189.080400000001</v>
      </c>
      <c r="E48" s="384">
        <f>7107*1.3*1.37</f>
        <v>12657.567000000001</v>
      </c>
      <c r="F48" s="384">
        <v>0</v>
      </c>
      <c r="G48" s="384">
        <f t="shared" si="11"/>
        <v>2531.5134000000003</v>
      </c>
      <c r="H48" s="385">
        <v>50</v>
      </c>
      <c r="I48" s="720">
        <v>1.7</v>
      </c>
      <c r="J48" s="386">
        <f t="shared" si="12"/>
        <v>400991.72256000002</v>
      </c>
    </row>
    <row r="49" spans="1:11" x14ac:dyDescent="0.3">
      <c r="A49" s="720">
        <v>12</v>
      </c>
      <c r="B49" s="383" t="s">
        <v>499</v>
      </c>
      <c r="C49" s="720">
        <v>2</v>
      </c>
      <c r="D49" s="384">
        <f t="shared" si="2"/>
        <v>17525.862000000001</v>
      </c>
      <c r="E49" s="384">
        <f t="shared" si="13"/>
        <v>14604.885000000002</v>
      </c>
      <c r="F49" s="384">
        <v>0</v>
      </c>
      <c r="G49" s="384">
        <f t="shared" si="11"/>
        <v>2920.9770000000008</v>
      </c>
      <c r="H49" s="385">
        <v>50</v>
      </c>
      <c r="I49" s="720">
        <v>1.7</v>
      </c>
      <c r="J49" s="386">
        <f t="shared" si="12"/>
        <v>925365.51360000018</v>
      </c>
    </row>
    <row r="50" spans="1:11" s="319" customFormat="1" x14ac:dyDescent="0.3">
      <c r="A50" s="389"/>
      <c r="B50" s="390" t="s">
        <v>500</v>
      </c>
      <c r="C50" s="389">
        <f>SUM(C38:C49)</f>
        <v>15</v>
      </c>
      <c r="D50" s="389">
        <f t="shared" ref="D50:J50" si="14">SUM(D38:D49)</f>
        <v>202796.82359999997</v>
      </c>
      <c r="E50" s="389">
        <f t="shared" si="14"/>
        <v>168997.35300000006</v>
      </c>
      <c r="F50" s="389">
        <f t="shared" si="14"/>
        <v>0</v>
      </c>
      <c r="G50" s="389">
        <f t="shared" si="14"/>
        <v>33799.470600000001</v>
      </c>
      <c r="H50" s="389">
        <v>0</v>
      </c>
      <c r="I50" s="389">
        <v>0</v>
      </c>
      <c r="J50" s="389">
        <f t="shared" si="14"/>
        <v>6696291.5870400006</v>
      </c>
      <c r="K50" s="341"/>
    </row>
    <row r="51" spans="1:11" ht="27.6" x14ac:dyDescent="0.3">
      <c r="A51" s="720"/>
      <c r="B51" s="716" t="s">
        <v>501</v>
      </c>
      <c r="C51" s="387">
        <f>C36+C50</f>
        <v>139.04000000000002</v>
      </c>
      <c r="D51" s="387">
        <f>D36+D50</f>
        <v>439621.74359999993</v>
      </c>
      <c r="E51" s="387" t="s">
        <v>14</v>
      </c>
      <c r="F51" s="387" t="s">
        <v>14</v>
      </c>
      <c r="G51" s="387" t="s">
        <v>14</v>
      </c>
      <c r="H51" s="387" t="s">
        <v>14</v>
      </c>
      <c r="I51" s="387" t="s">
        <v>14</v>
      </c>
      <c r="J51" s="387">
        <f>J36+J50</f>
        <v>66955270.765680008</v>
      </c>
    </row>
    <row r="52" spans="1:11" ht="15.75" customHeight="1" x14ac:dyDescent="0.3">
      <c r="A52" s="952" t="s">
        <v>505</v>
      </c>
      <c r="B52" s="958"/>
      <c r="C52" s="958"/>
      <c r="D52" s="958"/>
      <c r="E52" s="958"/>
      <c r="F52" s="958"/>
      <c r="G52" s="958"/>
      <c r="H52" s="958"/>
      <c r="I52" s="958"/>
      <c r="J52" s="958"/>
    </row>
    <row r="53" spans="1:11" x14ac:dyDescent="0.3">
      <c r="A53" s="720">
        <v>1</v>
      </c>
      <c r="B53" s="383" t="s">
        <v>328</v>
      </c>
      <c r="C53" s="720">
        <v>1</v>
      </c>
      <c r="D53" s="384">
        <f t="shared" si="2"/>
        <v>14634.734400000001</v>
      </c>
      <c r="E53" s="384">
        <f>7107*1.3*1.32</f>
        <v>12195.612000000001</v>
      </c>
      <c r="F53" s="384">
        <v>0</v>
      </c>
      <c r="G53" s="384">
        <f>E53*20%</f>
        <v>2439.1224000000002</v>
      </c>
      <c r="H53" s="385">
        <v>50</v>
      </c>
      <c r="I53" s="720">
        <v>1.7</v>
      </c>
      <c r="J53" s="386">
        <f t="shared" ref="J53:J55" si="15">((C53*D53*(H53/100+I53))*12)</f>
        <v>386356.98816000007</v>
      </c>
      <c r="K53" s="337"/>
    </row>
    <row r="54" spans="1:11" x14ac:dyDescent="0.3">
      <c r="A54" s="720">
        <v>2</v>
      </c>
      <c r="B54" s="383" t="s">
        <v>503</v>
      </c>
      <c r="C54" s="720">
        <v>1</v>
      </c>
      <c r="D54" s="384">
        <f t="shared" si="2"/>
        <v>14634.734400000001</v>
      </c>
      <c r="E54" s="384">
        <f t="shared" ref="E54:E55" si="16">7107*1.3*1.32</f>
        <v>12195.612000000001</v>
      </c>
      <c r="F54" s="384">
        <v>0</v>
      </c>
      <c r="G54" s="384">
        <f>E54*20%</f>
        <v>2439.1224000000002</v>
      </c>
      <c r="H54" s="385">
        <v>50</v>
      </c>
      <c r="I54" s="720">
        <v>1.7</v>
      </c>
      <c r="J54" s="386">
        <f t="shared" si="15"/>
        <v>386356.98816000007</v>
      </c>
      <c r="K54" s="337"/>
    </row>
    <row r="55" spans="1:11" ht="27.6" x14ac:dyDescent="0.3">
      <c r="A55" s="720">
        <v>3</v>
      </c>
      <c r="B55" s="383" t="s">
        <v>504</v>
      </c>
      <c r="C55" s="720">
        <v>0.17</v>
      </c>
      <c r="D55" s="384">
        <f t="shared" si="2"/>
        <v>14634.734400000001</v>
      </c>
      <c r="E55" s="384">
        <f t="shared" si="16"/>
        <v>12195.612000000001</v>
      </c>
      <c r="F55" s="384">
        <v>0</v>
      </c>
      <c r="G55" s="384">
        <f>E55*20%</f>
        <v>2439.1224000000002</v>
      </c>
      <c r="H55" s="385">
        <v>50</v>
      </c>
      <c r="I55" s="720">
        <v>1.7</v>
      </c>
      <c r="J55" s="386">
        <f t="shared" si="15"/>
        <v>65680.687987200014</v>
      </c>
    </row>
    <row r="56" spans="1:11" ht="27.6" x14ac:dyDescent="0.3">
      <c r="A56" s="720"/>
      <c r="B56" s="716" t="s">
        <v>502</v>
      </c>
      <c r="C56" s="387">
        <f>SUM(C53:C55)</f>
        <v>2.17</v>
      </c>
      <c r="D56" s="391">
        <f>SUM(D53:D55)</f>
        <v>43904.203200000004</v>
      </c>
      <c r="E56" s="387" t="s">
        <v>14</v>
      </c>
      <c r="F56" s="387" t="s">
        <v>14</v>
      </c>
      <c r="G56" s="387" t="s">
        <v>14</v>
      </c>
      <c r="H56" s="387" t="s">
        <v>14</v>
      </c>
      <c r="I56" s="387" t="s">
        <v>14</v>
      </c>
      <c r="J56" s="260">
        <f>SUM(J53:J55)</f>
        <v>838394.66430720012</v>
      </c>
    </row>
    <row r="57" spans="1:11" ht="15.75" customHeight="1" x14ac:dyDescent="0.3">
      <c r="A57" s="952" t="s">
        <v>506</v>
      </c>
      <c r="B57" s="953"/>
      <c r="C57" s="953"/>
      <c r="D57" s="953"/>
      <c r="E57" s="953"/>
      <c r="F57" s="953"/>
      <c r="G57" s="953"/>
      <c r="H57" s="953"/>
      <c r="I57" s="953"/>
      <c r="J57" s="953"/>
    </row>
    <row r="58" spans="1:11" ht="27.6" x14ac:dyDescent="0.3">
      <c r="A58" s="720">
        <v>1</v>
      </c>
      <c r="B58" s="383" t="s">
        <v>316</v>
      </c>
      <c r="C58" s="720">
        <v>14</v>
      </c>
      <c r="D58" s="384">
        <f t="shared" si="2"/>
        <v>12468.520799999998</v>
      </c>
      <c r="E58" s="384">
        <f>7107*1.462</f>
        <v>10390.433999999999</v>
      </c>
      <c r="F58" s="384">
        <v>0</v>
      </c>
      <c r="G58" s="384">
        <f>(E58+F58)*20%</f>
        <v>2078.0868</v>
      </c>
      <c r="H58" s="385">
        <v>50</v>
      </c>
      <c r="I58" s="720">
        <v>1.7</v>
      </c>
      <c r="J58" s="386">
        <f>((C58*D58*(H58/100+I58))*12)</f>
        <v>4608365.2876800001</v>
      </c>
      <c r="K58" s="337"/>
    </row>
    <row r="59" spans="1:11" x14ac:dyDescent="0.3">
      <c r="A59" s="720">
        <v>2</v>
      </c>
      <c r="B59" s="383" t="s">
        <v>507</v>
      </c>
      <c r="C59" s="720">
        <v>1</v>
      </c>
      <c r="D59" s="384">
        <f>E59+F59+G59</f>
        <v>12647.617200000001</v>
      </c>
      <c r="E59" s="384">
        <f>7107*1.483</f>
        <v>10539.681</v>
      </c>
      <c r="F59" s="384">
        <v>0</v>
      </c>
      <c r="G59" s="384">
        <f t="shared" ref="G59:G63" si="17">(E59+F59)*20%</f>
        <v>2107.9362000000001</v>
      </c>
      <c r="H59" s="385">
        <v>50</v>
      </c>
      <c r="I59" s="720">
        <v>1.7</v>
      </c>
      <c r="J59" s="386">
        <f t="shared" ref="J59:J64" si="18">((C59*D59*(H59/100+I59))*12)</f>
        <v>333897.09408000001</v>
      </c>
      <c r="K59" s="337"/>
    </row>
    <row r="60" spans="1:11" ht="41.4" x14ac:dyDescent="0.3">
      <c r="A60" s="720">
        <v>3</v>
      </c>
      <c r="B60" s="383" t="s">
        <v>314</v>
      </c>
      <c r="C60" s="720">
        <v>1.5</v>
      </c>
      <c r="D60" s="384">
        <f t="shared" si="2"/>
        <v>12570.861599999998</v>
      </c>
      <c r="E60" s="384">
        <f>7107*1.474</f>
        <v>10475.717999999999</v>
      </c>
      <c r="F60" s="384">
        <v>0</v>
      </c>
      <c r="G60" s="384">
        <f t="shared" si="17"/>
        <v>2095.1435999999999</v>
      </c>
      <c r="H60" s="385">
        <v>50</v>
      </c>
      <c r="I60" s="720">
        <v>1.7</v>
      </c>
      <c r="J60" s="386">
        <f t="shared" si="18"/>
        <v>497806.11936000001</v>
      </c>
    </row>
    <row r="61" spans="1:11" x14ac:dyDescent="0.3">
      <c r="A61" s="720">
        <v>4</v>
      </c>
      <c r="B61" s="383" t="s">
        <v>317</v>
      </c>
      <c r="C61" s="720">
        <v>4</v>
      </c>
      <c r="D61" s="384">
        <f t="shared" si="2"/>
        <v>12468.520799999998</v>
      </c>
      <c r="E61" s="384">
        <f t="shared" ref="E61:E64" si="19">7107*1.462</f>
        <v>10390.433999999999</v>
      </c>
      <c r="F61" s="384">
        <v>0</v>
      </c>
      <c r="G61" s="384">
        <f t="shared" si="17"/>
        <v>2078.0868</v>
      </c>
      <c r="H61" s="385">
        <v>50</v>
      </c>
      <c r="I61" s="720">
        <v>1.7</v>
      </c>
      <c r="J61" s="386">
        <f t="shared" si="18"/>
        <v>1316675.79648</v>
      </c>
    </row>
    <row r="62" spans="1:11" x14ac:dyDescent="0.3">
      <c r="A62" s="720">
        <v>5</v>
      </c>
      <c r="B62" s="383" t="s">
        <v>508</v>
      </c>
      <c r="C62" s="720">
        <v>0</v>
      </c>
      <c r="D62" s="384">
        <f t="shared" si="2"/>
        <v>12468.520799999998</v>
      </c>
      <c r="E62" s="384">
        <f t="shared" si="19"/>
        <v>10390.433999999999</v>
      </c>
      <c r="F62" s="384">
        <v>0</v>
      </c>
      <c r="G62" s="384">
        <f t="shared" si="17"/>
        <v>2078.0868</v>
      </c>
      <c r="H62" s="385">
        <v>50</v>
      </c>
      <c r="I62" s="720">
        <v>1.7</v>
      </c>
      <c r="J62" s="386">
        <f t="shared" si="18"/>
        <v>0</v>
      </c>
    </row>
    <row r="63" spans="1:11" x14ac:dyDescent="0.3">
      <c r="A63" s="720">
        <v>6</v>
      </c>
      <c r="B63" s="383" t="s">
        <v>315</v>
      </c>
      <c r="C63" s="720">
        <v>1</v>
      </c>
      <c r="D63" s="384">
        <f t="shared" si="2"/>
        <v>12519.691199999999</v>
      </c>
      <c r="E63" s="384">
        <f>7107*1.468</f>
        <v>10433.075999999999</v>
      </c>
      <c r="F63" s="384">
        <v>0</v>
      </c>
      <c r="G63" s="384">
        <f t="shared" si="17"/>
        <v>2086.6151999999997</v>
      </c>
      <c r="H63" s="385">
        <v>50</v>
      </c>
      <c r="I63" s="720">
        <v>1.7</v>
      </c>
      <c r="J63" s="386">
        <f t="shared" si="18"/>
        <v>330519.84768000001</v>
      </c>
    </row>
    <row r="64" spans="1:11" x14ac:dyDescent="0.3">
      <c r="A64" s="720">
        <v>7</v>
      </c>
      <c r="B64" s="383" t="s">
        <v>318</v>
      </c>
      <c r="C64" s="720">
        <v>2</v>
      </c>
      <c r="D64" s="384">
        <f t="shared" si="2"/>
        <v>12468.520799999998</v>
      </c>
      <c r="E64" s="384">
        <f t="shared" si="19"/>
        <v>10390.433999999999</v>
      </c>
      <c r="F64" s="384">
        <v>0</v>
      </c>
      <c r="G64" s="384">
        <f>(E64+F64)*20%</f>
        <v>2078.0868</v>
      </c>
      <c r="H64" s="385">
        <v>50</v>
      </c>
      <c r="I64" s="720">
        <v>1.7</v>
      </c>
      <c r="J64" s="386">
        <f t="shared" si="18"/>
        <v>658337.89824000001</v>
      </c>
    </row>
    <row r="65" spans="1:15" ht="27.6" x14ac:dyDescent="0.3">
      <c r="A65" s="720"/>
      <c r="B65" s="716" t="s">
        <v>509</v>
      </c>
      <c r="C65" s="387">
        <f>SUM(C58:C64)</f>
        <v>23.5</v>
      </c>
      <c r="D65" s="391">
        <f>SUM(D58:D64)</f>
        <v>87612.253199999992</v>
      </c>
      <c r="E65" s="387"/>
      <c r="F65" s="387" t="s">
        <v>14</v>
      </c>
      <c r="G65" s="387" t="s">
        <v>14</v>
      </c>
      <c r="H65" s="387" t="s">
        <v>14</v>
      </c>
      <c r="I65" s="387" t="s">
        <v>14</v>
      </c>
      <c r="J65" s="260">
        <f>SUM(J58:J64)</f>
        <v>7745602.0435199998</v>
      </c>
      <c r="K65" s="338"/>
    </row>
    <row r="66" spans="1:15" ht="15.75" customHeight="1" x14ac:dyDescent="0.3">
      <c r="A66" s="720"/>
      <c r="B66" s="716"/>
      <c r="C66" s="387"/>
      <c r="D66" s="391"/>
      <c r="E66" s="387"/>
      <c r="F66" s="387"/>
      <c r="G66" s="387"/>
      <c r="H66" s="387"/>
      <c r="I66" s="387"/>
      <c r="J66" s="260"/>
      <c r="K66" s="338"/>
    </row>
    <row r="67" spans="1:15" s="317" customFormat="1" ht="15.75" customHeight="1" x14ac:dyDescent="0.3">
      <c r="A67" s="954"/>
      <c r="B67" s="955"/>
      <c r="C67" s="955"/>
      <c r="D67" s="955"/>
      <c r="E67" s="955"/>
      <c r="F67" s="955"/>
      <c r="G67" s="955"/>
      <c r="H67" s="955"/>
      <c r="I67" s="956"/>
      <c r="J67" s="392">
        <v>0</v>
      </c>
      <c r="K67" s="334"/>
    </row>
    <row r="68" spans="1:15" ht="15.75" customHeight="1" x14ac:dyDescent="0.3">
      <c r="A68" s="1420" t="s">
        <v>331</v>
      </c>
      <c r="B68" s="1421"/>
      <c r="C68" s="387">
        <f>C21+C51+C56+C65</f>
        <v>173.71</v>
      </c>
      <c r="D68" s="391">
        <f>D21+D51+D56+D65</f>
        <v>874000.23649090901</v>
      </c>
      <c r="E68" s="387" t="s">
        <v>14</v>
      </c>
      <c r="F68" s="387" t="s">
        <v>14</v>
      </c>
      <c r="G68" s="387" t="s">
        <v>14</v>
      </c>
      <c r="H68" s="387" t="s">
        <v>14</v>
      </c>
      <c r="I68" s="387" t="s">
        <v>14</v>
      </c>
      <c r="J68" s="393">
        <f>J21+J51+J56+J65+J67</f>
        <v>83534825.236867219</v>
      </c>
      <c r="K68" s="334" t="s">
        <v>941</v>
      </c>
      <c r="L68" s="318"/>
    </row>
    <row r="69" spans="1:15" ht="17.25" customHeight="1" x14ac:dyDescent="0.3">
      <c r="A69" s="959" t="s">
        <v>335</v>
      </c>
      <c r="B69" s="960"/>
      <c r="C69" s="960"/>
      <c r="D69" s="960"/>
      <c r="E69" s="960"/>
      <c r="F69" s="960"/>
      <c r="G69" s="960"/>
      <c r="H69" s="960"/>
      <c r="I69" s="961"/>
      <c r="J69" s="386">
        <f>8400000-91.9405632</f>
        <v>8399908.0594368</v>
      </c>
      <c r="K69" s="542">
        <f>J68*10%</f>
        <v>8353482.5236867219</v>
      </c>
      <c r="L69" s="318">
        <v>4936</v>
      </c>
    </row>
    <row r="70" spans="1:15" ht="17.25" customHeight="1" x14ac:dyDescent="0.3">
      <c r="A70" s="984" t="s">
        <v>320</v>
      </c>
      <c r="B70" s="985"/>
      <c r="C70" s="985"/>
      <c r="D70" s="985"/>
      <c r="E70" s="985"/>
      <c r="F70" s="985"/>
      <c r="G70" s="985"/>
      <c r="H70" s="985"/>
      <c r="I70" s="986"/>
      <c r="J70" s="386">
        <v>1990000</v>
      </c>
      <c r="K70" s="542"/>
      <c r="L70" s="318"/>
    </row>
    <row r="71" spans="1:15" ht="18.75" customHeight="1" x14ac:dyDescent="0.3">
      <c r="A71" s="959" t="s">
        <v>999</v>
      </c>
      <c r="B71" s="960"/>
      <c r="C71" s="960"/>
      <c r="D71" s="960"/>
      <c r="E71" s="960"/>
      <c r="F71" s="960"/>
      <c r="G71" s="960"/>
      <c r="H71" s="960"/>
      <c r="I71" s="961"/>
      <c r="J71" s="386">
        <v>2000000</v>
      </c>
      <c r="K71" s="542"/>
      <c r="L71" s="318"/>
    </row>
    <row r="72" spans="1:15" ht="21.75" customHeight="1" x14ac:dyDescent="0.3">
      <c r="A72" s="959" t="s">
        <v>331</v>
      </c>
      <c r="B72" s="960"/>
      <c r="C72" s="960"/>
      <c r="D72" s="960"/>
      <c r="E72" s="960"/>
      <c r="F72" s="960"/>
      <c r="G72" s="960"/>
      <c r="H72" s="960"/>
      <c r="I72" s="961"/>
      <c r="J72" s="386">
        <f>J68+J69+J67+J71+J70-733.3</f>
        <v>95923999.99630402</v>
      </c>
      <c r="L72" s="324">
        <v>84800000</v>
      </c>
      <c r="N72" s="394">
        <f>J72-L72</f>
        <v>11123999.99630402</v>
      </c>
      <c r="O72" s="173">
        <v>98800</v>
      </c>
    </row>
    <row r="73" spans="1:15" ht="65.25" hidden="1" customHeight="1" x14ac:dyDescent="0.3">
      <c r="A73" s="723"/>
      <c r="B73" s="723" t="s">
        <v>607</v>
      </c>
      <c r="C73" s="723"/>
      <c r="D73" s="723"/>
      <c r="E73" s="723"/>
      <c r="F73" s="723"/>
      <c r="G73" s="723"/>
      <c r="H73" s="723"/>
      <c r="I73" s="723"/>
      <c r="J73" s="386">
        <v>0</v>
      </c>
      <c r="L73" s="324"/>
    </row>
    <row r="74" spans="1:15" ht="20.25" hidden="1" customHeight="1" x14ac:dyDescent="0.3">
      <c r="A74" s="959" t="s">
        <v>631</v>
      </c>
      <c r="B74" s="960"/>
      <c r="C74" s="960"/>
      <c r="D74" s="960"/>
      <c r="E74" s="960"/>
      <c r="F74" s="960"/>
      <c r="G74" s="960"/>
      <c r="H74" s="960"/>
      <c r="I74" s="961"/>
      <c r="J74" s="386">
        <v>0</v>
      </c>
      <c r="L74" s="324"/>
    </row>
    <row r="75" spans="1:15" ht="39.75" hidden="1" customHeight="1" x14ac:dyDescent="0.3">
      <c r="A75" s="959" t="s">
        <v>599</v>
      </c>
      <c r="B75" s="960"/>
      <c r="C75" s="960"/>
      <c r="D75" s="960"/>
      <c r="E75" s="960"/>
      <c r="F75" s="960"/>
      <c r="G75" s="960"/>
      <c r="H75" s="960"/>
      <c r="I75" s="961"/>
      <c r="J75" s="386">
        <v>0</v>
      </c>
      <c r="L75" s="324"/>
    </row>
    <row r="76" spans="1:15" ht="15.75" hidden="1" customHeight="1" x14ac:dyDescent="0.3">
      <c r="A76" s="395"/>
      <c r="B76" s="395"/>
      <c r="C76" s="722"/>
      <c r="D76" s="397"/>
      <c r="E76" s="722"/>
      <c r="F76" s="722"/>
      <c r="G76" s="722"/>
      <c r="H76" s="722"/>
      <c r="I76" s="722"/>
      <c r="J76" s="518"/>
      <c r="L76" s="324"/>
    </row>
    <row r="77" spans="1:15" ht="15.75" hidden="1" customHeight="1" x14ac:dyDescent="0.3">
      <c r="A77" s="872" t="s">
        <v>1</v>
      </c>
      <c r="B77" s="872" t="s">
        <v>2</v>
      </c>
      <c r="C77" s="872" t="s">
        <v>3</v>
      </c>
      <c r="D77" s="937" t="s">
        <v>4</v>
      </c>
      <c r="E77" s="943"/>
      <c r="F77" s="943"/>
      <c r="G77" s="938"/>
      <c r="H77" s="872" t="s">
        <v>5</v>
      </c>
      <c r="I77" s="872" t="s">
        <v>6</v>
      </c>
      <c r="J77" s="872" t="s">
        <v>312</v>
      </c>
      <c r="L77" s="324"/>
    </row>
    <row r="78" spans="1:15" ht="15.75" hidden="1" customHeight="1" x14ac:dyDescent="0.3">
      <c r="A78" s="1422"/>
      <c r="B78" s="1422"/>
      <c r="C78" s="1422"/>
      <c r="D78" s="872" t="s">
        <v>8</v>
      </c>
      <c r="E78" s="937" t="s">
        <v>9</v>
      </c>
      <c r="F78" s="943"/>
      <c r="G78" s="938"/>
      <c r="H78" s="1422"/>
      <c r="I78" s="1422"/>
      <c r="J78" s="1422"/>
      <c r="L78" s="324"/>
    </row>
    <row r="79" spans="1:15" ht="75" hidden="1" customHeight="1" x14ac:dyDescent="0.3">
      <c r="A79" s="884"/>
      <c r="B79" s="884"/>
      <c r="C79" s="884"/>
      <c r="D79" s="884"/>
      <c r="E79" s="721" t="s">
        <v>10</v>
      </c>
      <c r="F79" s="721" t="s">
        <v>11</v>
      </c>
      <c r="G79" s="721" t="s">
        <v>12</v>
      </c>
      <c r="H79" s="884"/>
      <c r="I79" s="884"/>
      <c r="J79" s="884"/>
      <c r="L79" s="324"/>
    </row>
    <row r="80" spans="1:15" ht="15.75" hidden="1" customHeight="1" x14ac:dyDescent="0.3">
      <c r="A80" s="720">
        <v>1</v>
      </c>
      <c r="B80" s="720">
        <v>2</v>
      </c>
      <c r="C80" s="720">
        <v>3</v>
      </c>
      <c r="D80" s="720">
        <v>4</v>
      </c>
      <c r="E80" s="720">
        <v>5</v>
      </c>
      <c r="F80" s="720">
        <v>6</v>
      </c>
      <c r="G80" s="720">
        <v>7</v>
      </c>
      <c r="H80" s="720">
        <v>8</v>
      </c>
      <c r="I80" s="720">
        <v>9</v>
      </c>
      <c r="J80" s="720">
        <v>10</v>
      </c>
      <c r="L80" s="324"/>
    </row>
    <row r="81" spans="1:12" ht="15.75" hidden="1" customHeight="1" x14ac:dyDescent="0.3">
      <c r="A81" s="959" t="s">
        <v>313</v>
      </c>
      <c r="B81" s="960"/>
      <c r="C81" s="960"/>
      <c r="D81" s="960"/>
      <c r="E81" s="960"/>
      <c r="F81" s="960"/>
      <c r="G81" s="960"/>
      <c r="H81" s="960"/>
      <c r="I81" s="960"/>
      <c r="J81" s="961"/>
      <c r="L81" s="324"/>
    </row>
    <row r="82" spans="1:12" ht="45" hidden="1" customHeight="1" x14ac:dyDescent="0.3">
      <c r="A82" s="720">
        <v>1</v>
      </c>
      <c r="B82" s="383" t="s">
        <v>314</v>
      </c>
      <c r="C82" s="720"/>
      <c r="D82" s="398">
        <f>E82+F82+G82</f>
        <v>0</v>
      </c>
      <c r="E82" s="398"/>
      <c r="F82" s="398"/>
      <c r="G82" s="398">
        <f>(E82+F82)*20%</f>
        <v>0</v>
      </c>
      <c r="H82" s="385">
        <v>50</v>
      </c>
      <c r="I82" s="720">
        <v>1.7</v>
      </c>
      <c r="J82" s="399">
        <f>(C82*D82*(H82/100+I82))*12.5</f>
        <v>0</v>
      </c>
      <c r="L82" s="324"/>
    </row>
    <row r="83" spans="1:12" ht="15.75" hidden="1" customHeight="1" x14ac:dyDescent="0.3">
      <c r="A83" s="720">
        <v>2</v>
      </c>
      <c r="B83" s="383" t="s">
        <v>315</v>
      </c>
      <c r="C83" s="720"/>
      <c r="D83" s="398">
        <f t="shared" ref="D83:D84" si="20">E83+F83+G83</f>
        <v>0</v>
      </c>
      <c r="E83" s="398"/>
      <c r="F83" s="398"/>
      <c r="G83" s="398">
        <f>(E83+F83)*20%</f>
        <v>0</v>
      </c>
      <c r="H83" s="385">
        <v>50</v>
      </c>
      <c r="I83" s="720">
        <v>1.7</v>
      </c>
      <c r="J83" s="399">
        <f>(C83*D83*(H83/100+I83))*12.5</f>
        <v>0</v>
      </c>
      <c r="L83" s="324"/>
    </row>
    <row r="84" spans="1:12" ht="30" hidden="1" customHeight="1" x14ac:dyDescent="0.3">
      <c r="A84" s="720">
        <v>3</v>
      </c>
      <c r="B84" s="383" t="s">
        <v>316</v>
      </c>
      <c r="C84" s="720"/>
      <c r="D84" s="398">
        <f t="shared" si="20"/>
        <v>0</v>
      </c>
      <c r="E84" s="398"/>
      <c r="F84" s="398"/>
      <c r="G84" s="398">
        <f>(E84+F84)*20%</f>
        <v>0</v>
      </c>
      <c r="H84" s="385">
        <v>50</v>
      </c>
      <c r="I84" s="720">
        <v>1.7</v>
      </c>
      <c r="J84" s="399">
        <f>(C84*D84*(H84/100+I84))*12.5</f>
        <v>0</v>
      </c>
      <c r="L84" s="324"/>
    </row>
    <row r="85" spans="1:12" ht="15.75" hidden="1" customHeight="1" x14ac:dyDescent="0.3">
      <c r="A85" s="720">
        <v>4</v>
      </c>
      <c r="B85" s="383" t="s">
        <v>317</v>
      </c>
      <c r="C85" s="720"/>
      <c r="D85" s="398">
        <f>E85+F85+G85</f>
        <v>0</v>
      </c>
      <c r="E85" s="398"/>
      <c r="F85" s="398"/>
      <c r="G85" s="398">
        <f>(E85+F85)*20%</f>
        <v>0</v>
      </c>
      <c r="H85" s="385">
        <v>50</v>
      </c>
      <c r="I85" s="720">
        <v>1.7</v>
      </c>
      <c r="J85" s="399">
        <f>(C85*D85*(H85/100+I85))*12.5</f>
        <v>0</v>
      </c>
      <c r="L85" s="324"/>
    </row>
    <row r="86" spans="1:12" ht="21.75" hidden="1" customHeight="1" x14ac:dyDescent="0.3">
      <c r="A86" s="720">
        <v>5</v>
      </c>
      <c r="B86" s="383" t="s">
        <v>318</v>
      </c>
      <c r="C86" s="720"/>
      <c r="D86" s="398">
        <f t="shared" ref="D86" si="21">E86+F86+G86</f>
        <v>0</v>
      </c>
      <c r="E86" s="398"/>
      <c r="F86" s="398"/>
      <c r="G86" s="398">
        <f t="shared" ref="G86" si="22">(E86+F86)*20%</f>
        <v>0</v>
      </c>
      <c r="H86" s="385">
        <v>50</v>
      </c>
      <c r="I86" s="720">
        <v>1.7</v>
      </c>
      <c r="J86" s="399">
        <f>(C86*D86*(H86/100+I86))*12.5</f>
        <v>0</v>
      </c>
      <c r="K86" s="339"/>
      <c r="L86" s="324"/>
    </row>
    <row r="87" spans="1:12" ht="16.5" hidden="1" customHeight="1" x14ac:dyDescent="0.3">
      <c r="A87" s="720"/>
      <c r="B87" s="723" t="s">
        <v>319</v>
      </c>
      <c r="C87" s="400">
        <f>SUM(C82:C86)</f>
        <v>0</v>
      </c>
      <c r="D87" s="401">
        <f>SUM(D82:D86)</f>
        <v>0</v>
      </c>
      <c r="E87" s="400" t="s">
        <v>14</v>
      </c>
      <c r="F87" s="400" t="s">
        <v>14</v>
      </c>
      <c r="G87" s="400" t="s">
        <v>14</v>
      </c>
      <c r="H87" s="400" t="s">
        <v>14</v>
      </c>
      <c r="I87" s="400" t="s">
        <v>14</v>
      </c>
      <c r="J87" s="399">
        <f>SUM(J82:J86)</f>
        <v>0</v>
      </c>
      <c r="L87" s="324"/>
    </row>
    <row r="88" spans="1:12" ht="15.75" hidden="1" customHeight="1" x14ac:dyDescent="0.3">
      <c r="A88" s="954" t="s">
        <v>343</v>
      </c>
      <c r="B88" s="955"/>
      <c r="C88" s="955"/>
      <c r="D88" s="955"/>
      <c r="E88" s="955"/>
      <c r="F88" s="955"/>
      <c r="G88" s="955"/>
      <c r="H88" s="955"/>
      <c r="I88" s="956"/>
      <c r="J88" s="399"/>
      <c r="L88" s="324"/>
    </row>
    <row r="89" spans="1:12" s="317" customFormat="1" ht="15.75" hidden="1" customHeight="1" x14ac:dyDescent="0.3">
      <c r="A89" s="954" t="s">
        <v>797</v>
      </c>
      <c r="B89" s="955"/>
      <c r="C89" s="955"/>
      <c r="D89" s="955"/>
      <c r="E89" s="955"/>
      <c r="F89" s="955"/>
      <c r="G89" s="955"/>
      <c r="H89" s="955"/>
      <c r="I89" s="956"/>
      <c r="J89" s="399">
        <v>0</v>
      </c>
      <c r="K89" s="334"/>
      <c r="L89" s="324"/>
    </row>
    <row r="90" spans="1:12" s="317" customFormat="1" ht="15.75" customHeight="1" x14ac:dyDescent="0.3">
      <c r="A90" s="1423" t="s">
        <v>379</v>
      </c>
      <c r="B90" s="1424"/>
      <c r="C90" s="1424"/>
      <c r="D90" s="1424"/>
      <c r="E90" s="1424"/>
      <c r="F90" s="1424"/>
      <c r="G90" s="1424"/>
      <c r="H90" s="1424"/>
      <c r="I90" s="1425"/>
      <c r="J90" s="399">
        <v>192000</v>
      </c>
      <c r="K90" s="334"/>
      <c r="L90" s="324"/>
    </row>
    <row r="91" spans="1:12" s="317" customFormat="1" x14ac:dyDescent="0.3">
      <c r="A91" s="966" t="s">
        <v>511</v>
      </c>
      <c r="B91" s="967"/>
      <c r="C91" s="967"/>
      <c r="D91" s="967"/>
      <c r="E91" s="967"/>
      <c r="F91" s="967"/>
      <c r="G91" s="967"/>
      <c r="H91" s="967"/>
      <c r="I91" s="967"/>
      <c r="J91" s="968"/>
      <c r="K91" s="334"/>
      <c r="L91" s="324"/>
    </row>
    <row r="92" spans="1:12" ht="31.5" customHeight="1" x14ac:dyDescent="0.3">
      <c r="A92" s="922" t="s">
        <v>959</v>
      </c>
      <c r="B92" s="923"/>
      <c r="C92" s="720">
        <v>2</v>
      </c>
      <c r="D92" s="398">
        <f>D87</f>
        <v>0</v>
      </c>
      <c r="E92" s="720" t="s">
        <v>14</v>
      </c>
      <c r="F92" s="720" t="s">
        <v>14</v>
      </c>
      <c r="G92" s="720" t="s">
        <v>14</v>
      </c>
      <c r="H92" s="720" t="s">
        <v>14</v>
      </c>
      <c r="I92" s="720" t="s">
        <v>14</v>
      </c>
      <c r="J92" s="399">
        <f>J90</f>
        <v>192000</v>
      </c>
      <c r="K92" s="339"/>
      <c r="L92" s="324"/>
    </row>
    <row r="93" spans="1:12" ht="21" customHeight="1" x14ac:dyDescent="0.3">
      <c r="A93" s="934" t="s">
        <v>510</v>
      </c>
      <c r="B93" s="935"/>
      <c r="C93" s="935"/>
      <c r="D93" s="935"/>
      <c r="E93" s="935"/>
      <c r="F93" s="935"/>
      <c r="G93" s="935"/>
      <c r="H93" s="935"/>
      <c r="I93" s="935"/>
      <c r="J93" s="519">
        <f>J92+J72+J75+J73+J74</f>
        <v>96115999.99630402</v>
      </c>
      <c r="K93" s="339"/>
      <c r="L93" s="324">
        <f>J72+J73+J74+J75+J92</f>
        <v>96115999.99630402</v>
      </c>
    </row>
    <row r="94" spans="1:12" ht="21" customHeight="1" x14ac:dyDescent="0.3">
      <c r="A94" s="599"/>
      <c r="B94" s="223"/>
      <c r="C94" s="718"/>
      <c r="D94" s="225"/>
      <c r="E94" s="719"/>
      <c r="F94" s="719"/>
      <c r="G94" s="719"/>
      <c r="H94" s="719"/>
      <c r="I94" s="719"/>
      <c r="J94" s="519"/>
      <c r="K94" s="339"/>
      <c r="L94" s="318"/>
    </row>
    <row r="95" spans="1:12" ht="20.25" customHeight="1" x14ac:dyDescent="0.3">
      <c r="A95" s="812" t="s">
        <v>602</v>
      </c>
      <c r="B95" s="813"/>
      <c r="C95" s="813"/>
      <c r="D95" s="813"/>
      <c r="E95" s="813"/>
      <c r="F95" s="813"/>
      <c r="G95" s="813"/>
      <c r="H95" s="813"/>
      <c r="I95" s="813"/>
      <c r="J95" s="814"/>
    </row>
    <row r="96" spans="1:12" ht="30" customHeight="1" x14ac:dyDescent="0.3">
      <c r="A96" s="717" t="s">
        <v>1</v>
      </c>
      <c r="B96" s="1013" t="s">
        <v>44</v>
      </c>
      <c r="C96" s="1014"/>
      <c r="D96" s="1015"/>
      <c r="E96" s="1013" t="s">
        <v>45</v>
      </c>
      <c r="F96" s="1015"/>
      <c r="G96" s="1013" t="s">
        <v>46</v>
      </c>
      <c r="H96" s="1015"/>
      <c r="I96" s="1013" t="s">
        <v>102</v>
      </c>
      <c r="J96" s="1015"/>
    </row>
    <row r="97" spans="1:11" ht="16.5" customHeight="1" x14ac:dyDescent="0.3">
      <c r="A97" s="710">
        <v>1</v>
      </c>
      <c r="B97" s="855">
        <v>2</v>
      </c>
      <c r="C97" s="856"/>
      <c r="D97" s="857"/>
      <c r="E97" s="855">
        <v>3</v>
      </c>
      <c r="F97" s="857"/>
      <c r="G97" s="855">
        <v>4</v>
      </c>
      <c r="H97" s="857"/>
      <c r="I97" s="855">
        <v>5</v>
      </c>
      <c r="J97" s="857"/>
    </row>
    <row r="98" spans="1:11" ht="30.75" hidden="1" customHeight="1" x14ac:dyDescent="0.3">
      <c r="A98" s="711">
        <v>1</v>
      </c>
      <c r="B98" s="927" t="s">
        <v>603</v>
      </c>
      <c r="C98" s="928"/>
      <c r="D98" s="929"/>
      <c r="E98" s="1426">
        <v>0</v>
      </c>
      <c r="F98" s="1427"/>
      <c r="G98" s="820">
        <v>0</v>
      </c>
      <c r="H98" s="822"/>
      <c r="I98" s="1428">
        <v>0</v>
      </c>
      <c r="J98" s="1429"/>
    </row>
    <row r="99" spans="1:11" ht="47.25" customHeight="1" x14ac:dyDescent="0.3">
      <c r="A99" s="711">
        <v>1</v>
      </c>
      <c r="B99" s="927" t="s">
        <v>604</v>
      </c>
      <c r="C99" s="928"/>
      <c r="D99" s="929"/>
      <c r="E99" s="1426">
        <f>I99/G99</f>
        <v>8333.3333333333339</v>
      </c>
      <c r="F99" s="1427"/>
      <c r="G99" s="820">
        <v>72</v>
      </c>
      <c r="H99" s="822"/>
      <c r="I99" s="1428">
        <v>600000</v>
      </c>
      <c r="J99" s="1429"/>
    </row>
    <row r="100" spans="1:11" ht="22.5" customHeight="1" x14ac:dyDescent="0.3">
      <c r="A100" s="724"/>
      <c r="B100" s="934" t="s">
        <v>331</v>
      </c>
      <c r="C100" s="935"/>
      <c r="D100" s="936"/>
      <c r="E100" s="937" t="s">
        <v>14</v>
      </c>
      <c r="F100" s="938"/>
      <c r="G100" s="937" t="s">
        <v>14</v>
      </c>
      <c r="H100" s="938"/>
      <c r="I100" s="932">
        <f>I99+I98</f>
        <v>600000</v>
      </c>
      <c r="J100" s="933"/>
    </row>
    <row r="101" spans="1:11" s="317" customFormat="1" ht="40.5" customHeight="1" x14ac:dyDescent="0.3">
      <c r="A101" s="1080" t="s">
        <v>360</v>
      </c>
      <c r="B101" s="1080"/>
      <c r="C101" s="1080"/>
      <c r="D101" s="1080"/>
      <c r="E101" s="1080"/>
      <c r="F101" s="1080"/>
      <c r="G101" s="1080"/>
      <c r="H101" s="1080"/>
      <c r="I101" s="1080"/>
      <c r="J101" s="1080"/>
      <c r="K101" s="334"/>
    </row>
    <row r="102" spans="1:11" ht="39.6" x14ac:dyDescent="0.3">
      <c r="A102" s="710" t="s">
        <v>1</v>
      </c>
      <c r="B102" s="855" t="s">
        <v>15</v>
      </c>
      <c r="C102" s="856"/>
      <c r="D102" s="857"/>
      <c r="E102" s="855" t="s">
        <v>16</v>
      </c>
      <c r="F102" s="857"/>
      <c r="G102" s="710" t="s">
        <v>17</v>
      </c>
      <c r="H102" s="710" t="s">
        <v>18</v>
      </c>
      <c r="I102" s="855" t="s">
        <v>104</v>
      </c>
      <c r="J102" s="857"/>
    </row>
    <row r="103" spans="1:11" x14ac:dyDescent="0.3">
      <c r="A103" s="710">
        <v>1</v>
      </c>
      <c r="B103" s="855">
        <v>2</v>
      </c>
      <c r="C103" s="856"/>
      <c r="D103" s="857"/>
      <c r="E103" s="855">
        <v>3</v>
      </c>
      <c r="F103" s="857"/>
      <c r="G103" s="710">
        <v>4</v>
      </c>
      <c r="H103" s="710">
        <v>5</v>
      </c>
      <c r="I103" s="855">
        <v>6</v>
      </c>
      <c r="J103" s="857"/>
    </row>
    <row r="104" spans="1:11" ht="16.5" hidden="1" customHeight="1" x14ac:dyDescent="0.3">
      <c r="A104" s="812" t="s">
        <v>361</v>
      </c>
      <c r="B104" s="813"/>
      <c r="C104" s="813"/>
      <c r="D104" s="813"/>
      <c r="E104" s="813"/>
      <c r="F104" s="813"/>
      <c r="G104" s="813"/>
      <c r="H104" s="813"/>
      <c r="I104" s="813"/>
      <c r="J104" s="814"/>
    </row>
    <row r="105" spans="1:11" ht="48.75" hidden="1" customHeight="1" x14ac:dyDescent="0.3">
      <c r="A105" s="714" t="s">
        <v>70</v>
      </c>
      <c r="B105" s="809" t="s">
        <v>362</v>
      </c>
      <c r="C105" s="810"/>
      <c r="D105" s="811"/>
      <c r="E105" s="941">
        <v>0</v>
      </c>
      <c r="F105" s="942"/>
      <c r="G105" s="714">
        <v>0</v>
      </c>
      <c r="H105" s="714">
        <v>0</v>
      </c>
      <c r="I105" s="807">
        <f>E105*G105*H105</f>
        <v>0</v>
      </c>
      <c r="J105" s="808"/>
    </row>
    <row r="106" spans="1:11" ht="15" customHeight="1" x14ac:dyDescent="0.3">
      <c r="A106" s="812" t="s">
        <v>363</v>
      </c>
      <c r="B106" s="813"/>
      <c r="C106" s="813"/>
      <c r="D106" s="813"/>
      <c r="E106" s="813"/>
      <c r="F106" s="813"/>
      <c r="G106" s="813"/>
      <c r="H106" s="813"/>
      <c r="I106" s="813"/>
      <c r="J106" s="814"/>
    </row>
    <row r="107" spans="1:11" ht="53.25" customHeight="1" x14ac:dyDescent="0.3">
      <c r="A107" s="713" t="s">
        <v>70</v>
      </c>
      <c r="B107" s="809" t="s">
        <v>513</v>
      </c>
      <c r="C107" s="810"/>
      <c r="D107" s="811"/>
      <c r="E107" s="1418">
        <v>22866.58</v>
      </c>
      <c r="F107" s="1419"/>
      <c r="G107" s="509">
        <v>27</v>
      </c>
      <c r="H107" s="509">
        <v>1</v>
      </c>
      <c r="I107" s="1413">
        <v>612000</v>
      </c>
      <c r="J107" s="977"/>
      <c r="K107" s="346">
        <v>669000</v>
      </c>
    </row>
    <row r="108" spans="1:11" ht="48.75" customHeight="1" x14ac:dyDescent="0.3">
      <c r="A108" s="714" t="s">
        <v>75</v>
      </c>
      <c r="B108" s="809" t="s">
        <v>514</v>
      </c>
      <c r="C108" s="810"/>
      <c r="D108" s="811"/>
      <c r="E108" s="823">
        <v>17821.11</v>
      </c>
      <c r="F108" s="824"/>
      <c r="G108" s="403">
        <v>8</v>
      </c>
      <c r="H108" s="712">
        <v>1</v>
      </c>
      <c r="I108" s="1416">
        <f>186500-40000</f>
        <v>146500</v>
      </c>
      <c r="J108" s="1417"/>
      <c r="K108" s="346">
        <v>185500</v>
      </c>
    </row>
    <row r="109" spans="1:11" ht="15.75" customHeight="1" x14ac:dyDescent="0.3">
      <c r="A109" s="812" t="s">
        <v>364</v>
      </c>
      <c r="B109" s="813"/>
      <c r="C109" s="813"/>
      <c r="D109" s="813"/>
      <c r="E109" s="813"/>
      <c r="F109" s="813"/>
      <c r="G109" s="813"/>
      <c r="H109" s="813"/>
      <c r="I109" s="813"/>
      <c r="J109" s="814"/>
    </row>
    <row r="110" spans="1:11" ht="35.25" customHeight="1" x14ac:dyDescent="0.3">
      <c r="A110" s="714">
        <v>3</v>
      </c>
      <c r="B110" s="809" t="s">
        <v>365</v>
      </c>
      <c r="C110" s="810"/>
      <c r="D110" s="811"/>
      <c r="E110" s="823">
        <v>6375</v>
      </c>
      <c r="F110" s="824"/>
      <c r="G110" s="714">
        <v>4</v>
      </c>
      <c r="H110" s="714">
        <v>1</v>
      </c>
      <c r="I110" s="945">
        <v>25500</v>
      </c>
      <c r="J110" s="946"/>
      <c r="K110" s="346" t="s">
        <v>859</v>
      </c>
    </row>
    <row r="111" spans="1:11" ht="35.25" hidden="1" customHeight="1" x14ac:dyDescent="0.3">
      <c r="A111" s="812" t="s">
        <v>364</v>
      </c>
      <c r="B111" s="813"/>
      <c r="C111" s="813"/>
      <c r="D111" s="813"/>
      <c r="E111" s="813"/>
      <c r="F111" s="813"/>
      <c r="G111" s="813"/>
      <c r="H111" s="813"/>
      <c r="I111" s="813"/>
      <c r="J111" s="814"/>
    </row>
    <row r="112" spans="1:11" ht="35.25" hidden="1" customHeight="1" x14ac:dyDescent="0.3">
      <c r="A112" s="714">
        <v>4</v>
      </c>
      <c r="B112" s="820" t="s">
        <v>712</v>
      </c>
      <c r="C112" s="821"/>
      <c r="D112" s="822"/>
      <c r="E112" s="941"/>
      <c r="F112" s="942"/>
      <c r="G112" s="714"/>
      <c r="H112" s="714"/>
      <c r="I112" s="945">
        <v>0</v>
      </c>
      <c r="J112" s="946"/>
    </row>
    <row r="113" spans="1:13" ht="69" hidden="1" customHeight="1" x14ac:dyDescent="0.3">
      <c r="A113" s="714"/>
      <c r="B113" s="809" t="s">
        <v>534</v>
      </c>
      <c r="C113" s="810"/>
      <c r="D113" s="811"/>
      <c r="E113" s="858" t="s">
        <v>74</v>
      </c>
      <c r="F113" s="859"/>
      <c r="G113" s="721" t="s">
        <v>74</v>
      </c>
      <c r="H113" s="721" t="s">
        <v>74</v>
      </c>
      <c r="I113" s="939"/>
      <c r="J113" s="940"/>
    </row>
    <row r="114" spans="1:13" ht="35.25" hidden="1" customHeight="1" x14ac:dyDescent="0.3">
      <c r="A114" s="714">
        <v>5</v>
      </c>
      <c r="B114" s="809" t="s">
        <v>594</v>
      </c>
      <c r="C114" s="810"/>
      <c r="D114" s="811"/>
      <c r="E114" s="941"/>
      <c r="F114" s="942"/>
      <c r="G114" s="714"/>
      <c r="H114" s="714"/>
      <c r="I114" s="807">
        <v>0</v>
      </c>
      <c r="J114" s="808"/>
    </row>
    <row r="115" spans="1:13" ht="35.25" hidden="1" customHeight="1" x14ac:dyDescent="0.3">
      <c r="A115" s="714">
        <v>6</v>
      </c>
      <c r="B115" s="820" t="s">
        <v>706</v>
      </c>
      <c r="C115" s="821"/>
      <c r="D115" s="822"/>
      <c r="E115" s="941"/>
      <c r="F115" s="942"/>
      <c r="G115" s="714"/>
      <c r="H115" s="714"/>
      <c r="I115" s="807"/>
      <c r="J115" s="808"/>
    </row>
    <row r="116" spans="1:13" x14ac:dyDescent="0.3">
      <c r="A116" s="715"/>
      <c r="B116" s="905" t="s">
        <v>13</v>
      </c>
      <c r="C116" s="906"/>
      <c r="D116" s="907"/>
      <c r="E116" s="812" t="s">
        <v>14</v>
      </c>
      <c r="F116" s="814"/>
      <c r="G116" s="715" t="s">
        <v>14</v>
      </c>
      <c r="H116" s="715" t="s">
        <v>14</v>
      </c>
      <c r="I116" s="832">
        <f>I105+I108+I110+I107+I114+I115+I112</f>
        <v>784000</v>
      </c>
      <c r="J116" s="833"/>
    </row>
    <row r="117" spans="1:13" ht="19.5" hidden="1" customHeight="1" x14ac:dyDescent="0.3">
      <c r="A117" s="1080" t="s">
        <v>366</v>
      </c>
      <c r="B117" s="1080"/>
      <c r="C117" s="1080"/>
      <c r="D117" s="1080"/>
      <c r="E117" s="1080"/>
      <c r="F117" s="1080"/>
      <c r="G117" s="1080"/>
      <c r="H117" s="1080"/>
      <c r="I117" s="1080"/>
      <c r="J117" s="1080"/>
    </row>
    <row r="118" spans="1:13" ht="51" hidden="1" customHeight="1" x14ac:dyDescent="0.3">
      <c r="A118" s="710" t="s">
        <v>1</v>
      </c>
      <c r="B118" s="855" t="s">
        <v>15</v>
      </c>
      <c r="C118" s="856"/>
      <c r="D118" s="857"/>
      <c r="E118" s="855" t="s">
        <v>20</v>
      </c>
      <c r="F118" s="857"/>
      <c r="G118" s="710" t="s">
        <v>21</v>
      </c>
      <c r="H118" s="710" t="s">
        <v>22</v>
      </c>
      <c r="I118" s="855" t="s">
        <v>19</v>
      </c>
      <c r="J118" s="857"/>
    </row>
    <row r="119" spans="1:13" ht="15.75" hidden="1" customHeight="1" x14ac:dyDescent="0.3">
      <c r="A119" s="710">
        <v>1</v>
      </c>
      <c r="B119" s="855">
        <v>2</v>
      </c>
      <c r="C119" s="856"/>
      <c r="D119" s="857"/>
      <c r="E119" s="855">
        <v>3</v>
      </c>
      <c r="F119" s="857"/>
      <c r="G119" s="710">
        <v>4</v>
      </c>
      <c r="H119" s="710">
        <v>5</v>
      </c>
      <c r="I119" s="855">
        <v>6</v>
      </c>
      <c r="J119" s="857"/>
    </row>
    <row r="120" spans="1:13" ht="47.25" hidden="1" customHeight="1" x14ac:dyDescent="0.3">
      <c r="A120" s="594" t="s">
        <v>70</v>
      </c>
      <c r="B120" s="969" t="s">
        <v>79</v>
      </c>
      <c r="C120" s="970"/>
      <c r="D120" s="971"/>
      <c r="E120" s="849"/>
      <c r="F120" s="850"/>
      <c r="G120" s="387">
        <v>12</v>
      </c>
      <c r="H120" s="387">
        <v>85</v>
      </c>
      <c r="I120" s="987">
        <v>0</v>
      </c>
      <c r="J120" s="987"/>
    </row>
    <row r="121" spans="1:13" ht="17.25" hidden="1" customHeight="1" x14ac:dyDescent="0.3">
      <c r="A121" s="594"/>
      <c r="B121" s="988" t="s">
        <v>13</v>
      </c>
      <c r="C121" s="988"/>
      <c r="D121" s="988"/>
      <c r="E121" s="820" t="s">
        <v>14</v>
      </c>
      <c r="F121" s="822"/>
      <c r="G121" s="576" t="s">
        <v>14</v>
      </c>
      <c r="H121" s="576" t="s">
        <v>14</v>
      </c>
      <c r="I121" s="834">
        <f>SUM(I120)</f>
        <v>0</v>
      </c>
      <c r="J121" s="842"/>
    </row>
    <row r="122" spans="1:13" s="317" customFormat="1" ht="42" customHeight="1" x14ac:dyDescent="0.3">
      <c r="A122" s="972" t="s">
        <v>295</v>
      </c>
      <c r="B122" s="972"/>
      <c r="C122" s="972"/>
      <c r="D122" s="972"/>
      <c r="E122" s="972"/>
      <c r="F122" s="972"/>
      <c r="G122" s="972"/>
      <c r="H122" s="972"/>
      <c r="I122" s="972"/>
      <c r="J122" s="972"/>
      <c r="K122" s="334"/>
    </row>
    <row r="123" spans="1:13" ht="25.5" customHeight="1" x14ac:dyDescent="0.3">
      <c r="A123" s="591" t="s">
        <v>1</v>
      </c>
      <c r="B123" s="924" t="s">
        <v>23</v>
      </c>
      <c r="C123" s="924"/>
      <c r="D123" s="924"/>
      <c r="E123" s="924"/>
      <c r="F123" s="924"/>
      <c r="G123" s="924" t="s">
        <v>24</v>
      </c>
      <c r="H123" s="924"/>
      <c r="I123" s="924" t="s">
        <v>25</v>
      </c>
      <c r="J123" s="924"/>
    </row>
    <row r="124" spans="1:13" ht="12" customHeight="1" x14ac:dyDescent="0.3">
      <c r="A124" s="566">
        <v>1</v>
      </c>
      <c r="B124" s="778">
        <v>2</v>
      </c>
      <c r="C124" s="778"/>
      <c r="D124" s="778"/>
      <c r="E124" s="778"/>
      <c r="F124" s="778"/>
      <c r="G124" s="778">
        <v>3</v>
      </c>
      <c r="H124" s="778"/>
      <c r="I124" s="778">
        <v>4</v>
      </c>
      <c r="J124" s="778"/>
    </row>
    <row r="125" spans="1:13" ht="17.25" customHeight="1" x14ac:dyDescent="0.3">
      <c r="A125" s="576" t="s">
        <v>70</v>
      </c>
      <c r="B125" s="900" t="s">
        <v>26</v>
      </c>
      <c r="C125" s="900"/>
      <c r="D125" s="900"/>
      <c r="E125" s="900"/>
      <c r="F125" s="900"/>
      <c r="G125" s="826" t="s">
        <v>14</v>
      </c>
      <c r="H125" s="826"/>
      <c r="I125" s="982">
        <f>SUM(I127:J129)</f>
        <v>21103279.999186885</v>
      </c>
      <c r="J125" s="982"/>
    </row>
    <row r="126" spans="1:13" ht="16.5" customHeight="1" x14ac:dyDescent="0.3">
      <c r="A126" s="405"/>
      <c r="B126" s="820" t="s">
        <v>9</v>
      </c>
      <c r="C126" s="821"/>
      <c r="D126" s="821"/>
      <c r="E126" s="821"/>
      <c r="F126" s="822"/>
      <c r="G126" s="901"/>
      <c r="H126" s="901"/>
      <c r="I126" s="982"/>
      <c r="J126" s="982"/>
    </row>
    <row r="127" spans="1:13" ht="17.25" customHeight="1" x14ac:dyDescent="0.3">
      <c r="A127" s="576" t="s">
        <v>27</v>
      </c>
      <c r="B127" s="989" t="s">
        <v>28</v>
      </c>
      <c r="C127" s="989"/>
      <c r="D127" s="989"/>
      <c r="E127" s="989"/>
      <c r="F127" s="989"/>
      <c r="G127" s="983">
        <f>J72</f>
        <v>95923999.99630402</v>
      </c>
      <c r="H127" s="983"/>
      <c r="I127" s="982">
        <f>G127*22%</f>
        <v>21103279.999186885</v>
      </c>
      <c r="J127" s="982"/>
      <c r="L127" s="983"/>
      <c r="M127" s="983"/>
    </row>
    <row r="128" spans="1:13" ht="15" customHeight="1" x14ac:dyDescent="0.3">
      <c r="A128" s="576" t="s">
        <v>29</v>
      </c>
      <c r="B128" s="835" t="s">
        <v>30</v>
      </c>
      <c r="C128" s="835"/>
      <c r="D128" s="835"/>
      <c r="E128" s="835"/>
      <c r="F128" s="835"/>
      <c r="G128" s="901">
        <v>0</v>
      </c>
      <c r="H128" s="901"/>
      <c r="I128" s="982">
        <f>G128*10%</f>
        <v>0</v>
      </c>
      <c r="J128" s="982"/>
      <c r="L128" s="901"/>
      <c r="M128" s="901"/>
    </row>
    <row r="129" spans="1:12" ht="29.4" customHeight="1" x14ac:dyDescent="0.3">
      <c r="A129" s="576" t="s">
        <v>31</v>
      </c>
      <c r="B129" s="900" t="s">
        <v>32</v>
      </c>
      <c r="C129" s="900"/>
      <c r="D129" s="900"/>
      <c r="E129" s="900"/>
      <c r="F129" s="900"/>
      <c r="G129" s="901"/>
      <c r="H129" s="901"/>
      <c r="I129" s="982"/>
      <c r="J129" s="982"/>
    </row>
    <row r="130" spans="1:12" ht="29.25" customHeight="1" x14ac:dyDescent="0.3">
      <c r="A130" s="576" t="s">
        <v>75</v>
      </c>
      <c r="B130" s="900" t="s">
        <v>33</v>
      </c>
      <c r="C130" s="900"/>
      <c r="D130" s="900"/>
      <c r="E130" s="900"/>
      <c r="F130" s="900"/>
      <c r="G130" s="826" t="s">
        <v>14</v>
      </c>
      <c r="H130" s="826"/>
      <c r="I130" s="982">
        <f>SUM(I132:J136)</f>
        <v>2973595.9998854245</v>
      </c>
      <c r="J130" s="982"/>
    </row>
    <row r="131" spans="1:12" ht="15.75" customHeight="1" x14ac:dyDescent="0.3">
      <c r="A131" s="405"/>
      <c r="B131" s="820" t="s">
        <v>9</v>
      </c>
      <c r="C131" s="821"/>
      <c r="D131" s="821"/>
      <c r="E131" s="821"/>
      <c r="F131" s="822"/>
      <c r="G131" s="901"/>
      <c r="H131" s="901"/>
      <c r="I131" s="982"/>
      <c r="J131" s="982"/>
    </row>
    <row r="132" spans="1:12" ht="27.75" customHeight="1" x14ac:dyDescent="0.3">
      <c r="A132" s="576" t="s">
        <v>34</v>
      </c>
      <c r="B132" s="900" t="s">
        <v>35</v>
      </c>
      <c r="C132" s="900"/>
      <c r="D132" s="900"/>
      <c r="E132" s="900"/>
      <c r="F132" s="900"/>
      <c r="G132" s="983">
        <f>G127+G128</f>
        <v>95923999.99630402</v>
      </c>
      <c r="H132" s="983"/>
      <c r="I132" s="982">
        <f>G132*2.9%-48</f>
        <v>2781747.9998928164</v>
      </c>
      <c r="J132" s="982"/>
    </row>
    <row r="133" spans="1:12" ht="15" customHeight="1" x14ac:dyDescent="0.3">
      <c r="A133" s="576" t="s">
        <v>36</v>
      </c>
      <c r="B133" s="900" t="s">
        <v>37</v>
      </c>
      <c r="C133" s="900"/>
      <c r="D133" s="900"/>
      <c r="E133" s="900"/>
      <c r="F133" s="900"/>
      <c r="G133" s="901"/>
      <c r="H133" s="901"/>
      <c r="I133" s="982"/>
      <c r="J133" s="982"/>
    </row>
    <row r="134" spans="1:12" ht="35.25" customHeight="1" x14ac:dyDescent="0.3">
      <c r="A134" s="576" t="s">
        <v>38</v>
      </c>
      <c r="B134" s="900" t="s">
        <v>39</v>
      </c>
      <c r="C134" s="900"/>
      <c r="D134" s="900"/>
      <c r="E134" s="900"/>
      <c r="F134" s="900"/>
      <c r="G134" s="983">
        <f>G127+G128</f>
        <v>95923999.99630402</v>
      </c>
      <c r="H134" s="983"/>
      <c r="I134" s="982">
        <f>G134*0.2%</f>
        <v>191847.99999260803</v>
      </c>
      <c r="J134" s="982"/>
    </row>
    <row r="135" spans="1:12" s="317" customFormat="1" ht="15" customHeight="1" x14ac:dyDescent="0.3">
      <c r="A135" s="576" t="s">
        <v>40</v>
      </c>
      <c r="B135" s="900" t="s">
        <v>41</v>
      </c>
      <c r="C135" s="900"/>
      <c r="D135" s="900"/>
      <c r="E135" s="900"/>
      <c r="F135" s="900"/>
      <c r="G135" s="901"/>
      <c r="H135" s="901"/>
      <c r="I135" s="982"/>
      <c r="J135" s="982"/>
      <c r="K135" s="334"/>
    </row>
    <row r="136" spans="1:12" ht="15" customHeight="1" x14ac:dyDescent="0.3">
      <c r="A136" s="576" t="s">
        <v>42</v>
      </c>
      <c r="B136" s="900" t="s">
        <v>41</v>
      </c>
      <c r="C136" s="900"/>
      <c r="D136" s="900"/>
      <c r="E136" s="900"/>
      <c r="F136" s="900"/>
      <c r="G136" s="901"/>
      <c r="H136" s="901"/>
      <c r="I136" s="982"/>
      <c r="J136" s="982"/>
    </row>
    <row r="137" spans="1:12" ht="30" customHeight="1" x14ac:dyDescent="0.3">
      <c r="A137" s="576" t="s">
        <v>77</v>
      </c>
      <c r="B137" s="900" t="s">
        <v>43</v>
      </c>
      <c r="C137" s="900"/>
      <c r="D137" s="900"/>
      <c r="E137" s="900"/>
      <c r="F137" s="900"/>
      <c r="G137" s="983">
        <f>G127+G128</f>
        <v>95923999.99630402</v>
      </c>
      <c r="H137" s="983"/>
      <c r="I137" s="982">
        <f>G137*5.1%</f>
        <v>4892123.999811505</v>
      </c>
      <c r="J137" s="982"/>
    </row>
    <row r="138" spans="1:12" ht="19.5" customHeight="1" x14ac:dyDescent="0.3">
      <c r="A138" s="576"/>
      <c r="B138" s="847" t="s">
        <v>331</v>
      </c>
      <c r="C138" s="847"/>
      <c r="D138" s="847"/>
      <c r="E138" s="847"/>
      <c r="F138" s="847"/>
      <c r="G138" s="842" t="s">
        <v>14</v>
      </c>
      <c r="H138" s="842"/>
      <c r="I138" s="920">
        <f>I125+I130+I137</f>
        <v>28968999.998883814</v>
      </c>
      <c r="J138" s="920"/>
      <c r="L138" s="323">
        <f>I138/J72</f>
        <v>0.30199949960385303</v>
      </c>
    </row>
    <row r="139" spans="1:12" ht="36" customHeight="1" x14ac:dyDescent="0.3">
      <c r="A139" s="591" t="s">
        <v>1</v>
      </c>
      <c r="B139" s="1013" t="s">
        <v>23</v>
      </c>
      <c r="C139" s="1014"/>
      <c r="D139" s="1014"/>
      <c r="E139" s="1014"/>
      <c r="F139" s="1015"/>
      <c r="G139" s="1013" t="s">
        <v>24</v>
      </c>
      <c r="H139" s="1015"/>
      <c r="I139" s="1013" t="s">
        <v>25</v>
      </c>
      <c r="J139" s="1015"/>
    </row>
    <row r="140" spans="1:12" ht="11.25" customHeight="1" x14ac:dyDescent="0.3">
      <c r="A140" s="566">
        <v>1</v>
      </c>
      <c r="B140" s="855">
        <v>2</v>
      </c>
      <c r="C140" s="856"/>
      <c r="D140" s="856"/>
      <c r="E140" s="856"/>
      <c r="F140" s="857"/>
      <c r="G140" s="855">
        <v>3</v>
      </c>
      <c r="H140" s="857"/>
      <c r="I140" s="855">
        <v>4</v>
      </c>
      <c r="J140" s="857"/>
    </row>
    <row r="141" spans="1:12" ht="20.25" customHeight="1" x14ac:dyDescent="0.3">
      <c r="A141" s="576" t="s">
        <v>70</v>
      </c>
      <c r="B141" s="902" t="s">
        <v>26</v>
      </c>
      <c r="C141" s="903"/>
      <c r="D141" s="903"/>
      <c r="E141" s="903"/>
      <c r="F141" s="904"/>
      <c r="G141" s="820" t="s">
        <v>14</v>
      </c>
      <c r="H141" s="822"/>
      <c r="I141" s="916">
        <f>SUM(I143:J145)</f>
        <v>42256</v>
      </c>
      <c r="J141" s="917"/>
    </row>
    <row r="142" spans="1:12" ht="18" customHeight="1" x14ac:dyDescent="0.3">
      <c r="A142" s="405"/>
      <c r="B142" s="820" t="s">
        <v>9</v>
      </c>
      <c r="C142" s="821"/>
      <c r="D142" s="821"/>
      <c r="E142" s="821"/>
      <c r="F142" s="822"/>
      <c r="G142" s="908"/>
      <c r="H142" s="909"/>
      <c r="I142" s="916"/>
      <c r="J142" s="917"/>
    </row>
    <row r="143" spans="1:12" s="317" customFormat="1" ht="20.25" customHeight="1" x14ac:dyDescent="0.3">
      <c r="A143" s="576" t="s">
        <v>27</v>
      </c>
      <c r="B143" s="1016" t="s">
        <v>28</v>
      </c>
      <c r="C143" s="1017"/>
      <c r="D143" s="1017"/>
      <c r="E143" s="1017"/>
      <c r="F143" s="1018"/>
      <c r="G143" s="1019">
        <f>J92</f>
        <v>192000</v>
      </c>
      <c r="H143" s="1020"/>
      <c r="I143" s="916">
        <f>G143*22%+16</f>
        <v>42256</v>
      </c>
      <c r="J143" s="917"/>
      <c r="K143" s="334"/>
    </row>
    <row r="144" spans="1:12" x14ac:dyDescent="0.3">
      <c r="A144" s="576" t="s">
        <v>29</v>
      </c>
      <c r="B144" s="809" t="s">
        <v>30</v>
      </c>
      <c r="C144" s="810"/>
      <c r="D144" s="810"/>
      <c r="E144" s="810"/>
      <c r="F144" s="811"/>
      <c r="G144" s="908"/>
      <c r="H144" s="909"/>
      <c r="I144" s="916"/>
      <c r="J144" s="917"/>
    </row>
    <row r="145" spans="1:13" ht="15" customHeight="1" x14ac:dyDescent="0.3">
      <c r="A145" s="576" t="s">
        <v>31</v>
      </c>
      <c r="B145" s="902" t="s">
        <v>32</v>
      </c>
      <c r="C145" s="903"/>
      <c r="D145" s="903"/>
      <c r="E145" s="903"/>
      <c r="F145" s="904"/>
      <c r="G145" s="908"/>
      <c r="H145" s="909"/>
      <c r="I145" s="916"/>
      <c r="J145" s="917"/>
    </row>
    <row r="146" spans="1:13" ht="15" customHeight="1" x14ac:dyDescent="0.3">
      <c r="A146" s="576" t="s">
        <v>75</v>
      </c>
      <c r="B146" s="902" t="s">
        <v>33</v>
      </c>
      <c r="C146" s="903"/>
      <c r="D146" s="903"/>
      <c r="E146" s="903"/>
      <c r="F146" s="904"/>
      <c r="G146" s="820" t="s">
        <v>14</v>
      </c>
      <c r="H146" s="822"/>
      <c r="I146" s="916">
        <f>SUM(I148:J152)</f>
        <v>5952</v>
      </c>
      <c r="J146" s="917"/>
    </row>
    <row r="147" spans="1:13" ht="15" customHeight="1" x14ac:dyDescent="0.3">
      <c r="A147" s="405"/>
      <c r="B147" s="820" t="s">
        <v>9</v>
      </c>
      <c r="C147" s="821"/>
      <c r="D147" s="821"/>
      <c r="E147" s="821"/>
      <c r="F147" s="822"/>
      <c r="G147" s="908"/>
      <c r="H147" s="909"/>
      <c r="I147" s="916"/>
      <c r="J147" s="917"/>
    </row>
    <row r="148" spans="1:13" ht="26.25" customHeight="1" x14ac:dyDescent="0.3">
      <c r="A148" s="576" t="s">
        <v>34</v>
      </c>
      <c r="B148" s="902" t="s">
        <v>35</v>
      </c>
      <c r="C148" s="903"/>
      <c r="D148" s="903"/>
      <c r="E148" s="903"/>
      <c r="F148" s="904"/>
      <c r="G148" s="1019">
        <f>G143</f>
        <v>192000</v>
      </c>
      <c r="H148" s="1020"/>
      <c r="I148" s="916">
        <f>G148*2.9%</f>
        <v>5568</v>
      </c>
      <c r="J148" s="917"/>
    </row>
    <row r="149" spans="1:13" x14ac:dyDescent="0.3">
      <c r="A149" s="576" t="s">
        <v>36</v>
      </c>
      <c r="B149" s="902" t="s">
        <v>37</v>
      </c>
      <c r="C149" s="903"/>
      <c r="D149" s="903"/>
      <c r="E149" s="903"/>
      <c r="F149" s="904"/>
      <c r="G149" s="908"/>
      <c r="H149" s="909"/>
      <c r="I149" s="916"/>
      <c r="J149" s="917"/>
    </row>
    <row r="150" spans="1:13" ht="26.25" customHeight="1" x14ac:dyDescent="0.3">
      <c r="A150" s="576" t="s">
        <v>38</v>
      </c>
      <c r="B150" s="902" t="s">
        <v>39</v>
      </c>
      <c r="C150" s="903"/>
      <c r="D150" s="903"/>
      <c r="E150" s="903"/>
      <c r="F150" s="904"/>
      <c r="G150" s="1019">
        <f>G143</f>
        <v>192000</v>
      </c>
      <c r="H150" s="1020"/>
      <c r="I150" s="916">
        <f>G150*0.2%</f>
        <v>384</v>
      </c>
      <c r="J150" s="917"/>
    </row>
    <row r="151" spans="1:13" s="317" customFormat="1" ht="14.25" customHeight="1" x14ac:dyDescent="0.3">
      <c r="A151" s="576" t="s">
        <v>40</v>
      </c>
      <c r="B151" s="902" t="s">
        <v>41</v>
      </c>
      <c r="C151" s="903"/>
      <c r="D151" s="903"/>
      <c r="E151" s="903"/>
      <c r="F151" s="904"/>
      <c r="G151" s="908"/>
      <c r="H151" s="909"/>
      <c r="I151" s="916"/>
      <c r="J151" s="917"/>
      <c r="K151" s="334"/>
    </row>
    <row r="152" spans="1:13" ht="15" customHeight="1" x14ac:dyDescent="0.3">
      <c r="A152" s="576" t="s">
        <v>42</v>
      </c>
      <c r="B152" s="902" t="s">
        <v>41</v>
      </c>
      <c r="C152" s="903"/>
      <c r="D152" s="903"/>
      <c r="E152" s="903"/>
      <c r="F152" s="904"/>
      <c r="G152" s="908"/>
      <c r="H152" s="909"/>
      <c r="I152" s="916"/>
      <c r="J152" s="917"/>
    </row>
    <row r="153" spans="1:13" x14ac:dyDescent="0.3">
      <c r="A153" s="576" t="s">
        <v>77</v>
      </c>
      <c r="B153" s="902" t="s">
        <v>43</v>
      </c>
      <c r="C153" s="903"/>
      <c r="D153" s="903"/>
      <c r="E153" s="903"/>
      <c r="F153" s="904"/>
      <c r="G153" s="1019">
        <f>G143</f>
        <v>192000</v>
      </c>
      <c r="H153" s="1020"/>
      <c r="I153" s="916">
        <f>G153*5.1%</f>
        <v>9792</v>
      </c>
      <c r="J153" s="917"/>
    </row>
    <row r="154" spans="1:13" x14ac:dyDescent="0.3">
      <c r="A154" s="576"/>
      <c r="B154" s="905" t="s">
        <v>380</v>
      </c>
      <c r="C154" s="906"/>
      <c r="D154" s="906"/>
      <c r="E154" s="906"/>
      <c r="F154" s="907"/>
      <c r="G154" s="812" t="s">
        <v>14</v>
      </c>
      <c r="H154" s="814"/>
      <c r="I154" s="1036">
        <f>I141+I146+I153</f>
        <v>58000</v>
      </c>
      <c r="J154" s="1037"/>
    </row>
    <row r="155" spans="1:13" x14ac:dyDescent="0.3">
      <c r="A155" s="576"/>
      <c r="B155" s="905" t="s">
        <v>567</v>
      </c>
      <c r="C155" s="906"/>
      <c r="D155" s="906"/>
      <c r="E155" s="906"/>
      <c r="F155" s="907"/>
      <c r="G155" s="582"/>
      <c r="H155" s="583"/>
      <c r="I155" s="1036">
        <v>0</v>
      </c>
      <c r="J155" s="1037"/>
    </row>
    <row r="156" spans="1:13" x14ac:dyDescent="0.3">
      <c r="A156" s="576"/>
      <c r="B156" s="812" t="s">
        <v>606</v>
      </c>
      <c r="C156" s="813"/>
      <c r="D156" s="813"/>
      <c r="E156" s="813"/>
      <c r="F156" s="814"/>
      <c r="G156" s="582"/>
      <c r="H156" s="583"/>
      <c r="I156" s="1032">
        <v>0</v>
      </c>
      <c r="J156" s="1033"/>
    </row>
    <row r="157" spans="1:13" s="317" customFormat="1" ht="18" customHeight="1" x14ac:dyDescent="0.3">
      <c r="A157" s="576"/>
      <c r="B157" s="847" t="s">
        <v>332</v>
      </c>
      <c r="C157" s="847"/>
      <c r="D157" s="847"/>
      <c r="E157" s="847"/>
      <c r="F157" s="847"/>
      <c r="G157" s="842" t="s">
        <v>14</v>
      </c>
      <c r="H157" s="842"/>
      <c r="I157" s="920">
        <f>I138+I154+I155+I156</f>
        <v>29026999.998883814</v>
      </c>
      <c r="J157" s="920"/>
      <c r="K157" s="522"/>
      <c r="L157" s="522"/>
      <c r="M157" s="325"/>
    </row>
    <row r="158" spans="1:13" s="317" customFormat="1" ht="3" hidden="1" customHeight="1" x14ac:dyDescent="0.3">
      <c r="A158" s="914" t="s">
        <v>468</v>
      </c>
      <c r="B158" s="914"/>
      <c r="C158" s="914"/>
      <c r="D158" s="914"/>
      <c r="E158" s="914"/>
      <c r="F158" s="914"/>
      <c r="G158" s="914"/>
      <c r="H158" s="914"/>
      <c r="I158" s="914"/>
      <c r="J158" s="914"/>
      <c r="K158" s="334"/>
    </row>
    <row r="159" spans="1:13" ht="19.5" hidden="1" customHeight="1" x14ac:dyDescent="0.3">
      <c r="A159" s="915" t="s">
        <v>377</v>
      </c>
      <c r="B159" s="915"/>
      <c r="C159" s="915"/>
      <c r="D159" s="915"/>
      <c r="E159" s="915"/>
      <c r="F159" s="915"/>
      <c r="G159" s="915"/>
      <c r="H159" s="915"/>
      <c r="I159" s="915"/>
      <c r="J159" s="915"/>
      <c r="K159" s="342"/>
      <c r="L159" s="320"/>
    </row>
    <row r="160" spans="1:13" ht="15" hidden="1" customHeight="1" x14ac:dyDescent="0.3">
      <c r="A160" s="372" t="s">
        <v>80</v>
      </c>
      <c r="B160" s="373"/>
      <c r="C160" s="377">
        <v>321</v>
      </c>
      <c r="D160" s="377"/>
      <c r="E160" s="377"/>
      <c r="F160" s="378"/>
      <c r="G160" s="378"/>
      <c r="H160" s="378"/>
      <c r="I160" s="378"/>
      <c r="J160" s="579"/>
      <c r="K160" s="342"/>
      <c r="L160" s="320"/>
    </row>
    <row r="161" spans="1:12" ht="16.5" hidden="1" customHeight="1" x14ac:dyDescent="0.3">
      <c r="A161" s="372" t="s">
        <v>81</v>
      </c>
      <c r="B161" s="373"/>
      <c r="C161" s="373"/>
      <c r="D161" s="373"/>
      <c r="E161" s="379"/>
      <c r="F161" s="380"/>
      <c r="G161" s="380"/>
      <c r="H161" s="380"/>
      <c r="I161" s="380"/>
      <c r="J161" s="257"/>
      <c r="K161" s="342"/>
      <c r="L161" s="320"/>
    </row>
    <row r="162" spans="1:12" ht="36" hidden="1" customHeight="1" x14ac:dyDescent="0.3">
      <c r="A162" s="566" t="s">
        <v>1</v>
      </c>
      <c r="B162" s="855" t="s">
        <v>44</v>
      </c>
      <c r="C162" s="856"/>
      <c r="D162" s="857"/>
      <c r="E162" s="855" t="s">
        <v>45</v>
      </c>
      <c r="F162" s="857"/>
      <c r="G162" s="855" t="s">
        <v>46</v>
      </c>
      <c r="H162" s="857"/>
      <c r="I162" s="855" t="s">
        <v>102</v>
      </c>
      <c r="J162" s="857"/>
      <c r="K162" s="342"/>
      <c r="L162" s="320"/>
    </row>
    <row r="163" spans="1:12" ht="16.5" hidden="1" customHeight="1" x14ac:dyDescent="0.3">
      <c r="A163" s="566">
        <v>1</v>
      </c>
      <c r="B163" s="855">
        <v>2</v>
      </c>
      <c r="C163" s="856"/>
      <c r="D163" s="857"/>
      <c r="E163" s="855">
        <v>3</v>
      </c>
      <c r="F163" s="857"/>
      <c r="G163" s="855">
        <v>4</v>
      </c>
      <c r="H163" s="857"/>
      <c r="I163" s="855">
        <v>5</v>
      </c>
      <c r="J163" s="857"/>
      <c r="K163" s="342"/>
      <c r="L163" s="320"/>
    </row>
    <row r="164" spans="1:12" ht="89.25" hidden="1" customHeight="1" x14ac:dyDescent="0.3">
      <c r="A164" s="590" t="s">
        <v>70</v>
      </c>
      <c r="B164" s="809" t="s">
        <v>368</v>
      </c>
      <c r="C164" s="810"/>
      <c r="D164" s="811"/>
      <c r="E164" s="820"/>
      <c r="F164" s="822"/>
      <c r="G164" s="820"/>
      <c r="H164" s="822"/>
      <c r="I164" s="820"/>
      <c r="J164" s="822"/>
    </row>
    <row r="165" spans="1:12" ht="28.5" hidden="1" customHeight="1" x14ac:dyDescent="0.3">
      <c r="A165" s="576" t="s">
        <v>75</v>
      </c>
      <c r="B165" s="809" t="s">
        <v>367</v>
      </c>
      <c r="C165" s="810"/>
      <c r="D165" s="811"/>
      <c r="E165" s="820"/>
      <c r="F165" s="822"/>
      <c r="G165" s="820"/>
      <c r="H165" s="822"/>
      <c r="I165" s="820"/>
      <c r="J165" s="822"/>
    </row>
    <row r="166" spans="1:12" ht="28.5" hidden="1" customHeight="1" x14ac:dyDescent="0.3">
      <c r="A166" s="576" t="s">
        <v>70</v>
      </c>
      <c r="B166" s="969" t="s">
        <v>373</v>
      </c>
      <c r="C166" s="970"/>
      <c r="D166" s="971"/>
      <c r="E166" s="820"/>
      <c r="F166" s="874"/>
      <c r="G166" s="820"/>
      <c r="H166" s="874"/>
      <c r="I166" s="820"/>
      <c r="J166" s="874"/>
    </row>
    <row r="167" spans="1:12" hidden="1" x14ac:dyDescent="0.3">
      <c r="A167" s="578"/>
      <c r="B167" s="905" t="s">
        <v>13</v>
      </c>
      <c r="C167" s="906"/>
      <c r="D167" s="907"/>
      <c r="E167" s="812" t="s">
        <v>14</v>
      </c>
      <c r="F167" s="814"/>
      <c r="G167" s="812" t="s">
        <v>14</v>
      </c>
      <c r="H167" s="814"/>
      <c r="I167" s="812">
        <f>SUM(I166)</f>
        <v>0</v>
      </c>
      <c r="J167" s="814"/>
    </row>
    <row r="168" spans="1:12" s="317" customFormat="1" ht="19.5" customHeight="1" x14ac:dyDescent="0.3">
      <c r="A168" s="915" t="s">
        <v>601</v>
      </c>
      <c r="B168" s="915"/>
      <c r="C168" s="915"/>
      <c r="D168" s="915"/>
      <c r="E168" s="915"/>
      <c r="F168" s="915"/>
      <c r="G168" s="915"/>
      <c r="H168" s="915"/>
      <c r="I168" s="915"/>
      <c r="J168" s="915"/>
      <c r="K168" s="334"/>
    </row>
    <row r="169" spans="1:12" s="317" customFormat="1" ht="21.75" customHeight="1" x14ac:dyDescent="0.3">
      <c r="A169" s="372" t="s">
        <v>80</v>
      </c>
      <c r="B169" s="373"/>
      <c r="C169" s="377">
        <v>321</v>
      </c>
      <c r="D169" s="377"/>
      <c r="E169" s="377"/>
      <c r="F169" s="378"/>
      <c r="G169" s="378"/>
      <c r="H169" s="378"/>
      <c r="I169" s="378"/>
      <c r="J169" s="579"/>
      <c r="K169" s="334"/>
    </row>
    <row r="170" spans="1:12" s="317" customFormat="1" ht="23.25" customHeight="1" x14ac:dyDescent="0.3">
      <c r="A170" s="372" t="s">
        <v>81</v>
      </c>
      <c r="B170" s="373"/>
      <c r="C170" s="373"/>
      <c r="D170" s="913" t="s">
        <v>195</v>
      </c>
      <c r="E170" s="913"/>
      <c r="F170" s="913"/>
      <c r="G170" s="913"/>
      <c r="H170" s="913"/>
      <c r="I170" s="913"/>
      <c r="J170" s="913"/>
      <c r="K170" s="334"/>
    </row>
    <row r="171" spans="1:12" s="317" customFormat="1" ht="19.5" customHeight="1" x14ac:dyDescent="0.3">
      <c r="A171" s="566" t="s">
        <v>1</v>
      </c>
      <c r="B171" s="855" t="s">
        <v>44</v>
      </c>
      <c r="C171" s="856"/>
      <c r="D171" s="857"/>
      <c r="E171" s="855" t="s">
        <v>45</v>
      </c>
      <c r="F171" s="857"/>
      <c r="G171" s="855" t="s">
        <v>46</v>
      </c>
      <c r="H171" s="857"/>
      <c r="I171" s="855" t="s">
        <v>102</v>
      </c>
      <c r="J171" s="857"/>
      <c r="K171" s="334"/>
    </row>
    <row r="172" spans="1:12" s="317" customFormat="1" ht="14.25" customHeight="1" x14ac:dyDescent="0.3">
      <c r="A172" s="566">
        <v>1</v>
      </c>
      <c r="B172" s="855">
        <v>2</v>
      </c>
      <c r="C172" s="856"/>
      <c r="D172" s="857"/>
      <c r="E172" s="855">
        <v>3</v>
      </c>
      <c r="F172" s="857"/>
      <c r="G172" s="855">
        <v>4</v>
      </c>
      <c r="H172" s="857"/>
      <c r="I172" s="855">
        <v>5</v>
      </c>
      <c r="J172" s="857"/>
      <c r="K172" s="334"/>
    </row>
    <row r="173" spans="1:12" s="317" customFormat="1" ht="45.75" customHeight="1" x14ac:dyDescent="0.3">
      <c r="A173" s="590" t="s">
        <v>70</v>
      </c>
      <c r="B173" s="809" t="s">
        <v>932</v>
      </c>
      <c r="C173" s="810"/>
      <c r="D173" s="811"/>
      <c r="E173" s="820">
        <v>189</v>
      </c>
      <c r="F173" s="822"/>
      <c r="G173" s="820">
        <v>160</v>
      </c>
      <c r="H173" s="822"/>
      <c r="I173" s="911">
        <f>60000*9</f>
        <v>540000</v>
      </c>
      <c r="J173" s="912"/>
      <c r="K173" s="334"/>
    </row>
    <row r="174" spans="1:12" s="317" customFormat="1" ht="0.75" hidden="1" customHeight="1" x14ac:dyDescent="0.3">
      <c r="A174" s="576" t="s">
        <v>75</v>
      </c>
      <c r="B174" s="820" t="s">
        <v>367</v>
      </c>
      <c r="C174" s="821"/>
      <c r="D174" s="822"/>
      <c r="E174" s="561"/>
      <c r="F174" s="562"/>
      <c r="G174" s="561"/>
      <c r="H174" s="562"/>
      <c r="I174" s="588"/>
      <c r="J174" s="589"/>
      <c r="K174" s="334"/>
    </row>
    <row r="175" spans="1:12" s="317" customFormat="1" ht="38.25" hidden="1" customHeight="1" x14ac:dyDescent="0.3">
      <c r="A175" s="576" t="s">
        <v>75</v>
      </c>
      <c r="B175" s="969" t="s">
        <v>960</v>
      </c>
      <c r="C175" s="970"/>
      <c r="D175" s="971"/>
      <c r="E175" s="820"/>
      <c r="F175" s="822"/>
      <c r="G175" s="820"/>
      <c r="H175" s="822"/>
      <c r="I175" s="911"/>
      <c r="J175" s="912"/>
      <c r="K175" s="334"/>
    </row>
    <row r="176" spans="1:12" s="317" customFormat="1" ht="18" customHeight="1" x14ac:dyDescent="0.3">
      <c r="A176" s="578"/>
      <c r="B176" s="812" t="s">
        <v>13</v>
      </c>
      <c r="C176" s="813"/>
      <c r="D176" s="814"/>
      <c r="E176" s="812" t="s">
        <v>14</v>
      </c>
      <c r="F176" s="814"/>
      <c r="G176" s="812" t="s">
        <v>14</v>
      </c>
      <c r="H176" s="814"/>
      <c r="I176" s="1414">
        <f>I173</f>
        <v>540000</v>
      </c>
      <c r="J176" s="1415"/>
      <c r="K176" s="334"/>
    </row>
    <row r="177" spans="1:12" s="317" customFormat="1" ht="18" customHeight="1" x14ac:dyDescent="0.3">
      <c r="A177" s="915" t="s">
        <v>369</v>
      </c>
      <c r="B177" s="915"/>
      <c r="C177" s="915"/>
      <c r="D177" s="915"/>
      <c r="E177" s="915"/>
      <c r="F177" s="915"/>
      <c r="G177" s="915"/>
      <c r="H177" s="915"/>
      <c r="I177" s="915"/>
      <c r="J177" s="915"/>
      <c r="K177" s="334"/>
    </row>
    <row r="178" spans="1:12" s="317" customFormat="1" ht="18" customHeight="1" x14ac:dyDescent="0.3">
      <c r="A178" s="372" t="s">
        <v>80</v>
      </c>
      <c r="B178" s="373"/>
      <c r="C178" s="377">
        <v>851</v>
      </c>
      <c r="D178" s="377">
        <v>852</v>
      </c>
      <c r="E178" s="377">
        <v>853</v>
      </c>
      <c r="F178" s="378"/>
      <c r="G178" s="378"/>
      <c r="H178" s="378"/>
      <c r="I178" s="378"/>
      <c r="J178" s="579"/>
      <c r="K178" s="334"/>
    </row>
    <row r="179" spans="1:12" s="317" customFormat="1" ht="18" customHeight="1" x14ac:dyDescent="0.3">
      <c r="A179" s="372" t="s">
        <v>81</v>
      </c>
      <c r="B179" s="373"/>
      <c r="C179" s="373"/>
      <c r="D179" s="913" t="s">
        <v>82</v>
      </c>
      <c r="E179" s="913"/>
      <c r="F179" s="913"/>
      <c r="G179" s="913"/>
      <c r="H179" s="913"/>
      <c r="I179" s="380"/>
      <c r="J179" s="257"/>
      <c r="K179" s="334"/>
    </row>
    <row r="180" spans="1:12" s="317" customFormat="1" ht="30.75" customHeight="1" x14ac:dyDescent="0.3">
      <c r="A180" s="566" t="s">
        <v>1</v>
      </c>
      <c r="B180" s="778" t="s">
        <v>15</v>
      </c>
      <c r="C180" s="778"/>
      <c r="D180" s="778"/>
      <c r="E180" s="778" t="s">
        <v>47</v>
      </c>
      <c r="F180" s="778"/>
      <c r="G180" s="778" t="s">
        <v>48</v>
      </c>
      <c r="H180" s="778"/>
      <c r="I180" s="778" t="s">
        <v>103</v>
      </c>
      <c r="J180" s="778"/>
      <c r="K180" s="334"/>
    </row>
    <row r="181" spans="1:12" s="317" customFormat="1" ht="18" customHeight="1" x14ac:dyDescent="0.3">
      <c r="A181" s="566">
        <v>1</v>
      </c>
      <c r="B181" s="778">
        <v>2</v>
      </c>
      <c r="C181" s="778"/>
      <c r="D181" s="778"/>
      <c r="E181" s="778">
        <v>3</v>
      </c>
      <c r="F181" s="778"/>
      <c r="G181" s="778">
        <v>4</v>
      </c>
      <c r="H181" s="778"/>
      <c r="I181" s="778">
        <v>5</v>
      </c>
      <c r="J181" s="778"/>
      <c r="K181" s="346" t="s">
        <v>728</v>
      </c>
    </row>
    <row r="182" spans="1:12" s="317" customFormat="1" ht="29.25" customHeight="1" x14ac:dyDescent="0.3">
      <c r="A182" s="872" t="s">
        <v>70</v>
      </c>
      <c r="B182" s="1034" t="s">
        <v>296</v>
      </c>
      <c r="C182" s="1035"/>
      <c r="D182" s="580" t="s">
        <v>813</v>
      </c>
      <c r="E182" s="993"/>
      <c r="F182" s="993"/>
      <c r="G182" s="994">
        <v>2.1999999999999999E-2</v>
      </c>
      <c r="H182" s="994"/>
      <c r="I182" s="876">
        <v>70000</v>
      </c>
      <c r="J182" s="876"/>
      <c r="K182" s="990">
        <f>I183+I182</f>
        <v>272000</v>
      </c>
    </row>
    <row r="183" spans="1:12" s="317" customFormat="1" ht="36" customHeight="1" x14ac:dyDescent="0.3">
      <c r="A183" s="884"/>
      <c r="B183" s="1035"/>
      <c r="C183" s="1035"/>
      <c r="D183" s="581" t="s">
        <v>814</v>
      </c>
      <c r="E183" s="993"/>
      <c r="F183" s="993"/>
      <c r="G183" s="994">
        <v>2.1999999999999999E-2</v>
      </c>
      <c r="H183" s="994"/>
      <c r="I183" s="876">
        <v>202000</v>
      </c>
      <c r="J183" s="876"/>
      <c r="K183" s="990"/>
    </row>
    <row r="184" spans="1:12" s="317" customFormat="1" ht="31.5" hidden="1" customHeight="1" x14ac:dyDescent="0.3">
      <c r="A184" s="576" t="s">
        <v>75</v>
      </c>
      <c r="B184" s="809" t="s">
        <v>298</v>
      </c>
      <c r="C184" s="810"/>
      <c r="D184" s="811"/>
      <c r="E184" s="826">
        <v>0</v>
      </c>
      <c r="F184" s="826"/>
      <c r="G184" s="826">
        <v>0</v>
      </c>
      <c r="H184" s="826"/>
      <c r="I184" s="876">
        <v>0</v>
      </c>
      <c r="J184" s="876"/>
      <c r="K184" s="334"/>
    </row>
    <row r="185" spans="1:12" s="317" customFormat="1" ht="46.5" hidden="1" customHeight="1" x14ac:dyDescent="0.3">
      <c r="A185" s="576" t="s">
        <v>77</v>
      </c>
      <c r="B185" s="809" t="s">
        <v>299</v>
      </c>
      <c r="C185" s="810"/>
      <c r="D185" s="811"/>
      <c r="E185" s="826">
        <v>0</v>
      </c>
      <c r="F185" s="826"/>
      <c r="G185" s="826">
        <v>0</v>
      </c>
      <c r="H185" s="826"/>
      <c r="I185" s="876">
        <v>0</v>
      </c>
      <c r="J185" s="876"/>
      <c r="K185" s="334"/>
    </row>
    <row r="186" spans="1:12" s="317" customFormat="1" ht="18" customHeight="1" x14ac:dyDescent="0.3">
      <c r="A186" s="576" t="s">
        <v>75</v>
      </c>
      <c r="B186" s="809" t="s">
        <v>297</v>
      </c>
      <c r="C186" s="810"/>
      <c r="D186" s="811"/>
      <c r="E186" s="820">
        <v>0</v>
      </c>
      <c r="F186" s="822"/>
      <c r="G186" s="820">
        <v>0</v>
      </c>
      <c r="H186" s="822"/>
      <c r="I186" s="1052">
        <v>4500</v>
      </c>
      <c r="J186" s="1053"/>
      <c r="K186" s="334"/>
    </row>
    <row r="187" spans="1:12" s="317" customFormat="1" ht="18" customHeight="1" x14ac:dyDescent="0.3">
      <c r="A187" s="578"/>
      <c r="B187" s="847" t="s">
        <v>13</v>
      </c>
      <c r="C187" s="847"/>
      <c r="D187" s="847"/>
      <c r="E187" s="842" t="s">
        <v>74</v>
      </c>
      <c r="F187" s="842"/>
      <c r="G187" s="842" t="s">
        <v>14</v>
      </c>
      <c r="H187" s="842"/>
      <c r="I187" s="848">
        <f>SUM(I182:J186)</f>
        <v>276500</v>
      </c>
      <c r="J187" s="1007"/>
      <c r="K187" s="334"/>
    </row>
    <row r="188" spans="1:12" s="317" customFormat="1" ht="18" hidden="1" customHeight="1" x14ac:dyDescent="0.3">
      <c r="A188" s="1054"/>
      <c r="B188" s="1054"/>
      <c r="C188" s="1054"/>
      <c r="D188" s="1054"/>
      <c r="E188" s="1054"/>
      <c r="F188" s="1054"/>
      <c r="G188" s="1054"/>
      <c r="H188" s="1054"/>
      <c r="I188" s="1054"/>
      <c r="J188" s="1054"/>
      <c r="K188" s="334"/>
    </row>
    <row r="189" spans="1:12" ht="27" hidden="1" customHeight="1" x14ac:dyDescent="0.3">
      <c r="A189" s="915" t="s">
        <v>85</v>
      </c>
      <c r="B189" s="915"/>
      <c r="C189" s="915"/>
      <c r="D189" s="915"/>
      <c r="E189" s="915"/>
      <c r="F189" s="915"/>
      <c r="G189" s="915"/>
      <c r="H189" s="915"/>
      <c r="I189" s="915"/>
      <c r="J189" s="915"/>
      <c r="K189" s="522"/>
      <c r="L189" s="522"/>
    </row>
    <row r="190" spans="1:12" s="317" customFormat="1" ht="15.75" hidden="1" customHeight="1" x14ac:dyDescent="0.3">
      <c r="A190" s="372" t="s">
        <v>80</v>
      </c>
      <c r="B190" s="373"/>
      <c r="C190" s="377"/>
      <c r="D190" s="377"/>
      <c r="E190" s="377"/>
      <c r="F190" s="378"/>
      <c r="G190" s="378"/>
      <c r="H190" s="378"/>
      <c r="I190" s="378"/>
      <c r="J190" s="579"/>
      <c r="K190" s="336"/>
      <c r="L190" s="326"/>
    </row>
    <row r="191" spans="1:12" s="317" customFormat="1" hidden="1" x14ac:dyDescent="0.3">
      <c r="A191" s="372" t="s">
        <v>81</v>
      </c>
      <c r="B191" s="373"/>
      <c r="C191" s="373"/>
      <c r="D191" s="373"/>
      <c r="E191" s="379"/>
      <c r="F191" s="380"/>
      <c r="G191" s="380"/>
      <c r="H191" s="380"/>
      <c r="I191" s="380"/>
      <c r="J191" s="257"/>
      <c r="K191" s="334"/>
    </row>
    <row r="192" spans="1:12" ht="24.75" hidden="1" customHeight="1" x14ac:dyDescent="0.3">
      <c r="A192" s="566" t="s">
        <v>1</v>
      </c>
      <c r="B192" s="778" t="s">
        <v>44</v>
      </c>
      <c r="C192" s="778"/>
      <c r="D192" s="778"/>
      <c r="E192" s="778" t="s">
        <v>45</v>
      </c>
      <c r="F192" s="778"/>
      <c r="G192" s="778" t="s">
        <v>46</v>
      </c>
      <c r="H192" s="778"/>
      <c r="I192" s="778" t="s">
        <v>102</v>
      </c>
      <c r="J192" s="778"/>
      <c r="K192" s="342"/>
      <c r="L192" s="320"/>
    </row>
    <row r="193" spans="1:13" ht="14.25" hidden="1" customHeight="1" x14ac:dyDescent="0.3">
      <c r="A193" s="566">
        <v>1</v>
      </c>
      <c r="B193" s="778">
        <v>2</v>
      </c>
      <c r="C193" s="778"/>
      <c r="D193" s="778"/>
      <c r="E193" s="778">
        <v>3</v>
      </c>
      <c r="F193" s="778"/>
      <c r="G193" s="778">
        <v>4</v>
      </c>
      <c r="H193" s="778"/>
      <c r="I193" s="778">
        <v>5</v>
      </c>
      <c r="J193" s="778"/>
      <c r="K193" s="343"/>
      <c r="L193" s="327"/>
    </row>
    <row r="194" spans="1:13" ht="15" hidden="1" customHeight="1" x14ac:dyDescent="0.3">
      <c r="A194" s="576"/>
      <c r="B194" s="820"/>
      <c r="C194" s="821"/>
      <c r="D194" s="822"/>
      <c r="E194" s="820"/>
      <c r="F194" s="822"/>
      <c r="G194" s="820"/>
      <c r="H194" s="822"/>
      <c r="I194" s="820"/>
      <c r="J194" s="822"/>
      <c r="K194" s="342"/>
      <c r="L194" s="320"/>
    </row>
    <row r="195" spans="1:13" ht="17.25" hidden="1" customHeight="1" x14ac:dyDescent="0.3">
      <c r="A195" s="578"/>
      <c r="B195" s="847" t="s">
        <v>13</v>
      </c>
      <c r="C195" s="847"/>
      <c r="D195" s="847"/>
      <c r="E195" s="842" t="s">
        <v>14</v>
      </c>
      <c r="F195" s="842"/>
      <c r="G195" s="842" t="s">
        <v>14</v>
      </c>
      <c r="H195" s="842"/>
      <c r="I195" s="842"/>
      <c r="J195" s="842"/>
      <c r="K195" s="342"/>
      <c r="L195" s="320"/>
    </row>
    <row r="196" spans="1:13" ht="16.5" customHeight="1" x14ac:dyDescent="0.3">
      <c r="A196" s="893" t="s">
        <v>91</v>
      </c>
      <c r="B196" s="893"/>
      <c r="C196" s="893"/>
      <c r="D196" s="893"/>
      <c r="E196" s="893"/>
      <c r="F196" s="893"/>
      <c r="G196" s="893"/>
      <c r="H196" s="893"/>
      <c r="I196" s="893"/>
      <c r="J196" s="893"/>
      <c r="K196" s="342"/>
      <c r="L196" s="320"/>
    </row>
    <row r="197" spans="1:13" ht="18" customHeight="1" x14ac:dyDescent="0.3">
      <c r="A197" s="372" t="s">
        <v>80</v>
      </c>
      <c r="B197" s="373"/>
      <c r="C197" s="377">
        <v>244</v>
      </c>
      <c r="D197" s="377"/>
      <c r="E197" s="377"/>
      <c r="F197" s="378"/>
      <c r="G197" s="378"/>
      <c r="H197" s="378"/>
      <c r="I197" s="378"/>
      <c r="J197" s="579"/>
      <c r="K197" s="342"/>
      <c r="L197" s="320"/>
    </row>
    <row r="198" spans="1:13" ht="18" customHeight="1" x14ac:dyDescent="0.3">
      <c r="A198" s="372" t="s">
        <v>81</v>
      </c>
      <c r="B198" s="373"/>
      <c r="C198" s="373"/>
      <c r="D198" s="373"/>
      <c r="E198" s="379" t="s">
        <v>82</v>
      </c>
      <c r="F198" s="380"/>
      <c r="G198" s="379"/>
      <c r="H198" s="380"/>
      <c r="I198" s="380"/>
      <c r="J198" s="257"/>
      <c r="K198" s="342"/>
      <c r="L198" s="320"/>
    </row>
    <row r="199" spans="1:13" ht="18" customHeight="1" x14ac:dyDescent="0.3">
      <c r="A199" s="871" t="s">
        <v>568</v>
      </c>
      <c r="B199" s="871"/>
      <c r="C199" s="871"/>
      <c r="D199" s="871"/>
      <c r="E199" s="871"/>
      <c r="F199" s="871"/>
      <c r="G199" s="871"/>
      <c r="H199" s="871"/>
      <c r="I199" s="871"/>
      <c r="J199" s="871"/>
      <c r="K199" s="342"/>
      <c r="L199" s="320"/>
    </row>
    <row r="200" spans="1:13" ht="15.75" customHeight="1" x14ac:dyDescent="0.3">
      <c r="A200" s="566" t="s">
        <v>1</v>
      </c>
      <c r="B200" s="778" t="s">
        <v>44</v>
      </c>
      <c r="C200" s="778"/>
      <c r="D200" s="778"/>
      <c r="E200" s="778" t="s">
        <v>45</v>
      </c>
      <c r="F200" s="778"/>
      <c r="G200" s="778" t="s">
        <v>46</v>
      </c>
      <c r="H200" s="778"/>
      <c r="I200" s="778" t="s">
        <v>102</v>
      </c>
      <c r="J200" s="778"/>
      <c r="K200" s="333"/>
      <c r="L200" s="320"/>
    </row>
    <row r="201" spans="1:13" ht="12.75" customHeight="1" x14ac:dyDescent="0.3">
      <c r="A201" s="566">
        <v>1</v>
      </c>
      <c r="B201" s="778">
        <v>2</v>
      </c>
      <c r="C201" s="778"/>
      <c r="D201" s="778"/>
      <c r="E201" s="778">
        <v>3</v>
      </c>
      <c r="F201" s="778"/>
      <c r="G201" s="778">
        <v>4</v>
      </c>
      <c r="H201" s="778"/>
      <c r="I201" s="778">
        <v>5</v>
      </c>
      <c r="J201" s="778"/>
      <c r="K201" s="342"/>
      <c r="L201" s="320"/>
    </row>
    <row r="202" spans="1:13" ht="21.75" customHeight="1" x14ac:dyDescent="0.3">
      <c r="A202" s="576" t="s">
        <v>70</v>
      </c>
      <c r="B202" s="809" t="s">
        <v>569</v>
      </c>
      <c r="C202" s="810"/>
      <c r="D202" s="811"/>
      <c r="E202" s="820">
        <v>8500</v>
      </c>
      <c r="F202" s="822"/>
      <c r="G202" s="820">
        <v>1</v>
      </c>
      <c r="H202" s="822"/>
      <c r="I202" s="897">
        <v>8500</v>
      </c>
      <c r="J202" s="898"/>
      <c r="K202" s="342"/>
      <c r="L202" s="328"/>
    </row>
    <row r="203" spans="1:13" ht="38.25" hidden="1" customHeight="1" x14ac:dyDescent="0.3">
      <c r="A203" s="576" t="s">
        <v>75</v>
      </c>
      <c r="B203" s="999" t="s">
        <v>542</v>
      </c>
      <c r="C203" s="1000"/>
      <c r="D203" s="1001"/>
      <c r="E203" s="820">
        <f>1625-1625</f>
        <v>0</v>
      </c>
      <c r="F203" s="822"/>
      <c r="G203" s="820">
        <v>2</v>
      </c>
      <c r="H203" s="822"/>
      <c r="I203" s="897">
        <f>E203*G203</f>
        <v>0</v>
      </c>
      <c r="J203" s="898"/>
      <c r="K203" s="342"/>
      <c r="L203" s="328"/>
    </row>
    <row r="204" spans="1:13" ht="15" customHeight="1" x14ac:dyDescent="0.3">
      <c r="A204" s="576"/>
      <c r="B204" s="847" t="s">
        <v>13</v>
      </c>
      <c r="C204" s="847"/>
      <c r="D204" s="847"/>
      <c r="E204" s="842" t="s">
        <v>14</v>
      </c>
      <c r="F204" s="842"/>
      <c r="G204" s="842" t="s">
        <v>14</v>
      </c>
      <c r="H204" s="842"/>
      <c r="I204" s="896">
        <f>I202+I203</f>
        <v>8500</v>
      </c>
      <c r="J204" s="896"/>
      <c r="K204" s="342"/>
      <c r="L204" s="320"/>
      <c r="M204" s="322"/>
    </row>
    <row r="205" spans="1:13" ht="29.25" customHeight="1" x14ac:dyDescent="0.3">
      <c r="A205" s="893" t="s">
        <v>49</v>
      </c>
      <c r="B205" s="893"/>
      <c r="C205" s="893"/>
      <c r="D205" s="893"/>
      <c r="E205" s="893"/>
      <c r="F205" s="893"/>
      <c r="G205" s="893"/>
      <c r="H205" s="893"/>
      <c r="I205" s="893"/>
      <c r="J205" s="893"/>
      <c r="K205" s="342"/>
      <c r="L205" s="320"/>
      <c r="M205" s="322"/>
    </row>
    <row r="206" spans="1:13" ht="19.5" customHeight="1" x14ac:dyDescent="0.3">
      <c r="A206" s="372" t="s">
        <v>80</v>
      </c>
      <c r="B206" s="373"/>
      <c r="C206" s="377" t="s">
        <v>997</v>
      </c>
      <c r="D206" s="377"/>
      <c r="E206" s="377"/>
      <c r="F206" s="378"/>
      <c r="G206" s="378"/>
      <c r="H206" s="378"/>
      <c r="I206" s="378"/>
      <c r="J206" s="579"/>
      <c r="K206" s="342"/>
      <c r="L206" s="320"/>
      <c r="M206" s="322"/>
    </row>
    <row r="207" spans="1:13" ht="17.25" customHeight="1" x14ac:dyDescent="0.3">
      <c r="A207" s="372" t="s">
        <v>81</v>
      </c>
      <c r="B207" s="373"/>
      <c r="C207" s="373"/>
      <c r="D207" s="373"/>
      <c r="E207" s="379" t="s">
        <v>82</v>
      </c>
      <c r="F207" s="380"/>
      <c r="G207" s="379" t="s">
        <v>195</v>
      </c>
      <c r="H207" s="380"/>
      <c r="I207" s="379" t="s">
        <v>989</v>
      </c>
      <c r="J207" s="257"/>
      <c r="K207" s="342"/>
      <c r="L207" s="320"/>
      <c r="M207" s="322"/>
    </row>
    <row r="208" spans="1:13" ht="17.25" customHeight="1" x14ac:dyDescent="0.3">
      <c r="A208" s="893" t="s">
        <v>301</v>
      </c>
      <c r="B208" s="893"/>
      <c r="C208" s="893"/>
      <c r="D208" s="893"/>
      <c r="E208" s="893"/>
      <c r="F208" s="893"/>
      <c r="G208" s="893"/>
      <c r="H208" s="893"/>
      <c r="I208" s="893"/>
      <c r="J208" s="893"/>
      <c r="K208" s="342"/>
      <c r="L208" s="320"/>
      <c r="M208" s="322"/>
    </row>
    <row r="209" spans="1:14" ht="38.25" customHeight="1" x14ac:dyDescent="0.3">
      <c r="A209" s="566" t="s">
        <v>1</v>
      </c>
      <c r="B209" s="778" t="s">
        <v>15</v>
      </c>
      <c r="C209" s="778"/>
      <c r="D209" s="778"/>
      <c r="E209" s="566" t="s">
        <v>50</v>
      </c>
      <c r="F209" s="566" t="s">
        <v>51</v>
      </c>
      <c r="G209" s="778" t="s">
        <v>52</v>
      </c>
      <c r="H209" s="778"/>
      <c r="I209" s="778" t="s">
        <v>104</v>
      </c>
      <c r="J209" s="778"/>
      <c r="K209" s="342"/>
      <c r="L209" s="320"/>
      <c r="M209" s="322"/>
    </row>
    <row r="210" spans="1:14" ht="15" customHeight="1" x14ac:dyDescent="0.3">
      <c r="A210" s="566">
        <v>1</v>
      </c>
      <c r="B210" s="778">
        <v>2</v>
      </c>
      <c r="C210" s="778"/>
      <c r="D210" s="778"/>
      <c r="E210" s="566">
        <v>3</v>
      </c>
      <c r="F210" s="566">
        <v>4</v>
      </c>
      <c r="G210" s="778">
        <v>5</v>
      </c>
      <c r="H210" s="778"/>
      <c r="I210" s="778">
        <v>6</v>
      </c>
      <c r="J210" s="778"/>
      <c r="K210" s="342"/>
      <c r="L210" s="320"/>
      <c r="M210" s="322"/>
    </row>
    <row r="211" spans="1:14" ht="14.25" customHeight="1" x14ac:dyDescent="0.3">
      <c r="A211" s="578">
        <v>1</v>
      </c>
      <c r="B211" s="827" t="s">
        <v>348</v>
      </c>
      <c r="C211" s="828"/>
      <c r="D211" s="829"/>
      <c r="E211" s="387" t="s">
        <v>74</v>
      </c>
      <c r="F211" s="387" t="s">
        <v>74</v>
      </c>
      <c r="G211" s="1043" t="s">
        <v>74</v>
      </c>
      <c r="H211" s="1043"/>
      <c r="I211" s="1044">
        <f>I212+I213+I214+I215</f>
        <v>50000</v>
      </c>
      <c r="J211" s="1044"/>
      <c r="K211" s="342"/>
      <c r="L211" s="320"/>
      <c r="M211" s="322"/>
    </row>
    <row r="212" spans="1:14" ht="15" customHeight="1" x14ac:dyDescent="0.3">
      <c r="A212" s="576" t="s">
        <v>349</v>
      </c>
      <c r="B212" s="835" t="s">
        <v>93</v>
      </c>
      <c r="C212" s="835"/>
      <c r="D212" s="835"/>
      <c r="E212" s="576">
        <v>6</v>
      </c>
      <c r="F212" s="576">
        <v>12</v>
      </c>
      <c r="G212" s="1050">
        <v>3867</v>
      </c>
      <c r="H212" s="1050"/>
      <c r="I212" s="876">
        <v>46000</v>
      </c>
      <c r="J212" s="876"/>
      <c r="K212" s="344"/>
      <c r="L212" s="321"/>
      <c r="M212" s="322"/>
    </row>
    <row r="213" spans="1:14" x14ac:dyDescent="0.3">
      <c r="A213" s="576" t="s">
        <v>350</v>
      </c>
      <c r="B213" s="835" t="s">
        <v>791</v>
      </c>
      <c r="C213" s="835"/>
      <c r="D213" s="835"/>
      <c r="E213" s="578"/>
      <c r="F213" s="578"/>
      <c r="G213" s="1051"/>
      <c r="H213" s="1051"/>
      <c r="I213" s="876">
        <v>3000</v>
      </c>
      <c r="J213" s="876"/>
      <c r="M213" s="322"/>
    </row>
    <row r="214" spans="1:14" ht="30" customHeight="1" x14ac:dyDescent="0.3">
      <c r="A214" s="576" t="s">
        <v>351</v>
      </c>
      <c r="B214" s="835" t="s">
        <v>96</v>
      </c>
      <c r="C214" s="835"/>
      <c r="D214" s="835"/>
      <c r="E214" s="576">
        <v>1</v>
      </c>
      <c r="F214" s="576">
        <v>1</v>
      </c>
      <c r="G214" s="875">
        <v>1000</v>
      </c>
      <c r="H214" s="875"/>
      <c r="I214" s="876">
        <v>1000</v>
      </c>
      <c r="J214" s="876"/>
      <c r="M214" s="322"/>
    </row>
    <row r="215" spans="1:14" hidden="1" x14ac:dyDescent="0.3">
      <c r="A215" s="576" t="s">
        <v>268</v>
      </c>
      <c r="B215" s="835" t="s">
        <v>199</v>
      </c>
      <c r="C215" s="835"/>
      <c r="D215" s="835"/>
      <c r="E215" s="576"/>
      <c r="F215" s="576"/>
      <c r="G215" s="875"/>
      <c r="H215" s="875"/>
      <c r="I215" s="876"/>
      <c r="J215" s="876"/>
      <c r="M215" s="322"/>
    </row>
    <row r="216" spans="1:14" hidden="1" x14ac:dyDescent="0.3">
      <c r="A216" s="578">
        <v>2</v>
      </c>
      <c r="B216" s="827" t="s">
        <v>352</v>
      </c>
      <c r="C216" s="828"/>
      <c r="D216" s="829"/>
      <c r="E216" s="387" t="s">
        <v>74</v>
      </c>
      <c r="F216" s="387" t="s">
        <v>74</v>
      </c>
      <c r="G216" s="1043" t="s">
        <v>74</v>
      </c>
      <c r="H216" s="1043"/>
      <c r="I216" s="1044">
        <f>I217</f>
        <v>0</v>
      </c>
      <c r="J216" s="1044"/>
      <c r="M216" s="322"/>
    </row>
    <row r="217" spans="1:14" s="317" customFormat="1" ht="19.5" hidden="1" customHeight="1" x14ac:dyDescent="0.3">
      <c r="A217" s="576" t="s">
        <v>353</v>
      </c>
      <c r="B217" s="835" t="s">
        <v>199</v>
      </c>
      <c r="C217" s="835"/>
      <c r="D217" s="835"/>
      <c r="E217" s="576">
        <v>1</v>
      </c>
      <c r="F217" s="576">
        <v>10</v>
      </c>
      <c r="G217" s="875">
        <v>0</v>
      </c>
      <c r="H217" s="875"/>
      <c r="I217" s="876">
        <v>0</v>
      </c>
      <c r="J217" s="876"/>
      <c r="K217" s="334"/>
    </row>
    <row r="218" spans="1:14" ht="16.5" customHeight="1" x14ac:dyDescent="0.3">
      <c r="A218" s="576"/>
      <c r="B218" s="847" t="s">
        <v>332</v>
      </c>
      <c r="C218" s="847"/>
      <c r="D218" s="847"/>
      <c r="E218" s="578" t="s">
        <v>14</v>
      </c>
      <c r="F218" s="578" t="s">
        <v>14</v>
      </c>
      <c r="G218" s="842" t="s">
        <v>14</v>
      </c>
      <c r="H218" s="842"/>
      <c r="I218" s="848">
        <f>I211+I216</f>
        <v>50000</v>
      </c>
      <c r="J218" s="1007"/>
      <c r="K218" s="345"/>
      <c r="N218" s="408"/>
    </row>
    <row r="219" spans="1:14" ht="12" hidden="1" customHeight="1" x14ac:dyDescent="0.3">
      <c r="A219" s="409"/>
      <c r="B219" s="373"/>
      <c r="C219" s="373"/>
      <c r="D219" s="373"/>
      <c r="E219" s="373"/>
      <c r="F219" s="373"/>
      <c r="G219" s="373"/>
      <c r="H219" s="373"/>
      <c r="I219" s="373"/>
      <c r="J219" s="587"/>
      <c r="M219" s="329"/>
    </row>
    <row r="220" spans="1:14" ht="18.75" hidden="1" customHeight="1" x14ac:dyDescent="0.3">
      <c r="A220" s="893" t="s">
        <v>285</v>
      </c>
      <c r="B220" s="893"/>
      <c r="C220" s="893"/>
      <c r="D220" s="893"/>
      <c r="E220" s="893"/>
      <c r="F220" s="893"/>
      <c r="G220" s="893"/>
      <c r="H220" s="893"/>
      <c r="I220" s="893"/>
      <c r="J220" s="893"/>
      <c r="M220" s="329"/>
    </row>
    <row r="221" spans="1:14" ht="12.75" hidden="1" customHeight="1" x14ac:dyDescent="0.3">
      <c r="A221" s="566" t="s">
        <v>1</v>
      </c>
      <c r="B221" s="778" t="s">
        <v>15</v>
      </c>
      <c r="C221" s="778"/>
      <c r="D221" s="778"/>
      <c r="E221" s="778" t="s">
        <v>53</v>
      </c>
      <c r="F221" s="778"/>
      <c r="G221" s="778" t="s">
        <v>54</v>
      </c>
      <c r="H221" s="778"/>
      <c r="I221" s="778" t="s">
        <v>264</v>
      </c>
      <c r="J221" s="778"/>
      <c r="M221" s="329"/>
    </row>
    <row r="222" spans="1:14" ht="15" hidden="1" customHeight="1" x14ac:dyDescent="0.3">
      <c r="A222" s="566">
        <v>1</v>
      </c>
      <c r="B222" s="778">
        <v>2</v>
      </c>
      <c r="C222" s="778"/>
      <c r="D222" s="778"/>
      <c r="E222" s="778">
        <v>3</v>
      </c>
      <c r="F222" s="778"/>
      <c r="G222" s="778">
        <v>4</v>
      </c>
      <c r="H222" s="778"/>
      <c r="I222" s="778">
        <v>5</v>
      </c>
      <c r="J222" s="778"/>
      <c r="M222" s="329"/>
    </row>
    <row r="223" spans="1:14" ht="16.5" hidden="1" customHeight="1" x14ac:dyDescent="0.3">
      <c r="A223" s="576">
        <v>1</v>
      </c>
      <c r="B223" s="927" t="s">
        <v>715</v>
      </c>
      <c r="C223" s="928"/>
      <c r="D223" s="929"/>
      <c r="E223" s="826"/>
      <c r="F223" s="826"/>
      <c r="G223" s="860"/>
      <c r="H223" s="860"/>
      <c r="I223" s="860">
        <f>E223*G223</f>
        <v>0</v>
      </c>
      <c r="J223" s="860"/>
      <c r="M223" s="329"/>
    </row>
    <row r="224" spans="1:14" hidden="1" x14ac:dyDescent="0.3">
      <c r="A224" s="576"/>
      <c r="B224" s="847" t="s">
        <v>13</v>
      </c>
      <c r="C224" s="847"/>
      <c r="D224" s="847"/>
      <c r="E224" s="842" t="s">
        <v>74</v>
      </c>
      <c r="F224" s="842"/>
      <c r="G224" s="842" t="s">
        <v>74</v>
      </c>
      <c r="H224" s="842"/>
      <c r="I224" s="1055">
        <f>I223</f>
        <v>0</v>
      </c>
      <c r="J224" s="842"/>
    </row>
    <row r="225" spans="1:17" ht="24" customHeight="1" x14ac:dyDescent="0.3">
      <c r="A225" s="410" t="s">
        <v>806</v>
      </c>
      <c r="B225" s="410"/>
      <c r="C225" s="410"/>
      <c r="D225" s="410"/>
      <c r="E225" s="410"/>
      <c r="F225" s="410"/>
      <c r="G225" s="410"/>
      <c r="H225" s="410"/>
      <c r="I225" s="410"/>
      <c r="J225" s="520"/>
    </row>
    <row r="226" spans="1:17" s="317" customFormat="1" ht="25.5" customHeight="1" x14ac:dyDescent="0.3">
      <c r="A226" s="566" t="s">
        <v>1</v>
      </c>
      <c r="B226" s="778" t="s">
        <v>44</v>
      </c>
      <c r="C226" s="778"/>
      <c r="D226" s="778"/>
      <c r="E226" s="566" t="s">
        <v>55</v>
      </c>
      <c r="F226" s="778" t="s">
        <v>56</v>
      </c>
      <c r="G226" s="778"/>
      <c r="H226" s="566" t="s">
        <v>57</v>
      </c>
      <c r="I226" s="778" t="s">
        <v>104</v>
      </c>
      <c r="J226" s="778"/>
      <c r="K226" s="867" t="s">
        <v>776</v>
      </c>
    </row>
    <row r="227" spans="1:17" s="317" customFormat="1" ht="15.75" customHeight="1" x14ac:dyDescent="0.3">
      <c r="A227" s="566">
        <v>1</v>
      </c>
      <c r="B227" s="778">
        <v>2</v>
      </c>
      <c r="C227" s="778"/>
      <c r="D227" s="778"/>
      <c r="E227" s="566">
        <v>3</v>
      </c>
      <c r="F227" s="778">
        <v>4</v>
      </c>
      <c r="G227" s="778"/>
      <c r="H227" s="566">
        <v>5</v>
      </c>
      <c r="I227" s="778">
        <v>6</v>
      </c>
      <c r="J227" s="778"/>
      <c r="K227" s="867"/>
    </row>
    <row r="228" spans="1:17" s="445" customFormat="1" ht="30" customHeight="1" x14ac:dyDescent="0.3">
      <c r="A228" s="578">
        <v>1</v>
      </c>
      <c r="B228" s="827" t="s">
        <v>588</v>
      </c>
      <c r="C228" s="828"/>
      <c r="D228" s="829"/>
      <c r="E228" s="444">
        <f>SUM(E229:E231)</f>
        <v>825</v>
      </c>
      <c r="F228" s="830"/>
      <c r="G228" s="831"/>
      <c r="H228" s="497">
        <f>F230/F229-100%</f>
        <v>0</v>
      </c>
      <c r="I228" s="834">
        <f>I229+I230+I231</f>
        <v>51768.75</v>
      </c>
      <c r="J228" s="834"/>
      <c r="K228" s="846" t="s">
        <v>848</v>
      </c>
      <c r="L228" s="541">
        <v>772</v>
      </c>
    </row>
    <row r="229" spans="1:17" ht="17.25" customHeight="1" x14ac:dyDescent="0.3">
      <c r="A229" s="817"/>
      <c r="B229" s="826" t="s">
        <v>945</v>
      </c>
      <c r="C229" s="826"/>
      <c r="D229" s="826"/>
      <c r="E229" s="577">
        <v>472</v>
      </c>
      <c r="F229" s="823">
        <v>62.75</v>
      </c>
      <c r="G229" s="824"/>
      <c r="H229" s="497">
        <f t="shared" ref="H229:H231" si="23">F231/F230-100%</f>
        <v>0</v>
      </c>
      <c r="I229" s="825">
        <f>E229*F229</f>
        <v>29618</v>
      </c>
      <c r="J229" s="825"/>
      <c r="K229" s="846"/>
      <c r="L229" s="323">
        <f>I229+I230+I233+I234</f>
        <v>127201.28000000001</v>
      </c>
      <c r="O229" s="173">
        <v>57.21</v>
      </c>
      <c r="Q229" s="173">
        <v>55.33</v>
      </c>
    </row>
    <row r="230" spans="1:17" ht="17.25" customHeight="1" x14ac:dyDescent="0.3">
      <c r="A230" s="818"/>
      <c r="B230" s="826" t="s">
        <v>946</v>
      </c>
      <c r="C230" s="826"/>
      <c r="D230" s="826"/>
      <c r="E230" s="577">
        <v>273</v>
      </c>
      <c r="F230" s="823">
        <v>62.75</v>
      </c>
      <c r="G230" s="824"/>
      <c r="H230" s="497">
        <f t="shared" si="23"/>
        <v>-1</v>
      </c>
      <c r="I230" s="825">
        <f>E230*F230</f>
        <v>17130.75</v>
      </c>
      <c r="J230" s="825"/>
      <c r="K230" s="846"/>
      <c r="O230" s="173">
        <f>O229*E228</f>
        <v>47198.25</v>
      </c>
    </row>
    <row r="231" spans="1:17" ht="15.75" customHeight="1" x14ac:dyDescent="0.3">
      <c r="A231" s="819"/>
      <c r="B231" s="812" t="s">
        <v>719</v>
      </c>
      <c r="C231" s="813"/>
      <c r="D231" s="814"/>
      <c r="E231" s="577">
        <v>80</v>
      </c>
      <c r="F231" s="823">
        <v>62.75</v>
      </c>
      <c r="G231" s="824"/>
      <c r="H231" s="497" t="e">
        <f t="shared" si="23"/>
        <v>#DIV/0!</v>
      </c>
      <c r="I231" s="825">
        <f>E231*F231</f>
        <v>5020</v>
      </c>
      <c r="J231" s="825"/>
      <c r="K231" s="560"/>
    </row>
    <row r="232" spans="1:17" s="445" customFormat="1" ht="31.95" customHeight="1" x14ac:dyDescent="0.3">
      <c r="A232" s="578">
        <v>2</v>
      </c>
      <c r="B232" s="827" t="s">
        <v>589</v>
      </c>
      <c r="C232" s="828"/>
      <c r="D232" s="829"/>
      <c r="E232" s="444">
        <f>SUM(E233:E235)</f>
        <v>39</v>
      </c>
      <c r="F232" s="830"/>
      <c r="G232" s="831"/>
      <c r="H232" s="497">
        <f>F234/F233-100%</f>
        <v>0</v>
      </c>
      <c r="I232" s="832">
        <f>I233+I234+I235</f>
        <v>89650.650000000009</v>
      </c>
      <c r="J232" s="833"/>
      <c r="K232" s="846" t="s">
        <v>849</v>
      </c>
      <c r="L232" s="539">
        <v>33</v>
      </c>
    </row>
    <row r="233" spans="1:17" ht="17.25" customHeight="1" x14ac:dyDescent="0.3">
      <c r="A233" s="817"/>
      <c r="B233" s="820" t="s">
        <v>947</v>
      </c>
      <c r="C233" s="821"/>
      <c r="D233" s="822"/>
      <c r="E233" s="577">
        <v>21</v>
      </c>
      <c r="F233" s="823">
        <v>2299.5300000000002</v>
      </c>
      <c r="G233" s="824"/>
      <c r="H233" s="498"/>
      <c r="I233" s="825">
        <f>E233*F233-31.02</f>
        <v>48259.110000000008</v>
      </c>
      <c r="J233" s="825"/>
      <c r="K233" s="846"/>
      <c r="O233" s="173">
        <v>2108.31</v>
      </c>
    </row>
    <row r="234" spans="1:17" ht="16.5" customHeight="1" x14ac:dyDescent="0.3">
      <c r="A234" s="818"/>
      <c r="B234" s="826" t="s">
        <v>948</v>
      </c>
      <c r="C234" s="826"/>
      <c r="D234" s="826"/>
      <c r="E234" s="577">
        <v>14</v>
      </c>
      <c r="F234" s="823">
        <v>2299.5300000000002</v>
      </c>
      <c r="G234" s="824"/>
      <c r="H234" s="498"/>
      <c r="I234" s="825">
        <f>E234*F234</f>
        <v>32193.420000000002</v>
      </c>
      <c r="J234" s="825"/>
      <c r="K234" s="846"/>
      <c r="O234" s="173">
        <f>O233*E232</f>
        <v>82224.09</v>
      </c>
    </row>
    <row r="235" spans="1:17" ht="19.5" customHeight="1" x14ac:dyDescent="0.3">
      <c r="A235" s="819"/>
      <c r="B235" s="812" t="s">
        <v>719</v>
      </c>
      <c r="C235" s="813"/>
      <c r="D235" s="814"/>
      <c r="E235" s="577">
        <v>4</v>
      </c>
      <c r="F235" s="823">
        <v>2299.5300000000002</v>
      </c>
      <c r="G235" s="824"/>
      <c r="H235" s="498"/>
      <c r="I235" s="825">
        <f>E235*F235</f>
        <v>9198.1200000000008</v>
      </c>
      <c r="J235" s="825"/>
      <c r="K235" s="560"/>
    </row>
    <row r="236" spans="1:17" s="445" customFormat="1" ht="22.5" customHeight="1" x14ac:dyDescent="0.3">
      <c r="A236" s="578">
        <v>3</v>
      </c>
      <c r="B236" s="827" t="s">
        <v>153</v>
      </c>
      <c r="C236" s="828"/>
      <c r="D236" s="829"/>
      <c r="E236" s="444">
        <f>SUM(E237:E239)</f>
        <v>1389</v>
      </c>
      <c r="F236" s="830"/>
      <c r="G236" s="831"/>
      <c r="H236" s="497">
        <f>F238/F237-100%</f>
        <v>0</v>
      </c>
      <c r="I236" s="834">
        <f>I237+I238+I239</f>
        <v>87159.75</v>
      </c>
      <c r="J236" s="834"/>
      <c r="K236" s="846" t="s">
        <v>850</v>
      </c>
      <c r="L236" s="540">
        <v>1068</v>
      </c>
      <c r="M236" s="447"/>
    </row>
    <row r="237" spans="1:17" ht="22.5" customHeight="1" x14ac:dyDescent="0.3">
      <c r="A237" s="817"/>
      <c r="B237" s="820" t="s">
        <v>955</v>
      </c>
      <c r="C237" s="821"/>
      <c r="D237" s="822"/>
      <c r="E237" s="577">
        <v>833</v>
      </c>
      <c r="F237" s="823">
        <v>62.75</v>
      </c>
      <c r="G237" s="824"/>
      <c r="H237" s="498"/>
      <c r="I237" s="825">
        <f>E237*F237</f>
        <v>52270.75</v>
      </c>
      <c r="J237" s="825"/>
      <c r="K237" s="846"/>
      <c r="L237" s="323">
        <f>I237+I238+I241+I242</f>
        <v>223636.82</v>
      </c>
      <c r="O237" s="173">
        <v>57.21</v>
      </c>
      <c r="Q237" s="173">
        <v>55.33</v>
      </c>
    </row>
    <row r="238" spans="1:17" ht="25.5" customHeight="1" x14ac:dyDescent="0.3">
      <c r="A238" s="818"/>
      <c r="B238" s="826" t="s">
        <v>949</v>
      </c>
      <c r="C238" s="826"/>
      <c r="D238" s="826"/>
      <c r="E238" s="577">
        <v>421</v>
      </c>
      <c r="F238" s="823">
        <v>62.75</v>
      </c>
      <c r="G238" s="824"/>
      <c r="H238" s="498"/>
      <c r="I238" s="825">
        <f>E238*F238</f>
        <v>26417.75</v>
      </c>
      <c r="J238" s="825"/>
      <c r="K238" s="846"/>
      <c r="O238" s="173">
        <f>O237*E236</f>
        <v>79464.69</v>
      </c>
    </row>
    <row r="239" spans="1:17" ht="16.5" customHeight="1" x14ac:dyDescent="0.3">
      <c r="A239" s="819"/>
      <c r="B239" s="812" t="s">
        <v>719</v>
      </c>
      <c r="C239" s="813"/>
      <c r="D239" s="814"/>
      <c r="E239" s="577">
        <v>135</v>
      </c>
      <c r="F239" s="823">
        <v>62.75</v>
      </c>
      <c r="G239" s="824"/>
      <c r="H239" s="498"/>
      <c r="I239" s="807">
        <f>E239*F239</f>
        <v>8471.25</v>
      </c>
      <c r="J239" s="808"/>
      <c r="K239" s="560"/>
    </row>
    <row r="240" spans="1:17" s="445" customFormat="1" ht="17.25" customHeight="1" x14ac:dyDescent="0.3">
      <c r="A240" s="578">
        <v>4</v>
      </c>
      <c r="B240" s="827" t="s">
        <v>154</v>
      </c>
      <c r="C240" s="828"/>
      <c r="D240" s="829"/>
      <c r="E240" s="444">
        <f>SUM(E241:E243)</f>
        <v>2146</v>
      </c>
      <c r="F240" s="830"/>
      <c r="G240" s="831"/>
      <c r="H240" s="497">
        <f>F242/F241-100%</f>
        <v>0</v>
      </c>
      <c r="I240" s="834">
        <f>I241+I242+I243</f>
        <v>160671.02000000002</v>
      </c>
      <c r="J240" s="834"/>
      <c r="K240" s="846" t="s">
        <v>851</v>
      </c>
      <c r="L240" s="539">
        <v>1825</v>
      </c>
    </row>
    <row r="241" spans="1:17" ht="15.75" customHeight="1" x14ac:dyDescent="0.3">
      <c r="A241" s="817"/>
      <c r="B241" s="820" t="s">
        <v>956</v>
      </c>
      <c r="C241" s="821"/>
      <c r="D241" s="822"/>
      <c r="E241" s="577">
        <v>1269</v>
      </c>
      <c r="F241" s="823">
        <v>74.87</v>
      </c>
      <c r="G241" s="824"/>
      <c r="H241" s="498"/>
      <c r="I241" s="825">
        <f>E241*F241</f>
        <v>95010.03</v>
      </c>
      <c r="J241" s="825"/>
      <c r="K241" s="846"/>
      <c r="O241" s="173">
        <v>69.12</v>
      </c>
      <c r="Q241" s="173">
        <v>66.94</v>
      </c>
    </row>
    <row r="242" spans="1:17" ht="15" customHeight="1" x14ac:dyDescent="0.3">
      <c r="A242" s="818"/>
      <c r="B242" s="826" t="s">
        <v>950</v>
      </c>
      <c r="C242" s="826"/>
      <c r="D242" s="826"/>
      <c r="E242" s="577">
        <v>667</v>
      </c>
      <c r="F242" s="823">
        <v>74.87</v>
      </c>
      <c r="G242" s="824"/>
      <c r="H242" s="498"/>
      <c r="I242" s="825">
        <f>E242*F242</f>
        <v>49938.29</v>
      </c>
      <c r="J242" s="825"/>
      <c r="K242" s="846"/>
      <c r="O242" s="173">
        <f>O241*E240</f>
        <v>148331.52000000002</v>
      </c>
    </row>
    <row r="243" spans="1:17" ht="16.5" customHeight="1" x14ac:dyDescent="0.3">
      <c r="A243" s="819"/>
      <c r="B243" s="812" t="s">
        <v>719</v>
      </c>
      <c r="C243" s="813"/>
      <c r="D243" s="814"/>
      <c r="E243" s="577">
        <v>210</v>
      </c>
      <c r="F243" s="823">
        <v>74.87</v>
      </c>
      <c r="G243" s="824"/>
      <c r="H243" s="498"/>
      <c r="I243" s="868">
        <f>E243*F243</f>
        <v>15722.7</v>
      </c>
      <c r="J243" s="869"/>
      <c r="K243" s="560"/>
    </row>
    <row r="244" spans="1:17" ht="0.75" hidden="1" customHeight="1" x14ac:dyDescent="0.3">
      <c r="A244" s="576"/>
      <c r="B244" s="820"/>
      <c r="C244" s="821"/>
      <c r="D244" s="822"/>
      <c r="E244" s="564"/>
      <c r="F244" s="823"/>
      <c r="G244" s="824"/>
      <c r="H244" s="498"/>
      <c r="I244" s="870">
        <f>E244*F244</f>
        <v>0</v>
      </c>
      <c r="J244" s="870"/>
      <c r="K244" s="560"/>
    </row>
    <row r="245" spans="1:17" s="445" customFormat="1" ht="15" customHeight="1" x14ac:dyDescent="0.3">
      <c r="A245" s="578">
        <v>5</v>
      </c>
      <c r="B245" s="827" t="s">
        <v>378</v>
      </c>
      <c r="C245" s="828"/>
      <c r="D245" s="829"/>
      <c r="E245" s="570">
        <f>E246+E247+E248</f>
        <v>157</v>
      </c>
      <c r="F245" s="830"/>
      <c r="G245" s="831"/>
      <c r="H245" s="497">
        <v>0</v>
      </c>
      <c r="I245" s="834">
        <f>I246+I247+I248</f>
        <v>150749.83000000002</v>
      </c>
      <c r="J245" s="834"/>
      <c r="K245" s="846" t="s">
        <v>852</v>
      </c>
      <c r="L245" s="539">
        <v>157</v>
      </c>
      <c r="N245" s="445">
        <v>121163.26</v>
      </c>
      <c r="O245" s="445">
        <v>735.9</v>
      </c>
    </row>
    <row r="246" spans="1:17" ht="15" customHeight="1" x14ac:dyDescent="0.3">
      <c r="A246" s="576"/>
      <c r="B246" s="820" t="s">
        <v>100</v>
      </c>
      <c r="C246" s="821"/>
      <c r="D246" s="822"/>
      <c r="E246" s="564">
        <v>78.5</v>
      </c>
      <c r="F246" s="823">
        <v>960.19</v>
      </c>
      <c r="G246" s="824"/>
      <c r="H246" s="498"/>
      <c r="I246" s="825">
        <f>E246*F246</f>
        <v>75374.915000000008</v>
      </c>
      <c r="J246" s="825"/>
      <c r="K246" s="846"/>
      <c r="O246" s="173">
        <f>O245*E245</f>
        <v>115536.3</v>
      </c>
    </row>
    <row r="247" spans="1:17" ht="15" customHeight="1" x14ac:dyDescent="0.3">
      <c r="A247" s="576"/>
      <c r="B247" s="826" t="s">
        <v>101</v>
      </c>
      <c r="C247" s="826"/>
      <c r="D247" s="826"/>
      <c r="E247" s="564">
        <f>78.5-15.75</f>
        <v>62.75</v>
      </c>
      <c r="F247" s="823">
        <v>960.19</v>
      </c>
      <c r="G247" s="824"/>
      <c r="H247" s="498"/>
      <c r="I247" s="825">
        <f>E247*F247</f>
        <v>60251.922500000001</v>
      </c>
      <c r="J247" s="825"/>
      <c r="K247" s="846"/>
    </row>
    <row r="248" spans="1:17" ht="15" customHeight="1" x14ac:dyDescent="0.3">
      <c r="A248" s="576"/>
      <c r="B248" s="812" t="s">
        <v>719</v>
      </c>
      <c r="C248" s="813"/>
      <c r="D248" s="814"/>
      <c r="E248" s="564">
        <v>15.75</v>
      </c>
      <c r="F248" s="823">
        <v>960.19</v>
      </c>
      <c r="G248" s="824"/>
      <c r="H248" s="576"/>
      <c r="I248" s="825">
        <f>E248*F248</f>
        <v>15122.9925</v>
      </c>
      <c r="J248" s="825"/>
    </row>
    <row r="249" spans="1:17" ht="15" customHeight="1" x14ac:dyDescent="0.3">
      <c r="A249" s="576"/>
      <c r="B249" s="847" t="s">
        <v>13</v>
      </c>
      <c r="C249" s="847"/>
      <c r="D249" s="847"/>
      <c r="E249" s="578" t="s">
        <v>14</v>
      </c>
      <c r="F249" s="842" t="s">
        <v>14</v>
      </c>
      <c r="G249" s="842"/>
      <c r="H249" s="578" t="s">
        <v>14</v>
      </c>
      <c r="I249" s="848">
        <f>I228+I232+I236+I240+I245</f>
        <v>540000</v>
      </c>
      <c r="J249" s="848"/>
      <c r="M249" s="323"/>
      <c r="O249" s="173" t="e">
        <f>#REF!+O230+O234+O238+O242+#REF!+O246</f>
        <v>#REF!</v>
      </c>
    </row>
    <row r="250" spans="1:17" ht="24" customHeight="1" x14ac:dyDescent="0.3">
      <c r="A250" s="410" t="s">
        <v>805</v>
      </c>
      <c r="B250" s="410"/>
      <c r="C250" s="410"/>
      <c r="D250" s="410"/>
      <c r="E250" s="410"/>
      <c r="F250" s="410"/>
      <c r="G250" s="410"/>
      <c r="H250" s="410"/>
      <c r="I250" s="410"/>
      <c r="J250" s="520"/>
    </row>
    <row r="251" spans="1:17" s="317" customFormat="1" ht="25.5" customHeight="1" x14ac:dyDescent="0.3">
      <c r="A251" s="566" t="s">
        <v>1</v>
      </c>
      <c r="B251" s="778" t="s">
        <v>44</v>
      </c>
      <c r="C251" s="778"/>
      <c r="D251" s="778"/>
      <c r="E251" s="566" t="s">
        <v>55</v>
      </c>
      <c r="F251" s="778" t="s">
        <v>56</v>
      </c>
      <c r="G251" s="778"/>
      <c r="H251" s="566" t="s">
        <v>57</v>
      </c>
      <c r="I251" s="778" t="s">
        <v>104</v>
      </c>
      <c r="J251" s="778"/>
      <c r="K251" s="867" t="s">
        <v>776</v>
      </c>
    </row>
    <row r="252" spans="1:17" s="317" customFormat="1" ht="15.75" customHeight="1" x14ac:dyDescent="0.3">
      <c r="A252" s="566">
        <v>1</v>
      </c>
      <c r="B252" s="778">
        <v>2</v>
      </c>
      <c r="C252" s="778"/>
      <c r="D252" s="778"/>
      <c r="E252" s="566">
        <v>3</v>
      </c>
      <c r="F252" s="778">
        <v>4</v>
      </c>
      <c r="G252" s="778"/>
      <c r="H252" s="566">
        <v>5</v>
      </c>
      <c r="I252" s="778">
        <v>6</v>
      </c>
      <c r="J252" s="778"/>
      <c r="K252" s="867"/>
    </row>
    <row r="253" spans="1:17" s="445" customFormat="1" ht="16.5" customHeight="1" x14ac:dyDescent="0.3">
      <c r="A253" s="578">
        <v>1</v>
      </c>
      <c r="B253" s="827" t="s">
        <v>151</v>
      </c>
      <c r="C253" s="828"/>
      <c r="D253" s="829"/>
      <c r="E253" s="444">
        <f>E254+E255+E256</f>
        <v>1095</v>
      </c>
      <c r="F253" s="830"/>
      <c r="G253" s="831"/>
      <c r="H253" s="497">
        <f>F255/F254-100%</f>
        <v>0</v>
      </c>
      <c r="I253" s="834">
        <f>I254+I255+I256</f>
        <v>2518000</v>
      </c>
      <c r="J253" s="834"/>
      <c r="K253" s="846" t="s">
        <v>853</v>
      </c>
      <c r="L253" s="539">
        <v>1159.0999999999999</v>
      </c>
      <c r="O253" s="445">
        <v>2108.31</v>
      </c>
    </row>
    <row r="254" spans="1:17" ht="15" customHeight="1" x14ac:dyDescent="0.3">
      <c r="A254" s="817"/>
      <c r="B254" s="826" t="s">
        <v>951</v>
      </c>
      <c r="C254" s="826"/>
      <c r="D254" s="826"/>
      <c r="E254" s="577">
        <v>651</v>
      </c>
      <c r="F254" s="823">
        <v>2299.5300000000002</v>
      </c>
      <c r="G254" s="824"/>
      <c r="H254" s="498"/>
      <c r="I254" s="825">
        <f>E254*F254</f>
        <v>1496994.03</v>
      </c>
      <c r="J254" s="825"/>
      <c r="K254" s="846"/>
      <c r="M254" s="323">
        <f>I254/E254</f>
        <v>2299.5300000000002</v>
      </c>
      <c r="O254" s="173">
        <f>O253*E253</f>
        <v>2308599.4499999997</v>
      </c>
      <c r="Q254" s="173">
        <v>2039.6</v>
      </c>
    </row>
    <row r="255" spans="1:17" ht="15.75" customHeight="1" x14ac:dyDescent="0.3">
      <c r="A255" s="819"/>
      <c r="B255" s="826" t="s">
        <v>952</v>
      </c>
      <c r="C255" s="826"/>
      <c r="D255" s="826"/>
      <c r="E255" s="577">
        <v>284</v>
      </c>
      <c r="F255" s="823">
        <v>2299.5300000000002</v>
      </c>
      <c r="G255" s="824"/>
      <c r="H255" s="498"/>
      <c r="I255" s="825">
        <f>E255*F255-0.72</f>
        <v>653065.80000000005</v>
      </c>
      <c r="J255" s="825"/>
      <c r="K255" s="846"/>
    </row>
    <row r="256" spans="1:17" ht="18" customHeight="1" x14ac:dyDescent="0.3">
      <c r="A256" s="575"/>
      <c r="B256" s="812" t="s">
        <v>719</v>
      </c>
      <c r="C256" s="813"/>
      <c r="D256" s="814"/>
      <c r="E256" s="577">
        <v>160</v>
      </c>
      <c r="F256" s="823">
        <v>2299.5300000000002</v>
      </c>
      <c r="G256" s="824"/>
      <c r="H256" s="498"/>
      <c r="I256" s="825">
        <f>E256*F256+15.37</f>
        <v>367940.17000000004</v>
      </c>
      <c r="J256" s="825"/>
      <c r="K256" s="560"/>
    </row>
    <row r="257" spans="1:15" s="445" customFormat="1" ht="19.5" customHeight="1" x14ac:dyDescent="0.3">
      <c r="A257" s="578">
        <v>2</v>
      </c>
      <c r="B257" s="827" t="s">
        <v>155</v>
      </c>
      <c r="C257" s="828"/>
      <c r="D257" s="829"/>
      <c r="E257" s="570">
        <f>E258+E259+E260</f>
        <v>128903</v>
      </c>
      <c r="F257" s="830"/>
      <c r="G257" s="831"/>
      <c r="H257" s="497">
        <f>F259/F258-100%</f>
        <v>0</v>
      </c>
      <c r="I257" s="834">
        <f>I258+I259+I260</f>
        <v>1063000</v>
      </c>
      <c r="J257" s="834"/>
      <c r="K257" s="846" t="s">
        <v>854</v>
      </c>
      <c r="L257" s="539">
        <v>135301</v>
      </c>
      <c r="O257" s="445">
        <v>7.57</v>
      </c>
    </row>
    <row r="258" spans="1:15" ht="28.5" customHeight="1" x14ac:dyDescent="0.3">
      <c r="A258" s="576"/>
      <c r="B258" s="826" t="s">
        <v>953</v>
      </c>
      <c r="C258" s="826"/>
      <c r="D258" s="826"/>
      <c r="E258" s="564">
        <v>69373</v>
      </c>
      <c r="F258" s="823">
        <v>8.25</v>
      </c>
      <c r="G258" s="824"/>
      <c r="H258" s="498"/>
      <c r="I258" s="877">
        <f>E258*F258-449.75</f>
        <v>571877.5</v>
      </c>
      <c r="J258" s="877"/>
      <c r="K258" s="846"/>
      <c r="M258" s="173">
        <v>1088991.56</v>
      </c>
      <c r="O258" s="173">
        <f>O257*E257</f>
        <v>975795.71000000008</v>
      </c>
    </row>
    <row r="259" spans="1:15" ht="14.25" customHeight="1" x14ac:dyDescent="0.3">
      <c r="A259" s="576"/>
      <c r="B259" s="826" t="s">
        <v>954</v>
      </c>
      <c r="C259" s="826"/>
      <c r="D259" s="826"/>
      <c r="E259" s="564">
        <v>46219</v>
      </c>
      <c r="F259" s="823">
        <v>8.25</v>
      </c>
      <c r="G259" s="824"/>
      <c r="H259" s="576"/>
      <c r="I259" s="825">
        <f>E259*F259</f>
        <v>381306.75</v>
      </c>
      <c r="J259" s="825"/>
      <c r="K259" s="846"/>
    </row>
    <row r="260" spans="1:15" ht="18" customHeight="1" x14ac:dyDescent="0.3">
      <c r="A260" s="576"/>
      <c r="B260" s="812" t="s">
        <v>719</v>
      </c>
      <c r="C260" s="813"/>
      <c r="D260" s="814"/>
      <c r="E260" s="564">
        <v>13311</v>
      </c>
      <c r="F260" s="823">
        <v>8.25</v>
      </c>
      <c r="G260" s="824"/>
      <c r="H260" s="576"/>
      <c r="I260" s="825">
        <f>E260*F260</f>
        <v>109815.75</v>
      </c>
      <c r="J260" s="825"/>
      <c r="K260" s="846"/>
    </row>
    <row r="261" spans="1:15" ht="15" customHeight="1" x14ac:dyDescent="0.3">
      <c r="A261" s="576"/>
      <c r="B261" s="847" t="s">
        <v>13</v>
      </c>
      <c r="C261" s="847"/>
      <c r="D261" s="847"/>
      <c r="E261" s="578" t="s">
        <v>14</v>
      </c>
      <c r="F261" s="842" t="s">
        <v>14</v>
      </c>
      <c r="G261" s="842"/>
      <c r="H261" s="578" t="s">
        <v>14</v>
      </c>
      <c r="I261" s="848">
        <f>I253+I257</f>
        <v>3581000</v>
      </c>
      <c r="J261" s="848"/>
      <c r="K261" s="501"/>
      <c r="M261" s="323"/>
      <c r="O261" s="173" t="e">
        <f>O254+#REF!+#REF!+#REF!+#REF!+O258+#REF!</f>
        <v>#REF!</v>
      </c>
    </row>
    <row r="262" spans="1:15" ht="16.5" customHeight="1" x14ac:dyDescent="0.3">
      <c r="A262" s="576"/>
      <c r="B262" s="812" t="s">
        <v>807</v>
      </c>
      <c r="C262" s="813"/>
      <c r="D262" s="814"/>
      <c r="E262" s="578"/>
      <c r="F262" s="812"/>
      <c r="G262" s="814"/>
      <c r="H262" s="578"/>
      <c r="I262" s="865">
        <f>I261+I249</f>
        <v>4121000</v>
      </c>
      <c r="J262" s="866"/>
      <c r="M262" s="323"/>
    </row>
    <row r="263" spans="1:15" s="317" customFormat="1" ht="19.5" hidden="1" customHeight="1" x14ac:dyDescent="0.3">
      <c r="A263" s="893" t="s">
        <v>286</v>
      </c>
      <c r="B263" s="893"/>
      <c r="C263" s="893"/>
      <c r="D263" s="893"/>
      <c r="E263" s="893"/>
      <c r="F263" s="893"/>
      <c r="G263" s="893"/>
      <c r="H263" s="893"/>
      <c r="I263" s="893"/>
      <c r="J263" s="893"/>
      <c r="K263" s="334"/>
    </row>
    <row r="264" spans="1:15" s="317" customFormat="1" ht="15" hidden="1" customHeight="1" x14ac:dyDescent="0.3">
      <c r="A264" s="566" t="s">
        <v>1</v>
      </c>
      <c r="B264" s="778" t="s">
        <v>44</v>
      </c>
      <c r="C264" s="778"/>
      <c r="D264" s="778"/>
      <c r="E264" s="778" t="s">
        <v>58</v>
      </c>
      <c r="F264" s="778"/>
      <c r="G264" s="778" t="s">
        <v>59</v>
      </c>
      <c r="H264" s="778"/>
      <c r="I264" s="778" t="s">
        <v>60</v>
      </c>
      <c r="J264" s="778"/>
      <c r="K264" s="334"/>
    </row>
    <row r="265" spans="1:15" ht="15" hidden="1" customHeight="1" x14ac:dyDescent="0.3">
      <c r="A265" s="566">
        <v>1</v>
      </c>
      <c r="B265" s="778">
        <v>2</v>
      </c>
      <c r="C265" s="778"/>
      <c r="D265" s="778"/>
      <c r="E265" s="778">
        <v>3</v>
      </c>
      <c r="F265" s="778"/>
      <c r="G265" s="778">
        <v>4</v>
      </c>
      <c r="H265" s="778"/>
      <c r="I265" s="778">
        <v>5</v>
      </c>
      <c r="J265" s="778"/>
    </row>
    <row r="266" spans="1:15" ht="15" hidden="1" customHeight="1" x14ac:dyDescent="0.3">
      <c r="A266" s="576"/>
      <c r="B266" s="820"/>
      <c r="C266" s="821"/>
      <c r="D266" s="822"/>
      <c r="E266" s="826"/>
      <c r="F266" s="826"/>
      <c r="G266" s="826"/>
      <c r="H266" s="826"/>
      <c r="I266" s="826"/>
      <c r="J266" s="826"/>
    </row>
    <row r="267" spans="1:15" ht="15" hidden="1" customHeight="1" x14ac:dyDescent="0.3">
      <c r="A267" s="578"/>
      <c r="B267" s="847" t="s">
        <v>13</v>
      </c>
      <c r="C267" s="847"/>
      <c r="D267" s="847"/>
      <c r="E267" s="842" t="s">
        <v>14</v>
      </c>
      <c r="F267" s="842"/>
      <c r="G267" s="842" t="s">
        <v>14</v>
      </c>
      <c r="H267" s="842"/>
      <c r="I267" s="842"/>
      <c r="J267" s="842"/>
    </row>
    <row r="268" spans="1:15" ht="15" customHeight="1" x14ac:dyDescent="0.3">
      <c r="A268" s="443"/>
      <c r="B268" s="442"/>
      <c r="C268" s="442"/>
      <c r="D268" s="442"/>
      <c r="E268" s="443"/>
      <c r="F268" s="443"/>
      <c r="G268" s="443"/>
      <c r="H268" s="443"/>
      <c r="I268" s="443"/>
      <c r="J268" s="521"/>
    </row>
    <row r="269" spans="1:15" ht="16.5" customHeight="1" x14ac:dyDescent="0.3">
      <c r="A269" s="410" t="s">
        <v>282</v>
      </c>
      <c r="B269" s="410"/>
      <c r="C269" s="410"/>
      <c r="D269" s="410"/>
      <c r="E269" s="410"/>
      <c r="F269" s="410"/>
      <c r="G269" s="410"/>
      <c r="H269" s="410"/>
      <c r="I269" s="410"/>
      <c r="J269" s="520"/>
    </row>
    <row r="270" spans="1:15" ht="15" customHeight="1" x14ac:dyDescent="0.3">
      <c r="A270" s="894" t="s">
        <v>1</v>
      </c>
      <c r="B270" s="885" t="s">
        <v>15</v>
      </c>
      <c r="C270" s="886"/>
      <c r="D270" s="887"/>
      <c r="E270" s="894" t="s">
        <v>812</v>
      </c>
      <c r="F270" s="894" t="s">
        <v>62</v>
      </c>
      <c r="G270" s="778" t="s">
        <v>63</v>
      </c>
      <c r="H270" s="778"/>
      <c r="I270" s="778"/>
      <c r="J270" s="778"/>
      <c r="K270" s="867" t="s">
        <v>777</v>
      </c>
    </row>
    <row r="271" spans="1:15" ht="24" customHeight="1" x14ac:dyDescent="0.3">
      <c r="A271" s="895"/>
      <c r="B271" s="888"/>
      <c r="C271" s="889"/>
      <c r="D271" s="890"/>
      <c r="E271" s="895"/>
      <c r="F271" s="895"/>
      <c r="G271" s="566" t="s">
        <v>305</v>
      </c>
      <c r="H271" s="566" t="s">
        <v>302</v>
      </c>
      <c r="I271" s="567" t="s">
        <v>303</v>
      </c>
      <c r="J271" s="566" t="s">
        <v>304</v>
      </c>
      <c r="K271" s="867"/>
    </row>
    <row r="272" spans="1:15" ht="11.25" customHeight="1" x14ac:dyDescent="0.3">
      <c r="A272" s="566">
        <v>1</v>
      </c>
      <c r="B272" s="778">
        <v>2</v>
      </c>
      <c r="C272" s="778"/>
      <c r="D272" s="778"/>
      <c r="E272" s="566">
        <v>3</v>
      </c>
      <c r="F272" s="566">
        <v>4</v>
      </c>
      <c r="G272" s="855">
        <v>5</v>
      </c>
      <c r="H272" s="856"/>
      <c r="I272" s="856"/>
      <c r="J272" s="857"/>
      <c r="K272" s="867"/>
    </row>
    <row r="273" spans="1:14" ht="49.5" customHeight="1" x14ac:dyDescent="0.35">
      <c r="A273" s="576">
        <v>1</v>
      </c>
      <c r="B273" s="835" t="s">
        <v>339</v>
      </c>
      <c r="C273" s="835"/>
      <c r="D273" s="835"/>
      <c r="E273" s="576" t="s">
        <v>160</v>
      </c>
      <c r="F273" s="576">
        <v>12</v>
      </c>
      <c r="G273" s="576" t="s">
        <v>306</v>
      </c>
      <c r="H273" s="576">
        <v>12</v>
      </c>
      <c r="I273" s="172">
        <v>4000</v>
      </c>
      <c r="J273" s="646">
        <f>H273*I273</f>
        <v>48000</v>
      </c>
      <c r="K273" s="639" t="s">
        <v>860</v>
      </c>
      <c r="L273" s="411">
        <v>36000</v>
      </c>
    </row>
    <row r="274" spans="1:14" ht="28.5" hidden="1" customHeight="1" x14ac:dyDescent="0.3">
      <c r="A274" s="576"/>
      <c r="B274" s="835" t="s">
        <v>340</v>
      </c>
      <c r="C274" s="835"/>
      <c r="D274" s="835"/>
      <c r="E274" s="576" t="s">
        <v>160</v>
      </c>
      <c r="F274" s="576"/>
      <c r="G274" s="576"/>
      <c r="H274" s="576"/>
      <c r="I274" s="172"/>
      <c r="J274" s="646"/>
      <c r="K274" s="346"/>
    </row>
    <row r="275" spans="1:14" ht="19.5" customHeight="1" x14ac:dyDescent="0.3">
      <c r="A275" s="872">
        <v>2</v>
      </c>
      <c r="B275" s="878" t="s">
        <v>336</v>
      </c>
      <c r="C275" s="879"/>
      <c r="D275" s="880"/>
      <c r="E275" s="817" t="s">
        <v>160</v>
      </c>
      <c r="F275" s="817">
        <v>12</v>
      </c>
      <c r="G275" s="817" t="s">
        <v>306</v>
      </c>
      <c r="H275" s="817">
        <v>12</v>
      </c>
      <c r="I275" s="815">
        <v>8483</v>
      </c>
      <c r="J275" s="1430">
        <v>101800</v>
      </c>
      <c r="K275" s="1083" t="s">
        <v>861</v>
      </c>
    </row>
    <row r="276" spans="1:14" ht="17.25" customHeight="1" x14ac:dyDescent="0.4">
      <c r="A276" s="873"/>
      <c r="B276" s="881"/>
      <c r="C276" s="882"/>
      <c r="D276" s="883"/>
      <c r="E276" s="819"/>
      <c r="F276" s="819"/>
      <c r="G276" s="819"/>
      <c r="H276" s="819"/>
      <c r="I276" s="816"/>
      <c r="J276" s="873"/>
      <c r="K276" s="1084"/>
      <c r="L276" s="352" t="s">
        <v>790</v>
      </c>
    </row>
    <row r="277" spans="1:14" ht="100.5" customHeight="1" x14ac:dyDescent="0.3">
      <c r="A277" s="576">
        <v>3</v>
      </c>
      <c r="B277" s="835" t="s">
        <v>337</v>
      </c>
      <c r="C277" s="835"/>
      <c r="D277" s="835"/>
      <c r="E277" s="576" t="s">
        <v>865</v>
      </c>
      <c r="F277" s="576">
        <v>12</v>
      </c>
      <c r="G277" s="576" t="s">
        <v>306</v>
      </c>
      <c r="H277" s="576">
        <v>12</v>
      </c>
      <c r="I277" s="172">
        <f>7801.6*5</f>
        <v>39008</v>
      </c>
      <c r="J277" s="646">
        <f>H277*I277</f>
        <v>468096</v>
      </c>
      <c r="K277" s="346" t="s">
        <v>931</v>
      </c>
      <c r="N277" s="173">
        <v>-18900</v>
      </c>
    </row>
    <row r="278" spans="1:14" ht="81.75" customHeight="1" x14ac:dyDescent="0.3">
      <c r="A278" s="576">
        <v>4</v>
      </c>
      <c r="B278" s="835" t="s">
        <v>105</v>
      </c>
      <c r="C278" s="835"/>
      <c r="D278" s="835"/>
      <c r="E278" s="576" t="s">
        <v>866</v>
      </c>
      <c r="F278" s="576">
        <v>12</v>
      </c>
      <c r="G278" s="576" t="s">
        <v>306</v>
      </c>
      <c r="H278" s="576">
        <v>12</v>
      </c>
      <c r="I278" s="172">
        <f>6464*3.2</f>
        <v>20684.800000000003</v>
      </c>
      <c r="J278" s="646">
        <f>I278*12</f>
        <v>248217.60000000003</v>
      </c>
      <c r="K278" s="346" t="s">
        <v>907</v>
      </c>
      <c r="L278" s="330"/>
    </row>
    <row r="279" spans="1:14" ht="64.5" customHeight="1" x14ac:dyDescent="0.3">
      <c r="A279" s="576">
        <v>5</v>
      </c>
      <c r="B279" s="835" t="s">
        <v>252</v>
      </c>
      <c r="C279" s="835"/>
      <c r="D279" s="835"/>
      <c r="E279" s="576" t="s">
        <v>160</v>
      </c>
      <c r="F279" s="576">
        <v>12</v>
      </c>
      <c r="G279" s="576" t="s">
        <v>306</v>
      </c>
      <c r="H279" s="576">
        <v>12</v>
      </c>
      <c r="I279" s="172">
        <v>6000</v>
      </c>
      <c r="J279" s="646">
        <f>H279*I279</f>
        <v>72000</v>
      </c>
      <c r="K279" s="630" t="s">
        <v>862</v>
      </c>
      <c r="L279" s="412">
        <v>66000</v>
      </c>
    </row>
    <row r="280" spans="1:14" ht="17.25" hidden="1" customHeight="1" x14ac:dyDescent="0.3">
      <c r="A280" s="817">
        <v>6</v>
      </c>
      <c r="B280" s="836" t="s">
        <v>115</v>
      </c>
      <c r="C280" s="837"/>
      <c r="D280" s="838"/>
      <c r="E280" s="817" t="s">
        <v>882</v>
      </c>
      <c r="F280" s="817">
        <v>1</v>
      </c>
      <c r="G280" s="817" t="s">
        <v>306</v>
      </c>
      <c r="H280" s="817">
        <v>1</v>
      </c>
      <c r="I280" s="815">
        <v>0</v>
      </c>
      <c r="J280" s="1431">
        <f>H280*I280</f>
        <v>0</v>
      </c>
      <c r="K280" s="1085" t="s">
        <v>879</v>
      </c>
    </row>
    <row r="281" spans="1:14" ht="15.75" hidden="1" customHeight="1" x14ac:dyDescent="0.3">
      <c r="A281" s="899"/>
      <c r="B281" s="839"/>
      <c r="C281" s="840"/>
      <c r="D281" s="841"/>
      <c r="E281" s="819"/>
      <c r="F281" s="819"/>
      <c r="G281" s="819"/>
      <c r="H281" s="819"/>
      <c r="I281" s="816"/>
      <c r="J281" s="1432"/>
      <c r="K281" s="1086"/>
    </row>
    <row r="282" spans="1:14" ht="24" customHeight="1" x14ac:dyDescent="0.3">
      <c r="A282" s="576">
        <v>6</v>
      </c>
      <c r="B282" s="835" t="s">
        <v>517</v>
      </c>
      <c r="C282" s="835"/>
      <c r="D282" s="835"/>
      <c r="E282" s="576" t="s">
        <v>160</v>
      </c>
      <c r="F282" s="576">
        <v>12</v>
      </c>
      <c r="G282" s="576" t="s">
        <v>306</v>
      </c>
      <c r="H282" s="576">
        <v>12</v>
      </c>
      <c r="I282" s="172">
        <v>1122</v>
      </c>
      <c r="J282" s="646">
        <f>H282*I282</f>
        <v>13464</v>
      </c>
      <c r="K282" s="639" t="s">
        <v>888</v>
      </c>
      <c r="L282" s="173" t="s">
        <v>789</v>
      </c>
    </row>
    <row r="283" spans="1:14" ht="21" customHeight="1" x14ac:dyDescent="0.3">
      <c r="A283" s="576">
        <v>7</v>
      </c>
      <c r="B283" s="809" t="s">
        <v>902</v>
      </c>
      <c r="C283" s="810"/>
      <c r="D283" s="811"/>
      <c r="E283" s="576" t="s">
        <v>811</v>
      </c>
      <c r="F283" s="576">
        <v>1</v>
      </c>
      <c r="G283" s="576" t="s">
        <v>751</v>
      </c>
      <c r="H283" s="576">
        <v>1</v>
      </c>
      <c r="I283" s="172">
        <f>70000-918</f>
        <v>69082</v>
      </c>
      <c r="J283" s="646">
        <f>H283*I283</f>
        <v>69082</v>
      </c>
      <c r="K283" s="347"/>
      <c r="L283" s="320"/>
    </row>
    <row r="284" spans="1:14" ht="22.5" customHeight="1" x14ac:dyDescent="0.3">
      <c r="A284" s="576">
        <v>8</v>
      </c>
      <c r="B284" s="835" t="s">
        <v>786</v>
      </c>
      <c r="C284" s="835"/>
      <c r="D284" s="835"/>
      <c r="E284" s="576" t="s">
        <v>811</v>
      </c>
      <c r="F284" s="576">
        <v>1</v>
      </c>
      <c r="G284" s="576" t="s">
        <v>787</v>
      </c>
      <c r="H284" s="576">
        <v>1</v>
      </c>
      <c r="I284" s="172">
        <v>0</v>
      </c>
      <c r="J284" s="646">
        <f>I284</f>
        <v>0</v>
      </c>
      <c r="K284" s="347" t="s">
        <v>957</v>
      </c>
      <c r="L284" s="320"/>
    </row>
    <row r="285" spans="1:14" ht="35.25" customHeight="1" x14ac:dyDescent="0.3">
      <c r="A285" s="576">
        <v>9</v>
      </c>
      <c r="B285" s="835" t="s">
        <v>128</v>
      </c>
      <c r="C285" s="835"/>
      <c r="D285" s="835"/>
      <c r="E285" s="576" t="s">
        <v>811</v>
      </c>
      <c r="F285" s="576">
        <v>1</v>
      </c>
      <c r="G285" s="576" t="s">
        <v>306</v>
      </c>
      <c r="H285" s="576">
        <v>1</v>
      </c>
      <c r="I285" s="172">
        <v>7000</v>
      </c>
      <c r="J285" s="646">
        <f>H285*I285</f>
        <v>7000</v>
      </c>
      <c r="K285" s="346" t="s">
        <v>885</v>
      </c>
      <c r="L285" s="320"/>
    </row>
    <row r="286" spans="1:14" ht="9" hidden="1" customHeight="1" x14ac:dyDescent="0.3">
      <c r="A286" s="576">
        <v>11</v>
      </c>
      <c r="B286" s="835" t="s">
        <v>344</v>
      </c>
      <c r="C286" s="835"/>
      <c r="D286" s="835"/>
      <c r="E286" s="576"/>
      <c r="F286" s="576">
        <v>0</v>
      </c>
      <c r="G286" s="576" t="s">
        <v>306</v>
      </c>
      <c r="H286" s="576">
        <v>0</v>
      </c>
      <c r="I286" s="172">
        <v>0</v>
      </c>
      <c r="J286" s="646">
        <v>0</v>
      </c>
      <c r="K286" s="346"/>
    </row>
    <row r="287" spans="1:14" ht="25.5" customHeight="1" x14ac:dyDescent="0.3">
      <c r="A287" s="576">
        <v>10</v>
      </c>
      <c r="B287" s="809" t="s">
        <v>129</v>
      </c>
      <c r="C287" s="863"/>
      <c r="D287" s="864"/>
      <c r="E287" s="576" t="s">
        <v>811</v>
      </c>
      <c r="F287" s="576">
        <v>1</v>
      </c>
      <c r="G287" s="576" t="s">
        <v>306</v>
      </c>
      <c r="H287" s="576">
        <v>1</v>
      </c>
      <c r="I287" s="172">
        <v>15000</v>
      </c>
      <c r="J287" s="646">
        <f t="shared" ref="J287:J291" si="24">H287*I287</f>
        <v>15000</v>
      </c>
      <c r="K287" s="346" t="s">
        <v>885</v>
      </c>
    </row>
    <row r="288" spans="1:14" ht="36.75" customHeight="1" x14ac:dyDescent="0.3">
      <c r="A288" s="576">
        <v>11</v>
      </c>
      <c r="B288" s="835" t="s">
        <v>703</v>
      </c>
      <c r="C288" s="835"/>
      <c r="D288" s="835"/>
      <c r="E288" s="576" t="s">
        <v>811</v>
      </c>
      <c r="F288" s="576">
        <v>1</v>
      </c>
      <c r="G288" s="576" t="s">
        <v>306</v>
      </c>
      <c r="H288" s="576">
        <v>1</v>
      </c>
      <c r="I288" s="172">
        <v>10000</v>
      </c>
      <c r="J288" s="646">
        <f t="shared" si="24"/>
        <v>10000</v>
      </c>
      <c r="K288" s="346" t="s">
        <v>885</v>
      </c>
    </row>
    <row r="289" spans="1:14" ht="55.5" customHeight="1" x14ac:dyDescent="0.3">
      <c r="A289" s="576">
        <v>12</v>
      </c>
      <c r="B289" s="809" t="s">
        <v>958</v>
      </c>
      <c r="C289" s="810"/>
      <c r="D289" s="811"/>
      <c r="E289" s="576" t="s">
        <v>943</v>
      </c>
      <c r="F289" s="576">
        <v>1</v>
      </c>
      <c r="G289" s="576" t="s">
        <v>306</v>
      </c>
      <c r="H289" s="576">
        <v>1</v>
      </c>
      <c r="I289" s="172">
        <v>6000</v>
      </c>
      <c r="J289" s="646">
        <f>I289*12</f>
        <v>72000</v>
      </c>
      <c r="K289" s="346"/>
    </row>
    <row r="290" spans="1:14" ht="38.25" customHeight="1" x14ac:dyDescent="0.3">
      <c r="A290" s="576">
        <v>13</v>
      </c>
      <c r="B290" s="809" t="s">
        <v>518</v>
      </c>
      <c r="C290" s="810"/>
      <c r="D290" s="811"/>
      <c r="E290" s="576" t="s">
        <v>811</v>
      </c>
      <c r="F290" s="576">
        <v>1</v>
      </c>
      <c r="G290" s="576" t="s">
        <v>306</v>
      </c>
      <c r="H290" s="576">
        <v>1</v>
      </c>
      <c r="I290" s="172">
        <v>2000.4</v>
      </c>
      <c r="J290" s="646">
        <f t="shared" si="24"/>
        <v>2000.4</v>
      </c>
      <c r="K290" s="630" t="s">
        <v>881</v>
      </c>
    </row>
    <row r="291" spans="1:14" ht="38.25" hidden="1" customHeight="1" x14ac:dyDescent="0.3">
      <c r="A291" s="576">
        <v>14</v>
      </c>
      <c r="B291" s="809" t="s">
        <v>113</v>
      </c>
      <c r="C291" s="810"/>
      <c r="D291" s="811"/>
      <c r="E291" s="576" t="s">
        <v>811</v>
      </c>
      <c r="F291" s="576">
        <v>1</v>
      </c>
      <c r="G291" s="576" t="s">
        <v>306</v>
      </c>
      <c r="H291" s="576">
        <v>1</v>
      </c>
      <c r="I291" s="172">
        <v>0</v>
      </c>
      <c r="J291" s="646">
        <f t="shared" si="24"/>
        <v>0</v>
      </c>
      <c r="K291" s="630" t="s">
        <v>884</v>
      </c>
    </row>
    <row r="292" spans="1:14" ht="36" customHeight="1" x14ac:dyDescent="0.3">
      <c r="A292" s="576">
        <v>14</v>
      </c>
      <c r="B292" s="809" t="s">
        <v>711</v>
      </c>
      <c r="C292" s="810"/>
      <c r="D292" s="811"/>
      <c r="E292" s="576" t="s">
        <v>710</v>
      </c>
      <c r="F292" s="576">
        <v>4</v>
      </c>
      <c r="G292" s="576" t="s">
        <v>306</v>
      </c>
      <c r="H292" s="576">
        <v>4</v>
      </c>
      <c r="I292" s="172">
        <v>10000</v>
      </c>
      <c r="J292" s="646">
        <v>40000</v>
      </c>
      <c r="K292" s="630" t="s">
        <v>863</v>
      </c>
      <c r="N292" s="173" t="s">
        <v>708</v>
      </c>
    </row>
    <row r="293" spans="1:14" ht="47.25" hidden="1" customHeight="1" x14ac:dyDescent="0.3">
      <c r="A293" s="576">
        <v>18</v>
      </c>
      <c r="B293" s="809" t="s">
        <v>747</v>
      </c>
      <c r="C293" s="810"/>
      <c r="D293" s="811"/>
      <c r="E293" s="576" t="s">
        <v>160</v>
      </c>
      <c r="F293" s="576">
        <v>12</v>
      </c>
      <c r="G293" s="576" t="s">
        <v>306</v>
      </c>
      <c r="H293" s="576">
        <v>12</v>
      </c>
      <c r="I293" s="172">
        <v>0</v>
      </c>
      <c r="J293" s="646">
        <f t="shared" ref="J293:J298" si="25">H293*I293</f>
        <v>0</v>
      </c>
      <c r="K293" s="335"/>
      <c r="N293" s="173" t="s">
        <v>709</v>
      </c>
    </row>
    <row r="294" spans="1:14" ht="36.75" customHeight="1" x14ac:dyDescent="0.3">
      <c r="A294" s="576">
        <v>15</v>
      </c>
      <c r="B294" s="809" t="s">
        <v>748</v>
      </c>
      <c r="C294" s="810"/>
      <c r="D294" s="811"/>
      <c r="E294" s="576" t="s">
        <v>810</v>
      </c>
      <c r="F294" s="576">
        <v>2</v>
      </c>
      <c r="G294" s="576" t="s">
        <v>306</v>
      </c>
      <c r="H294" s="576">
        <v>3</v>
      </c>
      <c r="I294" s="172">
        <v>2670</v>
      </c>
      <c r="J294" s="646">
        <f>I294*F294</f>
        <v>5340</v>
      </c>
      <c r="K294" s="630" t="s">
        <v>864</v>
      </c>
      <c r="L294" s="351"/>
    </row>
    <row r="295" spans="1:14" ht="53.25" hidden="1" customHeight="1" x14ac:dyDescent="0.3">
      <c r="A295" s="576">
        <v>20</v>
      </c>
      <c r="B295" s="809" t="s">
        <v>883</v>
      </c>
      <c r="C295" s="810"/>
      <c r="D295" s="811"/>
      <c r="E295" s="576" t="s">
        <v>887</v>
      </c>
      <c r="F295" s="576">
        <v>7</v>
      </c>
      <c r="G295" s="576" t="s">
        <v>306</v>
      </c>
      <c r="H295" s="576">
        <v>7</v>
      </c>
      <c r="I295" s="172">
        <v>0</v>
      </c>
      <c r="J295" s="646">
        <f t="shared" si="25"/>
        <v>0</v>
      </c>
      <c r="K295" s="630" t="s">
        <v>746</v>
      </c>
    </row>
    <row r="296" spans="1:14" ht="52.5" hidden="1" customHeight="1" x14ac:dyDescent="0.3">
      <c r="A296" s="576">
        <v>21</v>
      </c>
      <c r="B296" s="809" t="s">
        <v>749</v>
      </c>
      <c r="C296" s="810"/>
      <c r="D296" s="811"/>
      <c r="E296" s="576" t="s">
        <v>160</v>
      </c>
      <c r="F296" s="576">
        <v>12</v>
      </c>
      <c r="G296" s="576" t="s">
        <v>306</v>
      </c>
      <c r="H296" s="576">
        <v>12</v>
      </c>
      <c r="I296" s="172">
        <v>0</v>
      </c>
      <c r="J296" s="646">
        <f t="shared" si="25"/>
        <v>0</v>
      </c>
      <c r="K296" s="630"/>
    </row>
    <row r="297" spans="1:14" ht="48" hidden="1" customHeight="1" x14ac:dyDescent="0.3">
      <c r="A297" s="576">
        <v>22</v>
      </c>
      <c r="B297" s="809" t="s">
        <v>750</v>
      </c>
      <c r="C297" s="810"/>
      <c r="D297" s="811"/>
      <c r="E297" s="576" t="s">
        <v>160</v>
      </c>
      <c r="F297" s="576">
        <v>12</v>
      </c>
      <c r="G297" s="576" t="s">
        <v>306</v>
      </c>
      <c r="H297" s="576">
        <v>12</v>
      </c>
      <c r="I297" s="172">
        <v>0</v>
      </c>
      <c r="J297" s="646">
        <f t="shared" si="25"/>
        <v>0</v>
      </c>
      <c r="K297" s="630"/>
    </row>
    <row r="298" spans="1:14" ht="38.25" hidden="1" customHeight="1" x14ac:dyDescent="0.3">
      <c r="A298" s="576">
        <v>23</v>
      </c>
      <c r="B298" s="809" t="s">
        <v>892</v>
      </c>
      <c r="C298" s="810"/>
      <c r="D298" s="811"/>
      <c r="E298" s="576" t="s">
        <v>910</v>
      </c>
      <c r="F298" s="576">
        <v>1</v>
      </c>
      <c r="G298" s="576" t="s">
        <v>306</v>
      </c>
      <c r="H298" s="576">
        <v>1</v>
      </c>
      <c r="I298" s="172">
        <v>0</v>
      </c>
      <c r="J298" s="646">
        <f t="shared" si="25"/>
        <v>0</v>
      </c>
      <c r="K298" s="630" t="s">
        <v>911</v>
      </c>
    </row>
    <row r="299" spans="1:14" ht="38.25" hidden="1" customHeight="1" x14ac:dyDescent="0.3">
      <c r="A299" s="576">
        <v>24</v>
      </c>
      <c r="B299" s="571"/>
      <c r="C299" s="572"/>
      <c r="D299" s="573"/>
      <c r="E299" s="576"/>
      <c r="F299" s="576"/>
      <c r="G299" s="576"/>
      <c r="H299" s="576"/>
      <c r="I299" s="172"/>
      <c r="J299" s="646"/>
      <c r="K299" s="630"/>
    </row>
    <row r="300" spans="1:14" ht="38.25" hidden="1" customHeight="1" x14ac:dyDescent="0.3">
      <c r="A300" s="576">
        <v>25</v>
      </c>
      <c r="B300" s="809"/>
      <c r="C300" s="810"/>
      <c r="D300" s="811"/>
      <c r="E300" s="576"/>
      <c r="F300" s="576"/>
      <c r="G300" s="576"/>
      <c r="H300" s="576"/>
      <c r="I300" s="172"/>
      <c r="J300" s="646">
        <f>I300</f>
        <v>0</v>
      </c>
      <c r="K300" s="346"/>
    </row>
    <row r="301" spans="1:14" x14ac:dyDescent="0.3">
      <c r="A301" s="578"/>
      <c r="B301" s="847" t="s">
        <v>13</v>
      </c>
      <c r="C301" s="847"/>
      <c r="D301" s="847"/>
      <c r="E301" s="578" t="s">
        <v>14</v>
      </c>
      <c r="F301" s="578" t="s">
        <v>14</v>
      </c>
      <c r="G301" s="891">
        <f>SUM(J273:J300)</f>
        <v>1172000</v>
      </c>
      <c r="H301" s="892"/>
      <c r="I301" s="892"/>
      <c r="J301" s="892"/>
    </row>
    <row r="302" spans="1:14" ht="17.25" customHeight="1" x14ac:dyDescent="0.3">
      <c r="A302" s="410" t="s">
        <v>287</v>
      </c>
      <c r="B302" s="410"/>
      <c r="C302" s="410"/>
      <c r="D302" s="410"/>
      <c r="E302" s="410"/>
      <c r="F302" s="410"/>
      <c r="G302" s="410"/>
      <c r="H302" s="410"/>
      <c r="I302" s="410"/>
      <c r="J302" s="520"/>
    </row>
    <row r="303" spans="1:14" ht="17.25" customHeight="1" x14ac:dyDescent="0.3">
      <c r="A303" s="894" t="s">
        <v>1</v>
      </c>
      <c r="B303" s="885" t="s">
        <v>15</v>
      </c>
      <c r="C303" s="886"/>
      <c r="D303" s="887"/>
      <c r="E303" s="885" t="s">
        <v>64</v>
      </c>
      <c r="F303" s="887"/>
      <c r="G303" s="778" t="s">
        <v>65</v>
      </c>
      <c r="H303" s="778"/>
      <c r="I303" s="778"/>
      <c r="J303" s="778"/>
      <c r="K303" s="867" t="s">
        <v>778</v>
      </c>
    </row>
    <row r="304" spans="1:14" ht="27.75" customHeight="1" x14ac:dyDescent="0.3">
      <c r="A304" s="895"/>
      <c r="B304" s="888"/>
      <c r="C304" s="889"/>
      <c r="D304" s="890"/>
      <c r="E304" s="888"/>
      <c r="F304" s="890"/>
      <c r="G304" s="566" t="s">
        <v>305</v>
      </c>
      <c r="H304" s="566" t="s">
        <v>302</v>
      </c>
      <c r="I304" s="566" t="s">
        <v>303</v>
      </c>
      <c r="J304" s="566" t="s">
        <v>304</v>
      </c>
      <c r="K304" s="867"/>
    </row>
    <row r="305" spans="1:14" ht="14.25" customHeight="1" x14ac:dyDescent="0.3">
      <c r="A305" s="566">
        <v>1</v>
      </c>
      <c r="B305" s="778">
        <v>2</v>
      </c>
      <c r="C305" s="778"/>
      <c r="D305" s="778"/>
      <c r="E305" s="855">
        <v>3</v>
      </c>
      <c r="F305" s="857"/>
      <c r="G305" s="778">
        <v>4</v>
      </c>
      <c r="H305" s="778"/>
      <c r="I305" s="778"/>
      <c r="J305" s="778"/>
      <c r="K305" s="867"/>
    </row>
    <row r="306" spans="1:14" ht="30" customHeight="1" x14ac:dyDescent="0.3">
      <c r="A306" s="578" t="s">
        <v>70</v>
      </c>
      <c r="B306" s="827" t="s">
        <v>354</v>
      </c>
      <c r="C306" s="828"/>
      <c r="D306" s="829"/>
      <c r="E306" s="849" t="s">
        <v>74</v>
      </c>
      <c r="F306" s="850"/>
      <c r="G306" s="387" t="s">
        <v>74</v>
      </c>
      <c r="H306" s="387" t="s">
        <v>74</v>
      </c>
      <c r="I306" s="453" t="s">
        <v>74</v>
      </c>
      <c r="J306" s="647">
        <f>SUM(J307:J327)</f>
        <v>1474000</v>
      </c>
      <c r="K306" s="867"/>
    </row>
    <row r="307" spans="1:14" ht="21.75" customHeight="1" x14ac:dyDescent="0.3">
      <c r="A307" s="576" t="s">
        <v>27</v>
      </c>
      <c r="B307" s="835" t="s">
        <v>519</v>
      </c>
      <c r="C307" s="835"/>
      <c r="D307" s="835"/>
      <c r="E307" s="820">
        <v>1</v>
      </c>
      <c r="F307" s="822"/>
      <c r="G307" s="576" t="s">
        <v>306</v>
      </c>
      <c r="H307" s="576">
        <v>10</v>
      </c>
      <c r="I307" s="170">
        <v>54090</v>
      </c>
      <c r="J307" s="646">
        <f>540900+0.8</f>
        <v>540900.80000000005</v>
      </c>
      <c r="K307" s="346" t="s">
        <v>855</v>
      </c>
      <c r="L307" s="173">
        <v>482370</v>
      </c>
    </row>
    <row r="308" spans="1:14" s="317" customFormat="1" ht="30" customHeight="1" x14ac:dyDescent="0.45">
      <c r="A308" s="574" t="s">
        <v>29</v>
      </c>
      <c r="B308" s="809" t="s">
        <v>330</v>
      </c>
      <c r="C308" s="863"/>
      <c r="D308" s="864"/>
      <c r="E308" s="1058">
        <v>1</v>
      </c>
      <c r="F308" s="1059"/>
      <c r="G308" s="576" t="s">
        <v>306</v>
      </c>
      <c r="H308" s="576">
        <v>12</v>
      </c>
      <c r="I308" s="170">
        <v>6196</v>
      </c>
      <c r="J308" s="646">
        <f>H308*I308+0.2</f>
        <v>74352.2</v>
      </c>
      <c r="K308" s="639" t="s">
        <v>889</v>
      </c>
      <c r="L308" s="413">
        <v>77784.2</v>
      </c>
    </row>
    <row r="309" spans="1:14" ht="61.5" customHeight="1" x14ac:dyDescent="0.45">
      <c r="A309" s="576" t="s">
        <v>31</v>
      </c>
      <c r="B309" s="835" t="s">
        <v>961</v>
      </c>
      <c r="C309" s="835"/>
      <c r="D309" s="835"/>
      <c r="E309" s="820">
        <v>1</v>
      </c>
      <c r="F309" s="822"/>
      <c r="G309" s="576" t="s">
        <v>306</v>
      </c>
      <c r="H309" s="576">
        <v>12</v>
      </c>
      <c r="I309" s="170">
        <v>5684</v>
      </c>
      <c r="J309" s="646">
        <f>H309*I309</f>
        <v>68208</v>
      </c>
      <c r="K309" s="346" t="s">
        <v>890</v>
      </c>
      <c r="L309" s="413">
        <v>68200</v>
      </c>
    </row>
    <row r="310" spans="1:14" ht="33" customHeight="1" x14ac:dyDescent="0.45">
      <c r="A310" s="576" t="s">
        <v>268</v>
      </c>
      <c r="B310" s="835" t="s">
        <v>962</v>
      </c>
      <c r="C310" s="835"/>
      <c r="D310" s="835"/>
      <c r="E310" s="820">
        <v>1</v>
      </c>
      <c r="F310" s="822"/>
      <c r="G310" s="576" t="s">
        <v>306</v>
      </c>
      <c r="H310" s="576">
        <v>12</v>
      </c>
      <c r="I310" s="170">
        <v>2500</v>
      </c>
      <c r="J310" s="646">
        <f>H310*I310</f>
        <v>30000</v>
      </c>
      <c r="K310" s="346" t="s">
        <v>891</v>
      </c>
      <c r="L310" s="413">
        <v>43200</v>
      </c>
    </row>
    <row r="311" spans="1:14" ht="19.5" customHeight="1" x14ac:dyDescent="0.3">
      <c r="A311" s="576" t="s">
        <v>269</v>
      </c>
      <c r="B311" s="835" t="s">
        <v>137</v>
      </c>
      <c r="C311" s="835"/>
      <c r="D311" s="835"/>
      <c r="E311" s="820">
        <v>1</v>
      </c>
      <c r="F311" s="822"/>
      <c r="G311" s="576" t="s">
        <v>149</v>
      </c>
      <c r="H311" s="576">
        <v>110</v>
      </c>
      <c r="I311" s="170">
        <v>5550</v>
      </c>
      <c r="J311" s="646">
        <v>555000</v>
      </c>
      <c r="K311" s="346" t="s">
        <v>886</v>
      </c>
      <c r="L311" s="323"/>
      <c r="N311" s="173">
        <v>373</v>
      </c>
    </row>
    <row r="312" spans="1:14" ht="27.75" customHeight="1" x14ac:dyDescent="0.3">
      <c r="A312" s="576" t="s">
        <v>283</v>
      </c>
      <c r="B312" s="835" t="s">
        <v>520</v>
      </c>
      <c r="C312" s="835"/>
      <c r="D312" s="835"/>
      <c r="E312" s="820">
        <v>1</v>
      </c>
      <c r="F312" s="822"/>
      <c r="G312" s="576" t="s">
        <v>306</v>
      </c>
      <c r="H312" s="576">
        <v>11</v>
      </c>
      <c r="I312" s="170">
        <v>3370</v>
      </c>
      <c r="J312" s="646">
        <v>37080</v>
      </c>
      <c r="K312" s="346" t="s">
        <v>903</v>
      </c>
    </row>
    <row r="313" spans="1:14" ht="51.75" customHeight="1" x14ac:dyDescent="0.3">
      <c r="A313" s="576" t="s">
        <v>284</v>
      </c>
      <c r="B313" s="835" t="s">
        <v>333</v>
      </c>
      <c r="C313" s="835"/>
      <c r="D313" s="835"/>
      <c r="E313" s="820">
        <v>1</v>
      </c>
      <c r="F313" s="822"/>
      <c r="G313" s="576" t="s">
        <v>149</v>
      </c>
      <c r="H313" s="576">
        <v>100</v>
      </c>
      <c r="I313" s="170">
        <v>300</v>
      </c>
      <c r="J313" s="646">
        <f t="shared" ref="J313:J322" si="26">H313*I313</f>
        <v>30000</v>
      </c>
      <c r="K313" s="346" t="s">
        <v>877</v>
      </c>
    </row>
    <row r="314" spans="1:14" ht="41.25" customHeight="1" x14ac:dyDescent="0.3">
      <c r="A314" s="576" t="s">
        <v>341</v>
      </c>
      <c r="B314" s="835" t="s">
        <v>345</v>
      </c>
      <c r="C314" s="835"/>
      <c r="D314" s="835"/>
      <c r="E314" s="820">
        <v>1</v>
      </c>
      <c r="F314" s="822"/>
      <c r="G314" s="576" t="s">
        <v>149</v>
      </c>
      <c r="H314" s="576">
        <v>3</v>
      </c>
      <c r="I314" s="170">
        <v>0</v>
      </c>
      <c r="J314" s="646">
        <f t="shared" si="26"/>
        <v>0</v>
      </c>
      <c r="K314" s="346" t="s">
        <v>811</v>
      </c>
    </row>
    <row r="315" spans="1:14" ht="32.25" customHeight="1" x14ac:dyDescent="0.3">
      <c r="A315" s="576" t="s">
        <v>355</v>
      </c>
      <c r="B315" s="809" t="s">
        <v>740</v>
      </c>
      <c r="C315" s="810"/>
      <c r="D315" s="811"/>
      <c r="E315" s="820">
        <v>1</v>
      </c>
      <c r="F315" s="822"/>
      <c r="G315" s="576" t="s">
        <v>149</v>
      </c>
      <c r="H315" s="576">
        <v>3</v>
      </c>
      <c r="I315" s="170">
        <v>1500</v>
      </c>
      <c r="J315" s="646">
        <f t="shared" si="26"/>
        <v>4500</v>
      </c>
      <c r="K315" s="346" t="s">
        <v>876</v>
      </c>
    </row>
    <row r="316" spans="1:14" ht="51.75" customHeight="1" x14ac:dyDescent="0.3">
      <c r="A316" s="576" t="s">
        <v>374</v>
      </c>
      <c r="B316" s="809" t="s">
        <v>741</v>
      </c>
      <c r="C316" s="810"/>
      <c r="D316" s="811"/>
      <c r="E316" s="820">
        <v>1</v>
      </c>
      <c r="F316" s="822"/>
      <c r="G316" s="576" t="s">
        <v>742</v>
      </c>
      <c r="H316" s="576">
        <v>17</v>
      </c>
      <c r="I316" s="170">
        <v>250</v>
      </c>
      <c r="J316" s="646">
        <f t="shared" si="26"/>
        <v>4250</v>
      </c>
      <c r="K316" s="346" t="s">
        <v>875</v>
      </c>
    </row>
    <row r="317" spans="1:14" ht="51.75" customHeight="1" x14ac:dyDescent="0.3">
      <c r="A317" s="576" t="s">
        <v>375</v>
      </c>
      <c r="B317" s="809" t="s">
        <v>868</v>
      </c>
      <c r="C317" s="810"/>
      <c r="D317" s="811"/>
      <c r="E317" s="820">
        <v>1</v>
      </c>
      <c r="F317" s="822"/>
      <c r="G317" s="576" t="s">
        <v>742</v>
      </c>
      <c r="H317" s="576">
        <v>10</v>
      </c>
      <c r="I317" s="170">
        <v>1500</v>
      </c>
      <c r="J317" s="646">
        <f t="shared" si="26"/>
        <v>15000</v>
      </c>
      <c r="K317" s="346" t="s">
        <v>874</v>
      </c>
    </row>
    <row r="318" spans="1:14" ht="51.75" hidden="1" customHeight="1" x14ac:dyDescent="0.3">
      <c r="A318" s="576" t="s">
        <v>376</v>
      </c>
      <c r="B318" s="809" t="s">
        <v>869</v>
      </c>
      <c r="C318" s="810"/>
      <c r="D318" s="811"/>
      <c r="E318" s="820">
        <v>1</v>
      </c>
      <c r="F318" s="822"/>
      <c r="G318" s="576" t="s">
        <v>742</v>
      </c>
      <c r="H318" s="576">
        <v>0</v>
      </c>
      <c r="I318" s="170">
        <v>0</v>
      </c>
      <c r="J318" s="646">
        <f t="shared" si="26"/>
        <v>0</v>
      </c>
      <c r="K318" s="346" t="s">
        <v>873</v>
      </c>
    </row>
    <row r="319" spans="1:14" ht="51.75" hidden="1" customHeight="1" x14ac:dyDescent="0.3">
      <c r="A319" s="576" t="s">
        <v>743</v>
      </c>
      <c r="B319" s="809" t="s">
        <v>870</v>
      </c>
      <c r="C319" s="810"/>
      <c r="D319" s="811"/>
      <c r="E319" s="820">
        <v>1</v>
      </c>
      <c r="F319" s="822"/>
      <c r="G319" s="576" t="s">
        <v>742</v>
      </c>
      <c r="H319" s="576">
        <v>0</v>
      </c>
      <c r="I319" s="170">
        <v>0</v>
      </c>
      <c r="J319" s="646">
        <f t="shared" si="26"/>
        <v>0</v>
      </c>
      <c r="K319" s="346" t="s">
        <v>872</v>
      </c>
    </row>
    <row r="320" spans="1:14" ht="51.75" customHeight="1" x14ac:dyDescent="0.3">
      <c r="A320" s="576" t="s">
        <v>376</v>
      </c>
      <c r="B320" s="809" t="s">
        <v>871</v>
      </c>
      <c r="C320" s="810"/>
      <c r="D320" s="811"/>
      <c r="E320" s="820">
        <v>1</v>
      </c>
      <c r="F320" s="822"/>
      <c r="G320" s="576" t="s">
        <v>742</v>
      </c>
      <c r="H320" s="576">
        <v>4</v>
      </c>
      <c r="I320" s="170">
        <v>1200</v>
      </c>
      <c r="J320" s="646">
        <f t="shared" si="26"/>
        <v>4800</v>
      </c>
      <c r="K320" s="346" t="s">
        <v>872</v>
      </c>
    </row>
    <row r="321" spans="1:14" ht="43.5" customHeight="1" x14ac:dyDescent="0.3">
      <c r="A321" s="576" t="s">
        <v>743</v>
      </c>
      <c r="B321" s="835" t="s">
        <v>521</v>
      </c>
      <c r="C321" s="835"/>
      <c r="D321" s="835"/>
      <c r="E321" s="820">
        <v>1</v>
      </c>
      <c r="F321" s="822"/>
      <c r="G321" s="576" t="s">
        <v>306</v>
      </c>
      <c r="H321" s="576">
        <v>1</v>
      </c>
      <c r="I321" s="170">
        <v>12400</v>
      </c>
      <c r="J321" s="646">
        <f t="shared" si="26"/>
        <v>12400</v>
      </c>
      <c r="K321" s="346" t="s">
        <v>811</v>
      </c>
    </row>
    <row r="322" spans="1:14" ht="30" customHeight="1" x14ac:dyDescent="0.3">
      <c r="A322" s="576" t="s">
        <v>744</v>
      </c>
      <c r="B322" s="835" t="s">
        <v>523</v>
      </c>
      <c r="C322" s="835"/>
      <c r="D322" s="835"/>
      <c r="E322" s="820">
        <v>1</v>
      </c>
      <c r="F322" s="822"/>
      <c r="G322" s="576" t="s">
        <v>306</v>
      </c>
      <c r="H322" s="577">
        <v>1</v>
      </c>
      <c r="I322" s="170">
        <v>5000</v>
      </c>
      <c r="J322" s="646">
        <f t="shared" si="26"/>
        <v>5000</v>
      </c>
      <c r="K322" s="346" t="s">
        <v>811</v>
      </c>
    </row>
    <row r="323" spans="1:14" ht="29.25" customHeight="1" x14ac:dyDescent="0.3">
      <c r="A323" s="576" t="s">
        <v>745</v>
      </c>
      <c r="B323" s="809" t="s">
        <v>657</v>
      </c>
      <c r="C323" s="810"/>
      <c r="D323" s="811"/>
      <c r="E323" s="820">
        <v>1</v>
      </c>
      <c r="F323" s="822"/>
      <c r="G323" s="576" t="s">
        <v>306</v>
      </c>
      <c r="H323" s="576">
        <v>1</v>
      </c>
      <c r="I323" s="170">
        <f>5000-115</f>
        <v>4885</v>
      </c>
      <c r="J323" s="646">
        <f>I323</f>
        <v>4885</v>
      </c>
      <c r="K323" s="346" t="s">
        <v>811</v>
      </c>
    </row>
    <row r="324" spans="1:14" ht="47.25" hidden="1" customHeight="1" x14ac:dyDescent="0.3">
      <c r="A324" s="576" t="s">
        <v>753</v>
      </c>
      <c r="B324" s="835" t="s">
        <v>522</v>
      </c>
      <c r="C324" s="835"/>
      <c r="D324" s="835"/>
      <c r="E324" s="820">
        <v>1</v>
      </c>
      <c r="F324" s="822"/>
      <c r="G324" s="576" t="s">
        <v>306</v>
      </c>
      <c r="H324" s="576">
        <v>1</v>
      </c>
      <c r="I324" s="170">
        <v>0</v>
      </c>
      <c r="J324" s="646">
        <f>I324</f>
        <v>0</v>
      </c>
      <c r="K324" s="346" t="s">
        <v>811</v>
      </c>
    </row>
    <row r="325" spans="1:14" ht="47.25" customHeight="1" x14ac:dyDescent="0.3">
      <c r="A325" s="576" t="s">
        <v>753</v>
      </c>
      <c r="B325" s="809" t="s">
        <v>939</v>
      </c>
      <c r="C325" s="810"/>
      <c r="D325" s="811"/>
      <c r="E325" s="820">
        <v>1</v>
      </c>
      <c r="F325" s="822"/>
      <c r="G325" s="576" t="s">
        <v>306</v>
      </c>
      <c r="H325" s="576">
        <v>72</v>
      </c>
      <c r="I325" s="170">
        <v>1217</v>
      </c>
      <c r="J325" s="646">
        <f>H325*I325</f>
        <v>87624</v>
      </c>
      <c r="K325" s="346"/>
    </row>
    <row r="326" spans="1:14" ht="51" hidden="1" customHeight="1" x14ac:dyDescent="0.3">
      <c r="A326" s="576" t="s">
        <v>867</v>
      </c>
      <c r="B326" s="809" t="s">
        <v>782</v>
      </c>
      <c r="C326" s="810"/>
      <c r="D326" s="811"/>
      <c r="E326" s="820">
        <v>1</v>
      </c>
      <c r="F326" s="822"/>
      <c r="G326" s="576" t="s">
        <v>306</v>
      </c>
      <c r="H326" s="576">
        <v>1</v>
      </c>
      <c r="I326" s="170">
        <v>0</v>
      </c>
      <c r="J326" s="646">
        <f>H326*I326</f>
        <v>0</v>
      </c>
      <c r="K326" s="346" t="s">
        <v>785</v>
      </c>
    </row>
    <row r="327" spans="1:14" ht="35.25" hidden="1" customHeight="1" x14ac:dyDescent="0.3">
      <c r="A327" s="576" t="s">
        <v>880</v>
      </c>
      <c r="B327" s="809" t="s">
        <v>754</v>
      </c>
      <c r="C327" s="810"/>
      <c r="D327" s="811"/>
      <c r="E327" s="820">
        <v>1</v>
      </c>
      <c r="F327" s="822"/>
      <c r="G327" s="576" t="s">
        <v>306</v>
      </c>
      <c r="H327" s="576">
        <v>1</v>
      </c>
      <c r="I327" s="170">
        <v>0</v>
      </c>
      <c r="J327" s="646">
        <f>H327*I327</f>
        <v>0</v>
      </c>
      <c r="K327" s="346" t="s">
        <v>784</v>
      </c>
    </row>
    <row r="328" spans="1:14" ht="30" customHeight="1" x14ac:dyDescent="0.3">
      <c r="A328" s="578" t="s">
        <v>75</v>
      </c>
      <c r="B328" s="827" t="s">
        <v>354</v>
      </c>
      <c r="C328" s="828"/>
      <c r="D328" s="829"/>
      <c r="E328" s="849" t="s">
        <v>74</v>
      </c>
      <c r="F328" s="850"/>
      <c r="G328" s="387" t="s">
        <v>74</v>
      </c>
      <c r="H328" s="387" t="s">
        <v>74</v>
      </c>
      <c r="I328" s="453" t="s">
        <v>74</v>
      </c>
      <c r="J328" s="647">
        <f>J329+J330+J331</f>
        <v>5627912</v>
      </c>
      <c r="L328" s="323">
        <f>J328+J332+950000</f>
        <v>29185212</v>
      </c>
    </row>
    <row r="329" spans="1:14" ht="115.5" customHeight="1" x14ac:dyDescent="0.3">
      <c r="A329" s="576" t="s">
        <v>34</v>
      </c>
      <c r="B329" s="835" t="s">
        <v>525</v>
      </c>
      <c r="C329" s="835"/>
      <c r="D329" s="835"/>
      <c r="E329" s="820">
        <v>2</v>
      </c>
      <c r="F329" s="822"/>
      <c r="G329" s="576" t="s">
        <v>149</v>
      </c>
      <c r="H329" s="576" t="s">
        <v>937</v>
      </c>
      <c r="I329" s="454" t="s">
        <v>969</v>
      </c>
      <c r="J329" s="646">
        <f>5627912-881900</f>
        <v>4746012</v>
      </c>
    </row>
    <row r="330" spans="1:14" ht="44.25" customHeight="1" x14ac:dyDescent="0.3">
      <c r="A330" s="576" t="s">
        <v>36</v>
      </c>
      <c r="B330" s="835" t="s">
        <v>608</v>
      </c>
      <c r="C330" s="835"/>
      <c r="D330" s="835"/>
      <c r="E330" s="820">
        <v>2</v>
      </c>
      <c r="F330" s="822"/>
      <c r="G330" s="576" t="s">
        <v>149</v>
      </c>
      <c r="H330" s="576" t="s">
        <v>936</v>
      </c>
      <c r="I330" s="172" t="s">
        <v>978</v>
      </c>
      <c r="J330" s="646">
        <v>881900</v>
      </c>
    </row>
    <row r="331" spans="1:14" ht="0.75" hidden="1" customHeight="1" x14ac:dyDescent="0.3">
      <c r="A331" s="576"/>
      <c r="B331" s="835"/>
      <c r="C331" s="835"/>
      <c r="D331" s="835"/>
      <c r="E331" s="820"/>
      <c r="F331" s="822"/>
      <c r="G331" s="576"/>
      <c r="H331" s="576"/>
      <c r="I331" s="170"/>
      <c r="J331" s="646"/>
    </row>
    <row r="332" spans="1:14" ht="30" customHeight="1" x14ac:dyDescent="0.3">
      <c r="A332" s="578" t="s">
        <v>77</v>
      </c>
      <c r="B332" s="827" t="s">
        <v>725</v>
      </c>
      <c r="C332" s="828"/>
      <c r="D332" s="829"/>
      <c r="E332" s="849" t="s">
        <v>74</v>
      </c>
      <c r="F332" s="850"/>
      <c r="G332" s="387" t="s">
        <v>74</v>
      </c>
      <c r="H332" s="387" t="s">
        <v>74</v>
      </c>
      <c r="I332" s="453" t="s">
        <v>74</v>
      </c>
      <c r="J332" s="647">
        <f>J333+J334+J335</f>
        <v>22607300</v>
      </c>
    </row>
    <row r="333" spans="1:14" ht="92.25" customHeight="1" x14ac:dyDescent="0.3">
      <c r="A333" s="576" t="s">
        <v>381</v>
      </c>
      <c r="B333" s="835" t="s">
        <v>526</v>
      </c>
      <c r="C333" s="835"/>
      <c r="D333" s="835"/>
      <c r="E333" s="820">
        <v>2</v>
      </c>
      <c r="F333" s="822"/>
      <c r="G333" s="576" t="s">
        <v>149</v>
      </c>
      <c r="H333" s="576" t="s">
        <v>935</v>
      </c>
      <c r="I333" s="454" t="s">
        <v>970</v>
      </c>
      <c r="J333" s="646">
        <f>17782900-540000</f>
        <v>17242900</v>
      </c>
      <c r="L333" s="173" t="s">
        <v>971</v>
      </c>
    </row>
    <row r="334" spans="1:14" ht="46.5" customHeight="1" x14ac:dyDescent="0.3">
      <c r="A334" s="576" t="s">
        <v>559</v>
      </c>
      <c r="B334" s="835" t="s">
        <v>726</v>
      </c>
      <c r="C334" s="835"/>
      <c r="D334" s="835"/>
      <c r="E334" s="820">
        <v>2</v>
      </c>
      <c r="F334" s="822"/>
      <c r="G334" s="576" t="s">
        <v>149</v>
      </c>
      <c r="H334" s="576" t="s">
        <v>936</v>
      </c>
      <c r="I334" s="454" t="s">
        <v>979</v>
      </c>
      <c r="J334" s="646">
        <v>2950600</v>
      </c>
      <c r="L334" s="173" t="s">
        <v>798</v>
      </c>
    </row>
    <row r="335" spans="1:14" ht="46.5" customHeight="1" x14ac:dyDescent="0.3">
      <c r="A335" s="576" t="s">
        <v>724</v>
      </c>
      <c r="B335" s="835" t="s">
        <v>727</v>
      </c>
      <c r="C335" s="835"/>
      <c r="D335" s="835"/>
      <c r="E335" s="820">
        <v>2</v>
      </c>
      <c r="F335" s="822"/>
      <c r="G335" s="576" t="s">
        <v>149</v>
      </c>
      <c r="H335" s="576" t="s">
        <v>936</v>
      </c>
      <c r="I335" s="454" t="s">
        <v>980</v>
      </c>
      <c r="J335" s="646">
        <v>2413800</v>
      </c>
      <c r="L335" s="371" t="s">
        <v>798</v>
      </c>
      <c r="N335" s="323">
        <f>J335+J334+J330</f>
        <v>6246300</v>
      </c>
    </row>
    <row r="336" spans="1:14" ht="30" customHeight="1" x14ac:dyDescent="0.3">
      <c r="A336" s="578" t="s">
        <v>86</v>
      </c>
      <c r="B336" s="827" t="s">
        <v>356</v>
      </c>
      <c r="C336" s="828"/>
      <c r="D336" s="829"/>
      <c r="E336" s="849" t="s">
        <v>74</v>
      </c>
      <c r="F336" s="850"/>
      <c r="G336" s="387" t="s">
        <v>74</v>
      </c>
      <c r="H336" s="387" t="s">
        <v>74</v>
      </c>
      <c r="I336" s="538" t="s">
        <v>74</v>
      </c>
      <c r="J336" s="436">
        <f>J337+J338+J340+J339</f>
        <v>120000</v>
      </c>
    </row>
    <row r="337" spans="1:10" ht="30" customHeight="1" x14ac:dyDescent="0.3">
      <c r="A337" s="576" t="s">
        <v>528</v>
      </c>
      <c r="B337" s="809" t="s">
        <v>527</v>
      </c>
      <c r="C337" s="810"/>
      <c r="D337" s="811"/>
      <c r="E337" s="858">
        <v>1</v>
      </c>
      <c r="F337" s="859"/>
      <c r="G337" s="590" t="s">
        <v>149</v>
      </c>
      <c r="H337" s="590">
        <v>40</v>
      </c>
      <c r="I337" s="652">
        <v>3000</v>
      </c>
      <c r="J337" s="350">
        <f>H337*I337</f>
        <v>120000</v>
      </c>
    </row>
    <row r="338" spans="1:10" ht="30" hidden="1" customHeight="1" x14ac:dyDescent="0.3">
      <c r="A338" s="576" t="s">
        <v>529</v>
      </c>
      <c r="B338" s="809" t="s">
        <v>532</v>
      </c>
      <c r="C338" s="810"/>
      <c r="D338" s="811"/>
      <c r="E338" s="858">
        <v>1</v>
      </c>
      <c r="F338" s="859"/>
      <c r="G338" s="590" t="s">
        <v>306</v>
      </c>
      <c r="H338" s="590">
        <v>0</v>
      </c>
      <c r="I338" s="652">
        <v>0</v>
      </c>
      <c r="J338" s="646">
        <v>0</v>
      </c>
    </row>
    <row r="339" spans="1:10" ht="36.75" hidden="1" customHeight="1" x14ac:dyDescent="0.3">
      <c r="A339" s="576" t="s">
        <v>704</v>
      </c>
      <c r="B339" s="809" t="s">
        <v>705</v>
      </c>
      <c r="C339" s="810"/>
      <c r="D339" s="811"/>
      <c r="E339" s="858">
        <v>1</v>
      </c>
      <c r="F339" s="859"/>
      <c r="G339" s="590" t="s">
        <v>306</v>
      </c>
      <c r="H339" s="590">
        <v>0</v>
      </c>
      <c r="I339" s="652">
        <v>0</v>
      </c>
      <c r="J339" s="646">
        <v>0</v>
      </c>
    </row>
    <row r="340" spans="1:10" ht="36.75" hidden="1" customHeight="1" x14ac:dyDescent="0.3">
      <c r="A340" s="576" t="s">
        <v>652</v>
      </c>
      <c r="B340" s="809" t="s">
        <v>653</v>
      </c>
      <c r="C340" s="810"/>
      <c r="D340" s="811"/>
      <c r="E340" s="858">
        <v>1</v>
      </c>
      <c r="F340" s="859"/>
      <c r="G340" s="590" t="s">
        <v>306</v>
      </c>
      <c r="H340" s="590">
        <v>0</v>
      </c>
      <c r="I340" s="652">
        <v>0</v>
      </c>
      <c r="J340" s="646">
        <v>0</v>
      </c>
    </row>
    <row r="341" spans="1:10" ht="59.25" customHeight="1" x14ac:dyDescent="0.3">
      <c r="A341" s="578" t="s">
        <v>87</v>
      </c>
      <c r="B341" s="827" t="s">
        <v>530</v>
      </c>
      <c r="C341" s="828"/>
      <c r="D341" s="829"/>
      <c r="E341" s="849" t="s">
        <v>74</v>
      </c>
      <c r="F341" s="850"/>
      <c r="G341" s="387" t="s">
        <v>74</v>
      </c>
      <c r="H341" s="387" t="s">
        <v>74</v>
      </c>
      <c r="I341" s="538" t="s">
        <v>74</v>
      </c>
      <c r="J341" s="435">
        <f>J342</f>
        <v>220280</v>
      </c>
    </row>
    <row r="342" spans="1:10" ht="30" customHeight="1" x14ac:dyDescent="0.3">
      <c r="A342" s="576" t="s">
        <v>531</v>
      </c>
      <c r="B342" s="809" t="s">
        <v>717</v>
      </c>
      <c r="C342" s="810"/>
      <c r="D342" s="811"/>
      <c r="E342" s="858">
        <v>1</v>
      </c>
      <c r="F342" s="859"/>
      <c r="G342" s="590" t="s">
        <v>306</v>
      </c>
      <c r="H342" s="590">
        <v>1</v>
      </c>
      <c r="I342" s="652">
        <v>220280</v>
      </c>
      <c r="J342" s="350">
        <f>I342</f>
        <v>220280</v>
      </c>
    </row>
    <row r="343" spans="1:10" ht="54.75" hidden="1" customHeight="1" x14ac:dyDescent="0.3">
      <c r="A343" s="578" t="s">
        <v>97</v>
      </c>
      <c r="B343" s="827" t="s">
        <v>534</v>
      </c>
      <c r="C343" s="828"/>
      <c r="D343" s="829"/>
      <c r="E343" s="858" t="s">
        <v>74</v>
      </c>
      <c r="F343" s="859"/>
      <c r="G343" s="590" t="s">
        <v>74</v>
      </c>
      <c r="H343" s="590" t="s">
        <v>74</v>
      </c>
      <c r="I343" s="652" t="s">
        <v>74</v>
      </c>
      <c r="J343" s="350">
        <f>J344+J345+J346+J347</f>
        <v>0</v>
      </c>
    </row>
    <row r="344" spans="1:10" ht="30" hidden="1" customHeight="1" x14ac:dyDescent="0.3">
      <c r="A344" s="576" t="s">
        <v>535</v>
      </c>
      <c r="B344" s="999" t="s">
        <v>539</v>
      </c>
      <c r="C344" s="1000"/>
      <c r="D344" s="1001"/>
      <c r="E344" s="858">
        <v>2</v>
      </c>
      <c r="F344" s="859"/>
      <c r="G344" s="590" t="s">
        <v>306</v>
      </c>
      <c r="H344" s="590">
        <v>2</v>
      </c>
      <c r="I344" s="652"/>
      <c r="J344" s="646"/>
    </row>
    <row r="345" spans="1:10" ht="30" hidden="1" customHeight="1" x14ac:dyDescent="0.3">
      <c r="A345" s="576" t="s">
        <v>536</v>
      </c>
      <c r="B345" s="999" t="s">
        <v>540</v>
      </c>
      <c r="C345" s="1000"/>
      <c r="D345" s="1001"/>
      <c r="E345" s="858">
        <v>2</v>
      </c>
      <c r="F345" s="859"/>
      <c r="G345" s="590" t="s">
        <v>306</v>
      </c>
      <c r="H345" s="590">
        <v>2</v>
      </c>
      <c r="I345" s="652"/>
      <c r="J345" s="646">
        <v>0</v>
      </c>
    </row>
    <row r="346" spans="1:10" ht="30" hidden="1" customHeight="1" x14ac:dyDescent="0.3">
      <c r="A346" s="576" t="s">
        <v>537</v>
      </c>
      <c r="B346" s="999" t="s">
        <v>541</v>
      </c>
      <c r="C346" s="1000"/>
      <c r="D346" s="1001"/>
      <c r="E346" s="858">
        <v>2</v>
      </c>
      <c r="F346" s="859"/>
      <c r="G346" s="590" t="s">
        <v>306</v>
      </c>
      <c r="H346" s="590">
        <v>4</v>
      </c>
      <c r="I346" s="652"/>
      <c r="J346" s="646">
        <v>0</v>
      </c>
    </row>
    <row r="347" spans="1:10" ht="36" hidden="1" customHeight="1" x14ac:dyDescent="0.3">
      <c r="A347" s="576"/>
      <c r="B347" s="854"/>
      <c r="C347" s="854"/>
      <c r="D347" s="854"/>
      <c r="E347" s="820"/>
      <c r="F347" s="822"/>
      <c r="G347" s="576"/>
      <c r="H347" s="576"/>
      <c r="I347" s="653"/>
      <c r="J347" s="646"/>
    </row>
    <row r="348" spans="1:10" ht="27.75" customHeight="1" x14ac:dyDescent="0.3">
      <c r="A348" s="335"/>
      <c r="B348" s="851" t="s">
        <v>332</v>
      </c>
      <c r="C348" s="851"/>
      <c r="D348" s="851"/>
      <c r="E348" s="852" t="s">
        <v>14</v>
      </c>
      <c r="F348" s="853"/>
      <c r="G348" s="891">
        <f>J306+J328+J332+J336+J341+J343</f>
        <v>30049492</v>
      </c>
      <c r="H348" s="892"/>
      <c r="I348" s="892"/>
      <c r="J348" s="892"/>
    </row>
    <row r="349" spans="1:10" ht="30" hidden="1" customHeight="1" x14ac:dyDescent="0.3">
      <c r="A349" s="893" t="s">
        <v>382</v>
      </c>
      <c r="B349" s="893"/>
      <c r="C349" s="893"/>
      <c r="D349" s="893"/>
      <c r="E349" s="893"/>
      <c r="F349" s="893"/>
      <c r="G349" s="893"/>
      <c r="H349" s="893"/>
      <c r="I349" s="893"/>
      <c r="J349" s="893"/>
    </row>
    <row r="350" spans="1:10" ht="30" hidden="1" customHeight="1" x14ac:dyDescent="0.3">
      <c r="A350" s="566" t="s">
        <v>1</v>
      </c>
      <c r="B350" s="778" t="s">
        <v>44</v>
      </c>
      <c r="C350" s="778"/>
      <c r="D350" s="778"/>
      <c r="E350" s="778" t="s">
        <v>58</v>
      </c>
      <c r="F350" s="778"/>
      <c r="G350" s="855" t="s">
        <v>66</v>
      </c>
      <c r="H350" s="857"/>
      <c r="I350" s="778" t="s">
        <v>60</v>
      </c>
      <c r="J350" s="778"/>
    </row>
    <row r="351" spans="1:10" ht="13.5" hidden="1" customHeight="1" x14ac:dyDescent="0.3">
      <c r="A351" s="566">
        <v>1</v>
      </c>
      <c r="B351" s="778">
        <v>2</v>
      </c>
      <c r="C351" s="778"/>
      <c r="D351" s="778"/>
      <c r="E351" s="778">
        <v>3</v>
      </c>
      <c r="F351" s="778"/>
      <c r="G351" s="778">
        <v>4</v>
      </c>
      <c r="H351" s="778"/>
      <c r="I351" s="778">
        <v>5</v>
      </c>
      <c r="J351" s="778"/>
    </row>
    <row r="352" spans="1:10" ht="30" hidden="1" customHeight="1" x14ac:dyDescent="0.3">
      <c r="A352" s="576" t="s">
        <v>27</v>
      </c>
      <c r="B352" s="809" t="s">
        <v>894</v>
      </c>
      <c r="C352" s="810"/>
      <c r="D352" s="811"/>
      <c r="E352" s="826">
        <v>1</v>
      </c>
      <c r="F352" s="826"/>
      <c r="G352" s="860">
        <v>0</v>
      </c>
      <c r="H352" s="860"/>
      <c r="I352" s="860">
        <f>G352</f>
        <v>0</v>
      </c>
      <c r="J352" s="860"/>
    </row>
    <row r="353" spans="1:11" ht="25.5" hidden="1" customHeight="1" x14ac:dyDescent="0.3">
      <c r="A353" s="578"/>
      <c r="B353" s="847" t="s">
        <v>13</v>
      </c>
      <c r="C353" s="847"/>
      <c r="D353" s="847"/>
      <c r="E353" s="842" t="s">
        <v>14</v>
      </c>
      <c r="F353" s="842"/>
      <c r="G353" s="842" t="s">
        <v>14</v>
      </c>
      <c r="H353" s="842"/>
      <c r="I353" s="1055">
        <f>I352</f>
        <v>0</v>
      </c>
      <c r="J353" s="1055"/>
    </row>
    <row r="354" spans="1:11" ht="15.75" customHeight="1" x14ac:dyDescent="0.3">
      <c r="A354" s="871" t="s">
        <v>383</v>
      </c>
      <c r="B354" s="871"/>
      <c r="C354" s="871"/>
      <c r="D354" s="871"/>
      <c r="E354" s="871"/>
      <c r="F354" s="871"/>
      <c r="G354" s="871"/>
      <c r="H354" s="871"/>
      <c r="I354" s="871"/>
      <c r="J354" s="871"/>
    </row>
    <row r="355" spans="1:11" ht="17.25" customHeight="1" x14ac:dyDescent="0.3">
      <c r="A355" s="566" t="s">
        <v>1</v>
      </c>
      <c r="B355" s="855" t="s">
        <v>15</v>
      </c>
      <c r="C355" s="856"/>
      <c r="D355" s="857"/>
      <c r="E355" s="855" t="s">
        <v>58</v>
      </c>
      <c r="F355" s="857"/>
      <c r="G355" s="855" t="s">
        <v>66</v>
      </c>
      <c r="H355" s="857"/>
      <c r="I355" s="855" t="s">
        <v>264</v>
      </c>
      <c r="J355" s="857"/>
    </row>
    <row r="356" spans="1:11" ht="16.5" customHeight="1" x14ac:dyDescent="0.3">
      <c r="A356" s="566">
        <v>1</v>
      </c>
      <c r="B356" s="855">
        <v>2</v>
      </c>
      <c r="C356" s="856"/>
      <c r="D356" s="857"/>
      <c r="E356" s="855">
        <v>3</v>
      </c>
      <c r="F356" s="857"/>
      <c r="G356" s="855">
        <v>4</v>
      </c>
      <c r="H356" s="857"/>
      <c r="I356" s="855">
        <v>5</v>
      </c>
      <c r="J356" s="857"/>
    </row>
    <row r="357" spans="1:11" ht="30" hidden="1" customHeight="1" x14ac:dyDescent="0.3">
      <c r="A357" s="576" t="s">
        <v>70</v>
      </c>
      <c r="B357" s="809" t="s">
        <v>170</v>
      </c>
      <c r="C357" s="810"/>
      <c r="D357" s="811"/>
      <c r="E357" s="1062"/>
      <c r="F357" s="1063"/>
      <c r="G357" s="820"/>
      <c r="H357" s="822"/>
      <c r="I357" s="1012">
        <f>I358</f>
        <v>0</v>
      </c>
      <c r="J357" s="992"/>
    </row>
    <row r="358" spans="1:11" ht="17.25" hidden="1" customHeight="1" x14ac:dyDescent="0.3">
      <c r="A358" s="576" t="s">
        <v>27</v>
      </c>
      <c r="B358" s="1008" t="s">
        <v>334</v>
      </c>
      <c r="C358" s="1009"/>
      <c r="D358" s="1010"/>
      <c r="E358" s="648" t="s">
        <v>307</v>
      </c>
      <c r="F358" s="648">
        <v>4</v>
      </c>
      <c r="G358" s="823" t="s">
        <v>260</v>
      </c>
      <c r="H358" s="824"/>
      <c r="I358" s="1012"/>
      <c r="J358" s="992"/>
    </row>
    <row r="359" spans="1:11" ht="30" customHeight="1" x14ac:dyDescent="0.3">
      <c r="A359" s="578" t="s">
        <v>70</v>
      </c>
      <c r="B359" s="827" t="s">
        <v>182</v>
      </c>
      <c r="C359" s="828"/>
      <c r="D359" s="829"/>
      <c r="E359" s="455" t="s">
        <v>74</v>
      </c>
      <c r="F359" s="455" t="s">
        <v>74</v>
      </c>
      <c r="G359" s="849" t="s">
        <v>74</v>
      </c>
      <c r="H359" s="850"/>
      <c r="I359" s="1049">
        <f>I360+I363+I361+I365+I362+I364</f>
        <v>4881800</v>
      </c>
      <c r="J359" s="998"/>
    </row>
    <row r="360" spans="1:11" s="317" customFormat="1" ht="58.5" customHeight="1" x14ac:dyDescent="0.3">
      <c r="A360" s="576" t="s">
        <v>27</v>
      </c>
      <c r="B360" s="999" t="s">
        <v>625</v>
      </c>
      <c r="C360" s="1000"/>
      <c r="D360" s="1001"/>
      <c r="E360" s="648" t="s">
        <v>308</v>
      </c>
      <c r="F360" s="577">
        <v>856</v>
      </c>
      <c r="G360" s="823" t="s">
        <v>74</v>
      </c>
      <c r="H360" s="824"/>
      <c r="I360" s="1012">
        <v>500000</v>
      </c>
      <c r="J360" s="992"/>
      <c r="K360" s="334"/>
    </row>
    <row r="361" spans="1:11" s="317" customFormat="1" ht="30" customHeight="1" x14ac:dyDescent="0.3">
      <c r="A361" s="576" t="s">
        <v>29</v>
      </c>
      <c r="B361" s="999" t="s">
        <v>626</v>
      </c>
      <c r="C361" s="1000"/>
      <c r="D361" s="1001"/>
      <c r="E361" s="648" t="s">
        <v>308</v>
      </c>
      <c r="F361" s="577">
        <v>856</v>
      </c>
      <c r="G361" s="823" t="s">
        <v>74</v>
      </c>
      <c r="H361" s="824"/>
      <c r="I361" s="1077">
        <v>1000000</v>
      </c>
      <c r="J361" s="1078"/>
      <c r="K361" s="334"/>
    </row>
    <row r="362" spans="1:11" s="317" customFormat="1" ht="30" customHeight="1" x14ac:dyDescent="0.3">
      <c r="A362" s="576" t="s">
        <v>31</v>
      </c>
      <c r="B362" s="999" t="s">
        <v>623</v>
      </c>
      <c r="C362" s="1000"/>
      <c r="D362" s="1001"/>
      <c r="E362" s="648" t="s">
        <v>308</v>
      </c>
      <c r="F362" s="577">
        <v>856</v>
      </c>
      <c r="G362" s="823" t="s">
        <v>74</v>
      </c>
      <c r="H362" s="824"/>
      <c r="I362" s="861">
        <v>181800</v>
      </c>
      <c r="J362" s="862"/>
      <c r="K362" s="334"/>
    </row>
    <row r="363" spans="1:11" s="317" customFormat="1" ht="30" customHeight="1" x14ac:dyDescent="0.3">
      <c r="A363" s="576" t="s">
        <v>268</v>
      </c>
      <c r="B363" s="999" t="s">
        <v>627</v>
      </c>
      <c r="C363" s="1000"/>
      <c r="D363" s="1001"/>
      <c r="E363" s="648" t="s">
        <v>308</v>
      </c>
      <c r="F363" s="577">
        <v>856</v>
      </c>
      <c r="G363" s="823" t="s">
        <v>74</v>
      </c>
      <c r="H363" s="824"/>
      <c r="I363" s="861">
        <v>2500000</v>
      </c>
      <c r="J363" s="862"/>
      <c r="K363" s="334"/>
    </row>
    <row r="364" spans="1:11" s="317" customFormat="1" ht="30" customHeight="1" x14ac:dyDescent="0.3">
      <c r="A364" s="576" t="s">
        <v>269</v>
      </c>
      <c r="B364" s="999" t="s">
        <v>624</v>
      </c>
      <c r="C364" s="1000"/>
      <c r="D364" s="1001"/>
      <c r="E364" s="648" t="s">
        <v>543</v>
      </c>
      <c r="F364" s="414">
        <v>35</v>
      </c>
      <c r="G364" s="823" t="s">
        <v>74</v>
      </c>
      <c r="H364" s="824"/>
      <c r="I364" s="861">
        <v>500000</v>
      </c>
      <c r="J364" s="862"/>
      <c r="K364" s="334"/>
    </row>
    <row r="365" spans="1:11" ht="48.75" customHeight="1" x14ac:dyDescent="0.3">
      <c r="A365" s="576" t="s">
        <v>283</v>
      </c>
      <c r="B365" s="999" t="s">
        <v>628</v>
      </c>
      <c r="C365" s="1000"/>
      <c r="D365" s="1001"/>
      <c r="E365" s="648" t="s">
        <v>543</v>
      </c>
      <c r="F365" s="414">
        <v>35</v>
      </c>
      <c r="G365" s="823" t="s">
        <v>74</v>
      </c>
      <c r="H365" s="824"/>
      <c r="I365" s="1077">
        <v>200000</v>
      </c>
      <c r="J365" s="1078"/>
    </row>
    <row r="366" spans="1:11" s="445" customFormat="1" ht="30" hidden="1" customHeight="1" x14ac:dyDescent="0.3">
      <c r="A366" s="578" t="s">
        <v>75</v>
      </c>
      <c r="B366" s="827" t="s">
        <v>170</v>
      </c>
      <c r="C366" s="828"/>
      <c r="D366" s="829"/>
      <c r="E366" s="849"/>
      <c r="F366" s="850"/>
      <c r="G366" s="849"/>
      <c r="H366" s="850"/>
      <c r="I366" s="1005"/>
      <c r="J366" s="1006"/>
      <c r="K366" s="502"/>
    </row>
    <row r="367" spans="1:11" ht="30" hidden="1" customHeight="1" x14ac:dyDescent="0.3">
      <c r="A367" s="576" t="s">
        <v>34</v>
      </c>
      <c r="B367" s="835" t="s">
        <v>731</v>
      </c>
      <c r="C367" s="835"/>
      <c r="D367" s="835"/>
      <c r="E367" s="648">
        <v>1</v>
      </c>
      <c r="F367" s="577" t="s">
        <v>307</v>
      </c>
      <c r="G367" s="978">
        <v>0</v>
      </c>
      <c r="H367" s="978"/>
      <c r="I367" s="997">
        <f>E367*G367</f>
        <v>0</v>
      </c>
      <c r="J367" s="998"/>
    </row>
    <row r="368" spans="1:11" ht="30" hidden="1" customHeight="1" x14ac:dyDescent="0.3">
      <c r="A368" s="576" t="s">
        <v>36</v>
      </c>
      <c r="B368" s="835" t="s">
        <v>732</v>
      </c>
      <c r="C368" s="835"/>
      <c r="D368" s="835"/>
      <c r="E368" s="648">
        <v>1</v>
      </c>
      <c r="F368" s="577" t="s">
        <v>307</v>
      </c>
      <c r="G368" s="978">
        <v>0</v>
      </c>
      <c r="H368" s="978"/>
      <c r="I368" s="997">
        <f t="shared" ref="I368:I378" si="27">E368*G368</f>
        <v>0</v>
      </c>
      <c r="J368" s="998"/>
    </row>
    <row r="369" spans="1:10" ht="30" hidden="1" customHeight="1" x14ac:dyDescent="0.3">
      <c r="A369" s="576" t="s">
        <v>38</v>
      </c>
      <c r="B369" s="809" t="s">
        <v>733</v>
      </c>
      <c r="C369" s="810"/>
      <c r="D369" s="811"/>
      <c r="E369" s="648">
        <v>2</v>
      </c>
      <c r="F369" s="577" t="s">
        <v>307</v>
      </c>
      <c r="G369" s="823">
        <v>0</v>
      </c>
      <c r="H369" s="824"/>
      <c r="I369" s="997">
        <f t="shared" si="27"/>
        <v>0</v>
      </c>
      <c r="J369" s="998"/>
    </row>
    <row r="370" spans="1:10" ht="30" hidden="1" customHeight="1" x14ac:dyDescent="0.3">
      <c r="A370" s="576" t="s">
        <v>40</v>
      </c>
      <c r="B370" s="809" t="s">
        <v>734</v>
      </c>
      <c r="C370" s="810"/>
      <c r="D370" s="811"/>
      <c r="E370" s="648">
        <v>1</v>
      </c>
      <c r="F370" s="577" t="s">
        <v>307</v>
      </c>
      <c r="G370" s="823">
        <v>0</v>
      </c>
      <c r="H370" s="824"/>
      <c r="I370" s="997">
        <f t="shared" si="27"/>
        <v>0</v>
      </c>
      <c r="J370" s="998"/>
    </row>
    <row r="371" spans="1:10" ht="115.5" hidden="1" customHeight="1" x14ac:dyDescent="0.3">
      <c r="A371" s="576" t="s">
        <v>42</v>
      </c>
      <c r="B371" s="809" t="s">
        <v>896</v>
      </c>
      <c r="C371" s="810"/>
      <c r="D371" s="811"/>
      <c r="E371" s="648">
        <v>1</v>
      </c>
      <c r="F371" s="577" t="s">
        <v>307</v>
      </c>
      <c r="G371" s="823">
        <v>0</v>
      </c>
      <c r="H371" s="824"/>
      <c r="I371" s="997">
        <f t="shared" si="27"/>
        <v>0</v>
      </c>
      <c r="J371" s="998"/>
    </row>
    <row r="372" spans="1:10" ht="114.75" hidden="1" customHeight="1" x14ac:dyDescent="0.3">
      <c r="A372" s="576" t="s">
        <v>180</v>
      </c>
      <c r="B372" s="809" t="s">
        <v>897</v>
      </c>
      <c r="C372" s="810"/>
      <c r="D372" s="811"/>
      <c r="E372" s="648">
        <v>1</v>
      </c>
      <c r="F372" s="577" t="s">
        <v>307</v>
      </c>
      <c r="G372" s="823">
        <v>0</v>
      </c>
      <c r="H372" s="824"/>
      <c r="I372" s="997">
        <f t="shared" si="27"/>
        <v>0</v>
      </c>
      <c r="J372" s="998"/>
    </row>
    <row r="373" spans="1:10" ht="30" hidden="1" customHeight="1" x14ac:dyDescent="0.3">
      <c r="A373" s="576" t="s">
        <v>181</v>
      </c>
      <c r="B373" s="809" t="s">
        <v>898</v>
      </c>
      <c r="C373" s="810"/>
      <c r="D373" s="811"/>
      <c r="E373" s="648">
        <v>8</v>
      </c>
      <c r="F373" s="577" t="s">
        <v>307</v>
      </c>
      <c r="G373" s="823">
        <v>0</v>
      </c>
      <c r="H373" s="824"/>
      <c r="I373" s="997">
        <f t="shared" si="27"/>
        <v>0</v>
      </c>
      <c r="J373" s="998"/>
    </row>
    <row r="374" spans="1:10" ht="30" hidden="1" customHeight="1" x14ac:dyDescent="0.3">
      <c r="A374" s="576" t="s">
        <v>735</v>
      </c>
      <c r="B374" s="809" t="s">
        <v>899</v>
      </c>
      <c r="C374" s="810"/>
      <c r="D374" s="811"/>
      <c r="E374" s="648">
        <v>2</v>
      </c>
      <c r="F374" s="577" t="s">
        <v>307</v>
      </c>
      <c r="G374" s="823">
        <v>0</v>
      </c>
      <c r="H374" s="824"/>
      <c r="I374" s="997">
        <f t="shared" si="27"/>
        <v>0</v>
      </c>
      <c r="J374" s="998"/>
    </row>
    <row r="375" spans="1:10" ht="30" hidden="1" customHeight="1" x14ac:dyDescent="0.3">
      <c r="A375" s="576" t="s">
        <v>736</v>
      </c>
      <c r="B375" s="809" t="s">
        <v>900</v>
      </c>
      <c r="C375" s="810"/>
      <c r="D375" s="811"/>
      <c r="E375" s="648">
        <v>1</v>
      </c>
      <c r="F375" s="577" t="s">
        <v>307</v>
      </c>
      <c r="G375" s="823">
        <v>0</v>
      </c>
      <c r="H375" s="824"/>
      <c r="I375" s="997">
        <f t="shared" si="27"/>
        <v>0</v>
      </c>
      <c r="J375" s="998"/>
    </row>
    <row r="376" spans="1:10" ht="30" hidden="1" customHeight="1" x14ac:dyDescent="0.3">
      <c r="A376" s="576" t="s">
        <v>737</v>
      </c>
      <c r="B376" s="809" t="s">
        <v>901</v>
      </c>
      <c r="C376" s="810"/>
      <c r="D376" s="811"/>
      <c r="E376" s="648">
        <v>1</v>
      </c>
      <c r="F376" s="577" t="s">
        <v>307</v>
      </c>
      <c r="G376" s="823">
        <v>0</v>
      </c>
      <c r="H376" s="824"/>
      <c r="I376" s="997">
        <f t="shared" si="27"/>
        <v>0</v>
      </c>
      <c r="J376" s="998"/>
    </row>
    <row r="377" spans="1:10" ht="30" hidden="1" customHeight="1" x14ac:dyDescent="0.3">
      <c r="A377" s="576" t="s">
        <v>738</v>
      </c>
      <c r="B377" s="809" t="s">
        <v>856</v>
      </c>
      <c r="C377" s="810"/>
      <c r="D377" s="811"/>
      <c r="E377" s="648">
        <v>4</v>
      </c>
      <c r="F377" s="577" t="s">
        <v>307</v>
      </c>
      <c r="G377" s="823">
        <v>0</v>
      </c>
      <c r="H377" s="824"/>
      <c r="I377" s="997">
        <f t="shared" si="27"/>
        <v>0</v>
      </c>
      <c r="J377" s="998"/>
    </row>
    <row r="378" spans="1:10" ht="30" hidden="1" customHeight="1" x14ac:dyDescent="0.3">
      <c r="A378" s="576" t="s">
        <v>739</v>
      </c>
      <c r="B378" s="809" t="s">
        <v>857</v>
      </c>
      <c r="C378" s="810"/>
      <c r="D378" s="811"/>
      <c r="E378" s="648">
        <v>6</v>
      </c>
      <c r="F378" s="577" t="s">
        <v>307</v>
      </c>
      <c r="G378" s="823">
        <v>0</v>
      </c>
      <c r="H378" s="824"/>
      <c r="I378" s="997">
        <f t="shared" si="27"/>
        <v>0</v>
      </c>
      <c r="J378" s="998"/>
    </row>
    <row r="379" spans="1:10" ht="30" hidden="1" customHeight="1" x14ac:dyDescent="0.3">
      <c r="A379" s="415" t="s">
        <v>752</v>
      </c>
      <c r="B379" s="835" t="s">
        <v>858</v>
      </c>
      <c r="C379" s="835"/>
      <c r="D379" s="835"/>
      <c r="E379" s="648">
        <v>1</v>
      </c>
      <c r="F379" s="577" t="s">
        <v>307</v>
      </c>
      <c r="G379" s="978">
        <v>0</v>
      </c>
      <c r="H379" s="978"/>
      <c r="I379" s="997">
        <f>G379</f>
        <v>0</v>
      </c>
      <c r="J379" s="998"/>
    </row>
    <row r="380" spans="1:10" ht="62.25" hidden="1" customHeight="1" x14ac:dyDescent="0.3">
      <c r="A380" s="415" t="s">
        <v>77</v>
      </c>
      <c r="B380" s="809" t="s">
        <v>597</v>
      </c>
      <c r="C380" s="810"/>
      <c r="D380" s="811"/>
      <c r="E380" s="648"/>
      <c r="F380" s="577"/>
      <c r="G380" s="823"/>
      <c r="H380" s="824"/>
      <c r="I380" s="995">
        <f>SUM(I381:J383)</f>
        <v>0</v>
      </c>
      <c r="J380" s="996"/>
    </row>
    <row r="381" spans="1:10" ht="30" hidden="1" customHeight="1" x14ac:dyDescent="0.3">
      <c r="A381" s="415" t="s">
        <v>381</v>
      </c>
      <c r="B381" s="820" t="s">
        <v>800</v>
      </c>
      <c r="C381" s="821"/>
      <c r="D381" s="822"/>
      <c r="E381" s="910"/>
      <c r="F381" s="910"/>
      <c r="G381" s="823"/>
      <c r="H381" s="824"/>
      <c r="I381" s="995">
        <v>0</v>
      </c>
      <c r="J381" s="996"/>
    </row>
    <row r="382" spans="1:10" ht="30" hidden="1" customHeight="1" x14ac:dyDescent="0.3">
      <c r="A382" s="415" t="s">
        <v>559</v>
      </c>
      <c r="B382" s="820" t="s">
        <v>615</v>
      </c>
      <c r="C382" s="821"/>
      <c r="D382" s="822"/>
      <c r="E382" s="910"/>
      <c r="F382" s="910"/>
      <c r="G382" s="823"/>
      <c r="H382" s="824"/>
      <c r="I382" s="995">
        <v>0</v>
      </c>
      <c r="J382" s="996"/>
    </row>
    <row r="383" spans="1:10" ht="30" hidden="1" customHeight="1" x14ac:dyDescent="0.3">
      <c r="A383" s="415"/>
      <c r="B383" s="820"/>
      <c r="C383" s="821"/>
      <c r="D383" s="822"/>
      <c r="E383" s="910"/>
      <c r="F383" s="910"/>
      <c r="G383" s="823"/>
      <c r="H383" s="824"/>
      <c r="I383" s="995"/>
      <c r="J383" s="996"/>
    </row>
    <row r="384" spans="1:10" ht="30" hidden="1" customHeight="1" x14ac:dyDescent="0.3">
      <c r="A384" s="415" t="s">
        <v>755</v>
      </c>
      <c r="B384" s="809" t="s">
        <v>893</v>
      </c>
      <c r="C384" s="810"/>
      <c r="D384" s="811"/>
      <c r="E384" s="648">
        <v>95</v>
      </c>
      <c r="F384" s="648" t="s">
        <v>307</v>
      </c>
      <c r="G384" s="823">
        <v>0</v>
      </c>
      <c r="H384" s="824"/>
      <c r="I384" s="995">
        <f>E384*G384</f>
        <v>0</v>
      </c>
      <c r="J384" s="996"/>
    </row>
    <row r="385" spans="1:11" ht="30" hidden="1" customHeight="1" x14ac:dyDescent="0.3">
      <c r="A385" s="415" t="s">
        <v>756</v>
      </c>
      <c r="B385" s="809" t="s">
        <v>757</v>
      </c>
      <c r="C385" s="810"/>
      <c r="D385" s="811"/>
      <c r="E385" s="648"/>
      <c r="F385" s="648" t="s">
        <v>307</v>
      </c>
      <c r="G385" s="823">
        <v>0</v>
      </c>
      <c r="H385" s="824"/>
      <c r="I385" s="995">
        <f>G385</f>
        <v>0</v>
      </c>
      <c r="J385" s="996"/>
    </row>
    <row r="386" spans="1:11" ht="30" hidden="1" customHeight="1" x14ac:dyDescent="0.3">
      <c r="A386" s="415" t="s">
        <v>759</v>
      </c>
      <c r="B386" s="809" t="s">
        <v>758</v>
      </c>
      <c r="C386" s="810"/>
      <c r="D386" s="811"/>
      <c r="E386" s="648"/>
      <c r="F386" s="648" t="s">
        <v>307</v>
      </c>
      <c r="G386" s="823">
        <v>0</v>
      </c>
      <c r="H386" s="824"/>
      <c r="I386" s="995">
        <f>G386</f>
        <v>0</v>
      </c>
      <c r="J386" s="996"/>
    </row>
    <row r="387" spans="1:11" ht="30" hidden="1" customHeight="1" x14ac:dyDescent="0.3">
      <c r="A387" s="415" t="s">
        <v>760</v>
      </c>
      <c r="B387" s="835" t="s">
        <v>761</v>
      </c>
      <c r="C387" s="835"/>
      <c r="D387" s="835"/>
      <c r="E387" s="648"/>
      <c r="F387" s="648" t="s">
        <v>307</v>
      </c>
      <c r="G387" s="978">
        <v>0</v>
      </c>
      <c r="H387" s="978"/>
      <c r="I387" s="1011">
        <f>G387</f>
        <v>0</v>
      </c>
      <c r="J387" s="1011"/>
    </row>
    <row r="388" spans="1:11" ht="30" hidden="1" customHeight="1" x14ac:dyDescent="0.3">
      <c r="A388" s="415" t="s">
        <v>762</v>
      </c>
      <c r="B388" s="835" t="s">
        <v>764</v>
      </c>
      <c r="C388" s="835"/>
      <c r="D388" s="835"/>
      <c r="E388" s="648">
        <v>10</v>
      </c>
      <c r="F388" s="648" t="s">
        <v>307</v>
      </c>
      <c r="G388" s="978">
        <v>0</v>
      </c>
      <c r="H388" s="978"/>
      <c r="I388" s="1011">
        <f t="shared" ref="I388:I393" si="28">E388*G388</f>
        <v>0</v>
      </c>
      <c r="J388" s="1011"/>
    </row>
    <row r="389" spans="1:11" ht="30" hidden="1" customHeight="1" x14ac:dyDescent="0.3">
      <c r="A389" s="415" t="s">
        <v>763</v>
      </c>
      <c r="B389" s="835" t="s">
        <v>765</v>
      </c>
      <c r="C389" s="835"/>
      <c r="D389" s="835"/>
      <c r="E389" s="648">
        <v>1</v>
      </c>
      <c r="F389" s="648" t="s">
        <v>307</v>
      </c>
      <c r="G389" s="978">
        <v>0</v>
      </c>
      <c r="H389" s="978"/>
      <c r="I389" s="1011">
        <f t="shared" si="28"/>
        <v>0</v>
      </c>
      <c r="J389" s="1011"/>
    </row>
    <row r="390" spans="1:11" ht="30" hidden="1" customHeight="1" x14ac:dyDescent="0.3">
      <c r="A390" s="415" t="s">
        <v>766</v>
      </c>
      <c r="B390" s="809" t="s">
        <v>768</v>
      </c>
      <c r="C390" s="810"/>
      <c r="D390" s="811"/>
      <c r="E390" s="648">
        <v>10</v>
      </c>
      <c r="F390" s="648" t="s">
        <v>307</v>
      </c>
      <c r="G390" s="823">
        <v>0</v>
      </c>
      <c r="H390" s="824"/>
      <c r="I390" s="995">
        <f t="shared" si="28"/>
        <v>0</v>
      </c>
      <c r="J390" s="996"/>
    </row>
    <row r="391" spans="1:11" ht="30" hidden="1" customHeight="1" x14ac:dyDescent="0.3">
      <c r="A391" s="415" t="s">
        <v>767</v>
      </c>
      <c r="B391" s="809" t="s">
        <v>895</v>
      </c>
      <c r="C391" s="810"/>
      <c r="D391" s="811"/>
      <c r="E391" s="648">
        <v>1</v>
      </c>
      <c r="F391" s="648" t="s">
        <v>307</v>
      </c>
      <c r="G391" s="823">
        <v>0</v>
      </c>
      <c r="H391" s="824"/>
      <c r="I391" s="995">
        <f t="shared" si="28"/>
        <v>0</v>
      </c>
      <c r="J391" s="996"/>
    </row>
    <row r="392" spans="1:11" ht="30" hidden="1" customHeight="1" x14ac:dyDescent="0.3">
      <c r="A392" s="415" t="s">
        <v>770</v>
      </c>
      <c r="B392" s="809" t="s">
        <v>772</v>
      </c>
      <c r="C392" s="810"/>
      <c r="D392" s="811"/>
      <c r="E392" s="648">
        <v>2</v>
      </c>
      <c r="F392" s="648" t="s">
        <v>307</v>
      </c>
      <c r="G392" s="823">
        <v>0</v>
      </c>
      <c r="H392" s="824"/>
      <c r="I392" s="995">
        <f t="shared" si="28"/>
        <v>0</v>
      </c>
      <c r="J392" s="996"/>
    </row>
    <row r="393" spans="1:11" ht="30" hidden="1" customHeight="1" x14ac:dyDescent="0.3">
      <c r="A393" s="415" t="s">
        <v>771</v>
      </c>
      <c r="B393" s="809" t="s">
        <v>773</v>
      </c>
      <c r="C393" s="810"/>
      <c r="D393" s="811"/>
      <c r="E393" s="648">
        <v>1</v>
      </c>
      <c r="F393" s="648" t="s">
        <v>307</v>
      </c>
      <c r="G393" s="823">
        <v>0</v>
      </c>
      <c r="H393" s="824"/>
      <c r="I393" s="995">
        <f t="shared" si="28"/>
        <v>0</v>
      </c>
      <c r="J393" s="996"/>
    </row>
    <row r="394" spans="1:11" ht="17.25" customHeight="1" x14ac:dyDescent="0.3">
      <c r="A394" s="576"/>
      <c r="B394" s="847" t="s">
        <v>13</v>
      </c>
      <c r="C394" s="847"/>
      <c r="D394" s="847"/>
      <c r="E394" s="1002" t="s">
        <v>74</v>
      </c>
      <c r="F394" s="1003"/>
      <c r="G394" s="842" t="s">
        <v>14</v>
      </c>
      <c r="H394" s="842"/>
      <c r="I394" s="1055">
        <f>I359</f>
        <v>4881800</v>
      </c>
      <c r="J394" s="1055"/>
    </row>
    <row r="395" spans="1:11" ht="21.75" customHeight="1" x14ac:dyDescent="0.3">
      <c r="A395" s="1004" t="s">
        <v>384</v>
      </c>
      <c r="B395" s="1004"/>
      <c r="C395" s="1004"/>
      <c r="D395" s="1004"/>
      <c r="E395" s="1004"/>
      <c r="F395" s="1004"/>
      <c r="G395" s="1004"/>
      <c r="H395" s="1004"/>
      <c r="I395" s="1004"/>
      <c r="J395" s="1004"/>
    </row>
    <row r="396" spans="1:11" ht="21.75" customHeight="1" x14ac:dyDescent="0.3">
      <c r="A396" s="871" t="s">
        <v>545</v>
      </c>
      <c r="B396" s="871"/>
      <c r="C396" s="871"/>
      <c r="D396" s="871"/>
      <c r="E396" s="871"/>
      <c r="F396" s="871"/>
      <c r="G396" s="871"/>
      <c r="H396" s="871"/>
      <c r="I396" s="871"/>
      <c r="J396" s="871"/>
    </row>
    <row r="397" spans="1:11" ht="21.75" customHeight="1" x14ac:dyDescent="0.3">
      <c r="A397" s="566" t="s">
        <v>1</v>
      </c>
      <c r="B397" s="778" t="s">
        <v>15</v>
      </c>
      <c r="C397" s="778"/>
      <c r="D397" s="778"/>
      <c r="E397" s="778" t="s">
        <v>58</v>
      </c>
      <c r="F397" s="778"/>
      <c r="G397" s="778" t="s">
        <v>66</v>
      </c>
      <c r="H397" s="778"/>
      <c r="I397" s="778" t="s">
        <v>264</v>
      </c>
      <c r="J397" s="778"/>
      <c r="K397" s="867" t="s">
        <v>728</v>
      </c>
    </row>
    <row r="398" spans="1:11" ht="21.75" customHeight="1" x14ac:dyDescent="0.3">
      <c r="A398" s="566">
        <v>1</v>
      </c>
      <c r="B398" s="778">
        <v>2</v>
      </c>
      <c r="C398" s="778"/>
      <c r="D398" s="778"/>
      <c r="E398" s="778">
        <v>3</v>
      </c>
      <c r="F398" s="778"/>
      <c r="G398" s="778">
        <v>4</v>
      </c>
      <c r="H398" s="778"/>
      <c r="I398" s="778">
        <v>5</v>
      </c>
      <c r="J398" s="778"/>
      <c r="K398" s="867"/>
    </row>
    <row r="399" spans="1:11" ht="39.75" customHeight="1" x14ac:dyDescent="0.3">
      <c r="A399" s="578" t="s">
        <v>70</v>
      </c>
      <c r="B399" s="827" t="s">
        <v>172</v>
      </c>
      <c r="C399" s="828"/>
      <c r="D399" s="829"/>
      <c r="E399" s="457"/>
      <c r="F399" s="457"/>
      <c r="G399" s="812"/>
      <c r="H399" s="814"/>
      <c r="I399" s="997">
        <f>SUM(I400:J401)</f>
        <v>20000</v>
      </c>
      <c r="J399" s="998"/>
      <c r="K399" s="843" t="s">
        <v>878</v>
      </c>
    </row>
    <row r="400" spans="1:11" ht="35.25" customHeight="1" x14ac:dyDescent="0.3">
      <c r="A400" s="576" t="s">
        <v>27</v>
      </c>
      <c r="B400" s="835" t="s">
        <v>173</v>
      </c>
      <c r="C400" s="835"/>
      <c r="D400" s="835"/>
      <c r="E400" s="648" t="s">
        <v>308</v>
      </c>
      <c r="F400" s="577">
        <v>872</v>
      </c>
      <c r="G400" s="978" t="s">
        <v>260</v>
      </c>
      <c r="H400" s="978"/>
      <c r="I400" s="991">
        <v>20000</v>
      </c>
      <c r="J400" s="992"/>
      <c r="K400" s="844"/>
    </row>
    <row r="401" spans="1:12" ht="21.75" customHeight="1" x14ac:dyDescent="0.3">
      <c r="A401" s="415" t="s">
        <v>27</v>
      </c>
      <c r="B401" s="1008"/>
      <c r="C401" s="1009"/>
      <c r="D401" s="1010"/>
      <c r="E401" s="648"/>
      <c r="F401" s="416"/>
      <c r="G401" s="978"/>
      <c r="H401" s="978"/>
      <c r="I401" s="991"/>
      <c r="J401" s="992"/>
      <c r="K401" s="844"/>
    </row>
    <row r="402" spans="1:12" ht="21.75" customHeight="1" x14ac:dyDescent="0.3">
      <c r="A402" s="576"/>
      <c r="B402" s="847" t="s">
        <v>13</v>
      </c>
      <c r="C402" s="847"/>
      <c r="D402" s="847"/>
      <c r="E402" s="1045" t="s">
        <v>74</v>
      </c>
      <c r="F402" s="1046"/>
      <c r="G402" s="842" t="s">
        <v>14</v>
      </c>
      <c r="H402" s="842"/>
      <c r="I402" s="848">
        <f>I399</f>
        <v>20000</v>
      </c>
      <c r="J402" s="1007"/>
      <c r="K402" s="845"/>
    </row>
    <row r="403" spans="1:12" hidden="1" x14ac:dyDescent="0.3">
      <c r="A403" s="871" t="s">
        <v>546</v>
      </c>
      <c r="B403" s="871"/>
      <c r="C403" s="871"/>
      <c r="D403" s="871"/>
      <c r="E403" s="871"/>
      <c r="F403" s="871"/>
      <c r="G403" s="871"/>
      <c r="H403" s="871"/>
      <c r="I403" s="871"/>
      <c r="J403" s="871"/>
    </row>
    <row r="404" spans="1:12" ht="15" hidden="1" customHeight="1" x14ac:dyDescent="0.3">
      <c r="A404" s="566" t="s">
        <v>1</v>
      </c>
      <c r="B404" s="778" t="s">
        <v>15</v>
      </c>
      <c r="C404" s="778"/>
      <c r="D404" s="778"/>
      <c r="E404" s="778" t="s">
        <v>58</v>
      </c>
      <c r="F404" s="778"/>
      <c r="G404" s="778" t="s">
        <v>66</v>
      </c>
      <c r="H404" s="778"/>
      <c r="I404" s="778" t="s">
        <v>264</v>
      </c>
      <c r="J404" s="778"/>
    </row>
    <row r="405" spans="1:12" hidden="1" x14ac:dyDescent="0.3">
      <c r="A405" s="566">
        <v>1</v>
      </c>
      <c r="B405" s="778">
        <v>2</v>
      </c>
      <c r="C405" s="778"/>
      <c r="D405" s="778"/>
      <c r="E405" s="778">
        <v>3</v>
      </c>
      <c r="F405" s="778"/>
      <c r="G405" s="778">
        <v>4</v>
      </c>
      <c r="H405" s="778"/>
      <c r="I405" s="778">
        <v>5</v>
      </c>
      <c r="J405" s="778"/>
    </row>
    <row r="406" spans="1:12" ht="30.75" hidden="1" customHeight="1" x14ac:dyDescent="0.3">
      <c r="A406" s="576" t="s">
        <v>70</v>
      </c>
      <c r="B406" s="809" t="s">
        <v>172</v>
      </c>
      <c r="C406" s="810"/>
      <c r="D406" s="811"/>
      <c r="E406" s="648"/>
      <c r="F406" s="648"/>
      <c r="G406" s="820"/>
      <c r="H406" s="822"/>
      <c r="I406" s="991">
        <f>SUM(I407:J408)</f>
        <v>0</v>
      </c>
      <c r="J406" s="992"/>
      <c r="K406" s="348"/>
      <c r="L406" s="331"/>
    </row>
    <row r="407" spans="1:12" hidden="1" x14ac:dyDescent="0.3">
      <c r="A407" s="576" t="s">
        <v>27</v>
      </c>
      <c r="B407" s="1042" t="s">
        <v>173</v>
      </c>
      <c r="C407" s="1042"/>
      <c r="D407" s="1042"/>
      <c r="E407" s="648" t="s">
        <v>308</v>
      </c>
      <c r="F407" s="577"/>
      <c r="G407" s="978" t="s">
        <v>260</v>
      </c>
      <c r="H407" s="978"/>
      <c r="I407" s="991"/>
      <c r="J407" s="992"/>
      <c r="K407" s="348"/>
      <c r="L407" s="331"/>
    </row>
    <row r="408" spans="1:12" hidden="1" x14ac:dyDescent="0.3">
      <c r="A408" s="415" t="s">
        <v>27</v>
      </c>
      <c r="B408" s="1008"/>
      <c r="C408" s="1009"/>
      <c r="D408" s="1010"/>
      <c r="E408" s="648"/>
      <c r="F408" s="416"/>
      <c r="G408" s="978"/>
      <c r="H408" s="978"/>
      <c r="I408" s="991"/>
      <c r="J408" s="992"/>
    </row>
    <row r="409" spans="1:12" s="425" customFormat="1" ht="15" hidden="1" customHeight="1" x14ac:dyDescent="0.3">
      <c r="A409" s="576"/>
      <c r="B409" s="847" t="s">
        <v>13</v>
      </c>
      <c r="C409" s="847"/>
      <c r="D409" s="847"/>
      <c r="E409" s="1045" t="s">
        <v>74</v>
      </c>
      <c r="F409" s="1046"/>
      <c r="G409" s="842" t="s">
        <v>14</v>
      </c>
      <c r="H409" s="842"/>
      <c r="I409" s="834">
        <f>I406</f>
        <v>0</v>
      </c>
      <c r="J409" s="842"/>
      <c r="K409" s="424"/>
    </row>
    <row r="410" spans="1:12" s="425" customFormat="1" ht="15" customHeight="1" x14ac:dyDescent="0.3">
      <c r="A410" s="871" t="s">
        <v>547</v>
      </c>
      <c r="B410" s="871"/>
      <c r="C410" s="871"/>
      <c r="D410" s="871"/>
      <c r="E410" s="871"/>
      <c r="F410" s="871"/>
      <c r="G410" s="871"/>
      <c r="H410" s="871"/>
      <c r="I410" s="871"/>
      <c r="J410" s="871"/>
      <c r="K410" s="424"/>
    </row>
    <row r="411" spans="1:12" s="425" customFormat="1" ht="15" customHeight="1" x14ac:dyDescent="0.3">
      <c r="A411" s="566" t="s">
        <v>1</v>
      </c>
      <c r="B411" s="778" t="s">
        <v>15</v>
      </c>
      <c r="C411" s="778"/>
      <c r="D411" s="778"/>
      <c r="E411" s="778" t="s">
        <v>58</v>
      </c>
      <c r="F411" s="778"/>
      <c r="G411" s="778" t="s">
        <v>66</v>
      </c>
      <c r="H411" s="778"/>
      <c r="I411" s="778" t="s">
        <v>264</v>
      </c>
      <c r="J411" s="778"/>
      <c r="K411" s="424"/>
    </row>
    <row r="412" spans="1:12" s="425" customFormat="1" ht="15" customHeight="1" x14ac:dyDescent="0.3">
      <c r="A412" s="566">
        <v>1</v>
      </c>
      <c r="B412" s="778">
        <v>2</v>
      </c>
      <c r="C412" s="778"/>
      <c r="D412" s="778"/>
      <c r="E412" s="778">
        <v>3</v>
      </c>
      <c r="F412" s="778"/>
      <c r="G412" s="778">
        <v>4</v>
      </c>
      <c r="H412" s="778"/>
      <c r="I412" s="778">
        <v>5</v>
      </c>
      <c r="J412" s="778"/>
      <c r="K412" s="424"/>
    </row>
    <row r="413" spans="1:12" s="425" customFormat="1" ht="39.75" customHeight="1" x14ac:dyDescent="0.3">
      <c r="A413" s="576" t="s">
        <v>70</v>
      </c>
      <c r="B413" s="809" t="s">
        <v>172</v>
      </c>
      <c r="C413" s="810"/>
      <c r="D413" s="811"/>
      <c r="E413" s="648"/>
      <c r="F413" s="648"/>
      <c r="G413" s="820"/>
      <c r="H413" s="822"/>
      <c r="I413" s="991">
        <f>SUM(I414:J415)</f>
        <v>55000</v>
      </c>
      <c r="J413" s="992"/>
      <c r="K413" s="424"/>
    </row>
    <row r="414" spans="1:12" s="425" customFormat="1" ht="22.5" customHeight="1" x14ac:dyDescent="0.3">
      <c r="A414" s="576" t="s">
        <v>27</v>
      </c>
      <c r="B414" s="1042" t="s">
        <v>549</v>
      </c>
      <c r="C414" s="1042"/>
      <c r="D414" s="1042"/>
      <c r="E414" s="648"/>
      <c r="F414" s="577"/>
      <c r="G414" s="978" t="s">
        <v>260</v>
      </c>
      <c r="H414" s="978"/>
      <c r="I414" s="991">
        <v>55000</v>
      </c>
      <c r="J414" s="992"/>
      <c r="K414" s="424"/>
    </row>
    <row r="415" spans="1:12" s="426" customFormat="1" ht="15" hidden="1" customHeight="1" x14ac:dyDescent="0.3">
      <c r="A415" s="415" t="s">
        <v>27</v>
      </c>
      <c r="B415" s="1008"/>
      <c r="C415" s="1009"/>
      <c r="D415" s="1010"/>
      <c r="E415" s="648"/>
      <c r="F415" s="416"/>
      <c r="G415" s="978"/>
      <c r="H415" s="978"/>
      <c r="I415" s="991"/>
      <c r="J415" s="992"/>
      <c r="K415" s="424"/>
    </row>
    <row r="416" spans="1:12" s="425" customFormat="1" ht="18" customHeight="1" x14ac:dyDescent="0.3">
      <c r="A416" s="576"/>
      <c r="B416" s="847" t="s">
        <v>13</v>
      </c>
      <c r="C416" s="847"/>
      <c r="D416" s="847"/>
      <c r="E416" s="1045" t="s">
        <v>74</v>
      </c>
      <c r="F416" s="1046"/>
      <c r="G416" s="842" t="s">
        <v>14</v>
      </c>
      <c r="H416" s="842"/>
      <c r="I416" s="848">
        <f>I413</f>
        <v>55000</v>
      </c>
      <c r="J416" s="1007"/>
      <c r="K416" s="424"/>
    </row>
    <row r="417" spans="1:11" s="426" customFormat="1" ht="15" hidden="1" customHeight="1" x14ac:dyDescent="0.3">
      <c r="A417" s="871" t="s">
        <v>548</v>
      </c>
      <c r="B417" s="871"/>
      <c r="C417" s="871"/>
      <c r="D417" s="871"/>
      <c r="E417" s="871"/>
      <c r="F417" s="871"/>
      <c r="G417" s="871"/>
      <c r="H417" s="871"/>
      <c r="I417" s="871"/>
      <c r="J417" s="871"/>
      <c r="K417" s="424"/>
    </row>
    <row r="418" spans="1:11" s="426" customFormat="1" ht="15" hidden="1" customHeight="1" x14ac:dyDescent="0.3">
      <c r="A418" s="566" t="s">
        <v>1</v>
      </c>
      <c r="B418" s="778" t="s">
        <v>15</v>
      </c>
      <c r="C418" s="778"/>
      <c r="D418" s="778"/>
      <c r="E418" s="778" t="s">
        <v>58</v>
      </c>
      <c r="F418" s="778"/>
      <c r="G418" s="778" t="s">
        <v>66</v>
      </c>
      <c r="H418" s="778"/>
      <c r="I418" s="778" t="s">
        <v>264</v>
      </c>
      <c r="J418" s="778"/>
      <c r="K418" s="1089" t="s">
        <v>779</v>
      </c>
    </row>
    <row r="419" spans="1:11" s="426" customFormat="1" ht="15" hidden="1" customHeight="1" x14ac:dyDescent="0.3">
      <c r="A419" s="566">
        <v>1</v>
      </c>
      <c r="B419" s="778">
        <v>2</v>
      </c>
      <c r="C419" s="778"/>
      <c r="D419" s="778"/>
      <c r="E419" s="778">
        <v>3</v>
      </c>
      <c r="F419" s="778"/>
      <c r="G419" s="778">
        <v>4</v>
      </c>
      <c r="H419" s="778"/>
      <c r="I419" s="778">
        <v>5</v>
      </c>
      <c r="J419" s="778"/>
      <c r="K419" s="1089"/>
    </row>
    <row r="420" spans="1:11" s="426" customFormat="1" ht="38.25" hidden="1" customHeight="1" x14ac:dyDescent="0.3">
      <c r="A420" s="576" t="s">
        <v>70</v>
      </c>
      <c r="B420" s="809" t="s">
        <v>172</v>
      </c>
      <c r="C420" s="810"/>
      <c r="D420" s="811"/>
      <c r="E420" s="648"/>
      <c r="F420" s="648"/>
      <c r="G420" s="820"/>
      <c r="H420" s="822"/>
      <c r="I420" s="991">
        <f>SUM(I421:J422)</f>
        <v>0</v>
      </c>
      <c r="J420" s="992"/>
      <c r="K420" s="1071" t="s">
        <v>729</v>
      </c>
    </row>
    <row r="421" spans="1:11" s="426" customFormat="1" ht="38.25" hidden="1" customHeight="1" x14ac:dyDescent="0.3">
      <c r="A421" s="576" t="s">
        <v>27</v>
      </c>
      <c r="B421" s="1042" t="s">
        <v>730</v>
      </c>
      <c r="C421" s="1042"/>
      <c r="D421" s="1042"/>
      <c r="E421" s="648" t="s">
        <v>308</v>
      </c>
      <c r="F421" s="577"/>
      <c r="G421" s="978" t="s">
        <v>260</v>
      </c>
      <c r="H421" s="978"/>
      <c r="I421" s="991">
        <v>0</v>
      </c>
      <c r="J421" s="992"/>
      <c r="K421" s="1071"/>
    </row>
    <row r="422" spans="1:11" s="426" customFormat="1" ht="15" hidden="1" customHeight="1" x14ac:dyDescent="0.3">
      <c r="A422" s="415" t="s">
        <v>27</v>
      </c>
      <c r="B422" s="1008"/>
      <c r="C422" s="1009"/>
      <c r="D422" s="1010"/>
      <c r="E422" s="648"/>
      <c r="F422" s="416"/>
      <c r="G422" s="978"/>
      <c r="H422" s="978"/>
      <c r="I422" s="991"/>
      <c r="J422" s="992"/>
      <c r="K422" s="1071"/>
    </row>
    <row r="423" spans="1:11" s="426" customFormat="1" ht="15" hidden="1" customHeight="1" x14ac:dyDescent="0.3">
      <c r="A423" s="576"/>
      <c r="B423" s="847" t="s">
        <v>13</v>
      </c>
      <c r="C423" s="847"/>
      <c r="D423" s="847"/>
      <c r="E423" s="1045" t="s">
        <v>74</v>
      </c>
      <c r="F423" s="1046"/>
      <c r="G423" s="842" t="s">
        <v>14</v>
      </c>
      <c r="H423" s="842"/>
      <c r="I423" s="834">
        <f>I420</f>
        <v>0</v>
      </c>
      <c r="J423" s="842"/>
      <c r="K423" s="424"/>
    </row>
    <row r="424" spans="1:11" s="426" customFormat="1" ht="15" customHeight="1" x14ac:dyDescent="0.3">
      <c r="A424" s="871" t="s">
        <v>551</v>
      </c>
      <c r="B424" s="871"/>
      <c r="C424" s="871"/>
      <c r="D424" s="871"/>
      <c r="E424" s="871"/>
      <c r="F424" s="871"/>
      <c r="G424" s="871"/>
      <c r="H424" s="871"/>
      <c r="I424" s="871"/>
      <c r="J424" s="871"/>
      <c r="K424" s="424"/>
    </row>
    <row r="425" spans="1:11" s="426" customFormat="1" ht="15" customHeight="1" x14ac:dyDescent="0.3">
      <c r="A425" s="566" t="s">
        <v>1</v>
      </c>
      <c r="B425" s="778" t="s">
        <v>15</v>
      </c>
      <c r="C425" s="778"/>
      <c r="D425" s="778"/>
      <c r="E425" s="778" t="s">
        <v>58</v>
      </c>
      <c r="F425" s="778"/>
      <c r="G425" s="778" t="s">
        <v>66</v>
      </c>
      <c r="H425" s="778"/>
      <c r="I425" s="778" t="s">
        <v>264</v>
      </c>
      <c r="J425" s="778"/>
      <c r="K425" s="1070" t="s">
        <v>780</v>
      </c>
    </row>
    <row r="426" spans="1:11" s="426" customFormat="1" ht="15" customHeight="1" x14ac:dyDescent="0.3">
      <c r="A426" s="566">
        <v>1</v>
      </c>
      <c r="B426" s="778">
        <v>2</v>
      </c>
      <c r="C426" s="778"/>
      <c r="D426" s="778"/>
      <c r="E426" s="778">
        <v>3</v>
      </c>
      <c r="F426" s="778"/>
      <c r="G426" s="778">
        <v>4</v>
      </c>
      <c r="H426" s="778"/>
      <c r="I426" s="778">
        <v>5</v>
      </c>
      <c r="J426" s="778"/>
      <c r="K426" s="1070"/>
    </row>
    <row r="427" spans="1:11" s="426" customFormat="1" ht="36" customHeight="1" x14ac:dyDescent="0.3">
      <c r="A427" s="576" t="s">
        <v>70</v>
      </c>
      <c r="B427" s="809" t="s">
        <v>172</v>
      </c>
      <c r="C427" s="810"/>
      <c r="D427" s="811"/>
      <c r="E427" s="648"/>
      <c r="F427" s="648"/>
      <c r="G427" s="820"/>
      <c r="H427" s="822"/>
      <c r="I427" s="991">
        <v>30000</v>
      </c>
      <c r="J427" s="992"/>
      <c r="K427" s="1071" t="s">
        <v>847</v>
      </c>
    </row>
    <row r="428" spans="1:11" s="426" customFormat="1" ht="15" customHeight="1" x14ac:dyDescent="0.3">
      <c r="A428" s="576" t="s">
        <v>27</v>
      </c>
      <c r="B428" s="1042" t="s">
        <v>550</v>
      </c>
      <c r="C428" s="1042"/>
      <c r="D428" s="1042"/>
      <c r="E428" s="648" t="s">
        <v>308</v>
      </c>
      <c r="F428" s="577">
        <v>856</v>
      </c>
      <c r="G428" s="978" t="s">
        <v>260</v>
      </c>
      <c r="H428" s="978"/>
      <c r="I428" s="1081">
        <f>I427</f>
        <v>30000</v>
      </c>
      <c r="J428" s="1082"/>
      <c r="K428" s="1071"/>
    </row>
    <row r="429" spans="1:11" s="426" customFormat="1" ht="0.75" hidden="1" customHeight="1" x14ac:dyDescent="0.3">
      <c r="A429" s="415" t="s">
        <v>27</v>
      </c>
      <c r="B429" s="1008" t="s">
        <v>774</v>
      </c>
      <c r="C429" s="1009"/>
      <c r="D429" s="1010"/>
      <c r="E429" s="648"/>
      <c r="F429" s="416"/>
      <c r="G429" s="978"/>
      <c r="H429" s="978"/>
      <c r="I429" s="991">
        <v>0</v>
      </c>
      <c r="J429" s="992"/>
      <c r="K429" s="1071"/>
    </row>
    <row r="430" spans="1:11" s="425" customFormat="1" x14ac:dyDescent="0.3">
      <c r="A430" s="1076" t="s">
        <v>552</v>
      </c>
      <c r="B430" s="1076"/>
      <c r="C430" s="1076"/>
      <c r="D430" s="1076"/>
      <c r="E430" s="1076"/>
      <c r="F430" s="1076"/>
      <c r="G430" s="1076"/>
      <c r="H430" s="1076"/>
      <c r="I430" s="1076"/>
      <c r="J430" s="1076"/>
      <c r="K430" s="424"/>
    </row>
    <row r="431" spans="1:11" s="425" customFormat="1" ht="13.8" x14ac:dyDescent="0.3">
      <c r="A431" s="566" t="s">
        <v>1</v>
      </c>
      <c r="B431" s="778" t="s">
        <v>15</v>
      </c>
      <c r="C431" s="778"/>
      <c r="D431" s="778"/>
      <c r="E431" s="778" t="s">
        <v>58</v>
      </c>
      <c r="F431" s="778"/>
      <c r="G431" s="778" t="s">
        <v>66</v>
      </c>
      <c r="H431" s="778"/>
      <c r="I431" s="778" t="s">
        <v>264</v>
      </c>
      <c r="J431" s="778"/>
      <c r="K431" s="1070" t="s">
        <v>781</v>
      </c>
    </row>
    <row r="432" spans="1:11" s="425" customFormat="1" ht="13.8" x14ac:dyDescent="0.3">
      <c r="A432" s="566">
        <v>1</v>
      </c>
      <c r="B432" s="778">
        <v>2</v>
      </c>
      <c r="C432" s="778"/>
      <c r="D432" s="778"/>
      <c r="E432" s="778">
        <v>3</v>
      </c>
      <c r="F432" s="778"/>
      <c r="G432" s="778">
        <v>4</v>
      </c>
      <c r="H432" s="778"/>
      <c r="I432" s="778">
        <v>5</v>
      </c>
      <c r="J432" s="778"/>
      <c r="K432" s="1070"/>
    </row>
    <row r="433" spans="1:12" s="425" customFormat="1" ht="46.5" customHeight="1" x14ac:dyDescent="0.3">
      <c r="A433" s="578">
        <v>1</v>
      </c>
      <c r="B433" s="827" t="s">
        <v>172</v>
      </c>
      <c r="C433" s="828"/>
      <c r="D433" s="829"/>
      <c r="E433" s="457"/>
      <c r="F433" s="457"/>
      <c r="G433" s="812"/>
      <c r="H433" s="814"/>
      <c r="I433" s="1048">
        <f>I434+I435+I437+I436</f>
        <v>220000</v>
      </c>
      <c r="J433" s="1049"/>
      <c r="K433" s="1071" t="s">
        <v>783</v>
      </c>
    </row>
    <row r="434" spans="1:12" s="425" customFormat="1" ht="20.25" customHeight="1" x14ac:dyDescent="0.3">
      <c r="A434" s="576" t="s">
        <v>27</v>
      </c>
      <c r="B434" s="1042" t="s">
        <v>553</v>
      </c>
      <c r="C434" s="1042"/>
      <c r="D434" s="1042"/>
      <c r="E434" s="648" t="s">
        <v>308</v>
      </c>
      <c r="F434" s="577">
        <v>856</v>
      </c>
      <c r="G434" s="978"/>
      <c r="H434" s="978"/>
      <c r="I434" s="1047">
        <v>110000</v>
      </c>
      <c r="J434" s="1012"/>
      <c r="K434" s="1071"/>
    </row>
    <row r="435" spans="1:12" s="425" customFormat="1" ht="21.75" customHeight="1" x14ac:dyDescent="0.3">
      <c r="A435" s="576" t="s">
        <v>29</v>
      </c>
      <c r="B435" s="1042" t="s">
        <v>554</v>
      </c>
      <c r="C435" s="1042"/>
      <c r="D435" s="1042"/>
      <c r="E435" s="648" t="s">
        <v>308</v>
      </c>
      <c r="F435" s="577">
        <v>856</v>
      </c>
      <c r="G435" s="978"/>
      <c r="H435" s="978"/>
      <c r="I435" s="1047">
        <v>110000</v>
      </c>
      <c r="J435" s="1012"/>
      <c r="K435" s="1071"/>
    </row>
    <row r="436" spans="1:12" s="425" customFormat="1" ht="14.4" hidden="1" x14ac:dyDescent="0.3">
      <c r="A436" s="576" t="s">
        <v>31</v>
      </c>
      <c r="B436" s="1008" t="s">
        <v>769</v>
      </c>
      <c r="C436" s="1009"/>
      <c r="D436" s="1010"/>
      <c r="E436" s="648"/>
      <c r="F436" s="577"/>
      <c r="G436" s="823"/>
      <c r="H436" s="824"/>
      <c r="I436" s="1072">
        <f>10000-10000</f>
        <v>0</v>
      </c>
      <c r="J436" s="1073"/>
      <c r="K436" s="1071"/>
    </row>
    <row r="437" spans="1:12" s="425" customFormat="1" ht="14.4" hidden="1" x14ac:dyDescent="0.3">
      <c r="A437" s="576" t="s">
        <v>268</v>
      </c>
      <c r="B437" s="1008" t="s">
        <v>775</v>
      </c>
      <c r="C437" s="1009"/>
      <c r="D437" s="1010"/>
      <c r="E437" s="648"/>
      <c r="F437" s="577"/>
      <c r="G437" s="823"/>
      <c r="H437" s="824"/>
      <c r="I437" s="1072">
        <v>0</v>
      </c>
      <c r="J437" s="1073"/>
      <c r="K437" s="1071"/>
    </row>
    <row r="438" spans="1:12" s="425" customFormat="1" ht="28.5" customHeight="1" x14ac:dyDescent="0.3">
      <c r="A438" s="456" t="s">
        <v>75</v>
      </c>
      <c r="B438" s="827" t="s">
        <v>187</v>
      </c>
      <c r="C438" s="828"/>
      <c r="D438" s="829"/>
      <c r="E438" s="457"/>
      <c r="F438" s="444"/>
      <c r="G438" s="1069"/>
      <c r="H438" s="1069"/>
      <c r="I438" s="1048">
        <f>I439+I440</f>
        <v>900000</v>
      </c>
      <c r="J438" s="1049"/>
      <c r="K438" s="1071"/>
    </row>
    <row r="439" spans="1:12" s="425" customFormat="1" ht="48.75" customHeight="1" x14ac:dyDescent="0.3">
      <c r="A439" s="415" t="s">
        <v>34</v>
      </c>
      <c r="B439" s="999" t="s">
        <v>555</v>
      </c>
      <c r="C439" s="1000"/>
      <c r="D439" s="1001"/>
      <c r="E439" s="648" t="s">
        <v>308</v>
      </c>
      <c r="F439" s="577">
        <v>856</v>
      </c>
      <c r="G439" s="978"/>
      <c r="H439" s="978"/>
      <c r="I439" s="1047">
        <v>500000</v>
      </c>
      <c r="J439" s="1012"/>
      <c r="K439" s="1071"/>
    </row>
    <row r="440" spans="1:12" s="425" customFormat="1" ht="65.25" customHeight="1" x14ac:dyDescent="0.3">
      <c r="A440" s="415" t="s">
        <v>36</v>
      </c>
      <c r="B440" s="999" t="s">
        <v>556</v>
      </c>
      <c r="C440" s="1000"/>
      <c r="D440" s="1001"/>
      <c r="E440" s="648" t="s">
        <v>308</v>
      </c>
      <c r="F440" s="577">
        <v>856</v>
      </c>
      <c r="G440" s="978"/>
      <c r="H440" s="978"/>
      <c r="I440" s="1047">
        <v>400000</v>
      </c>
      <c r="J440" s="1012"/>
      <c r="K440" s="1071"/>
    </row>
    <row r="441" spans="1:12" s="425" customFormat="1" ht="48" hidden="1" customHeight="1" x14ac:dyDescent="0.3">
      <c r="A441" s="576" t="s">
        <v>77</v>
      </c>
      <c r="B441" s="809" t="s">
        <v>534</v>
      </c>
      <c r="C441" s="810"/>
      <c r="D441" s="811"/>
      <c r="E441" s="858"/>
      <c r="F441" s="859"/>
      <c r="G441" s="858"/>
      <c r="H441" s="859"/>
      <c r="I441" s="1074">
        <f>I442</f>
        <v>0</v>
      </c>
      <c r="J441" s="1075"/>
      <c r="K441" s="1071"/>
    </row>
    <row r="442" spans="1:12" s="425" customFormat="1" ht="48" hidden="1" customHeight="1" x14ac:dyDescent="0.3">
      <c r="A442" s="415" t="s">
        <v>381</v>
      </c>
      <c r="B442" s="999" t="s">
        <v>632</v>
      </c>
      <c r="C442" s="1000"/>
      <c r="D442" s="1001"/>
      <c r="E442" s="648"/>
      <c r="F442" s="577"/>
      <c r="G442" s="823"/>
      <c r="H442" s="824"/>
      <c r="I442" s="1072">
        <v>0</v>
      </c>
      <c r="J442" s="1073"/>
      <c r="K442" s="1071"/>
    </row>
    <row r="443" spans="1:12" ht="74.25" customHeight="1" x14ac:dyDescent="0.3">
      <c r="A443" s="578" t="s">
        <v>77</v>
      </c>
      <c r="B443" s="827" t="s">
        <v>597</v>
      </c>
      <c r="C443" s="828"/>
      <c r="D443" s="829"/>
      <c r="E443" s="849" t="s">
        <v>74</v>
      </c>
      <c r="F443" s="850"/>
      <c r="G443" s="849" t="s">
        <v>74</v>
      </c>
      <c r="H443" s="850"/>
      <c r="I443" s="1079">
        <f>I444</f>
        <v>70000</v>
      </c>
      <c r="J443" s="1005"/>
      <c r="K443" s="1071"/>
    </row>
    <row r="444" spans="1:12" s="317" customFormat="1" ht="18.75" customHeight="1" x14ac:dyDescent="0.3">
      <c r="A444" s="415" t="s">
        <v>381</v>
      </c>
      <c r="B444" s="999" t="s">
        <v>799</v>
      </c>
      <c r="C444" s="1000"/>
      <c r="D444" s="1001"/>
      <c r="E444" s="648" t="s">
        <v>308</v>
      </c>
      <c r="F444" s="577">
        <v>856</v>
      </c>
      <c r="G444" s="978" t="s">
        <v>260</v>
      </c>
      <c r="H444" s="978"/>
      <c r="I444" s="1047">
        <v>70000</v>
      </c>
      <c r="J444" s="1012"/>
      <c r="K444" s="1071"/>
      <c r="L444" s="425"/>
    </row>
    <row r="445" spans="1:12" s="317" customFormat="1" ht="30" hidden="1" customHeight="1" x14ac:dyDescent="0.3">
      <c r="A445" s="415" t="s">
        <v>87</v>
      </c>
      <c r="B445" s="809" t="s">
        <v>614</v>
      </c>
      <c r="C445" s="810"/>
      <c r="D445" s="811"/>
      <c r="E445" s="565"/>
      <c r="F445" s="592"/>
      <c r="G445" s="823"/>
      <c r="H445" s="824"/>
      <c r="I445" s="1072">
        <f>SUM(I446:J446)</f>
        <v>0</v>
      </c>
      <c r="J445" s="1073"/>
      <c r="K445" s="1071"/>
      <c r="L445" s="425"/>
    </row>
    <row r="446" spans="1:12" s="317" customFormat="1" ht="30" hidden="1" customHeight="1" x14ac:dyDescent="0.3">
      <c r="A446" s="415" t="s">
        <v>531</v>
      </c>
      <c r="B446" s="820" t="s">
        <v>617</v>
      </c>
      <c r="C446" s="821"/>
      <c r="D446" s="822"/>
      <c r="E446" s="565"/>
      <c r="F446" s="592"/>
      <c r="G446" s="823"/>
      <c r="H446" s="824"/>
      <c r="I446" s="1072">
        <v>0</v>
      </c>
      <c r="J446" s="1073"/>
      <c r="K446" s="1071"/>
      <c r="L446" s="425"/>
    </row>
    <row r="447" spans="1:12" ht="14.4" hidden="1" x14ac:dyDescent="0.3">
      <c r="A447" s="415"/>
      <c r="B447" s="826"/>
      <c r="C447" s="826"/>
      <c r="D447" s="826"/>
      <c r="E447" s="648"/>
      <c r="F447" s="577"/>
      <c r="G447" s="978"/>
      <c r="H447" s="978"/>
      <c r="I447" s="1072"/>
      <c r="J447" s="1073"/>
      <c r="K447" s="1071"/>
    </row>
    <row r="448" spans="1:12" ht="15.75" customHeight="1" x14ac:dyDescent="0.3">
      <c r="A448" s="1076" t="s">
        <v>557</v>
      </c>
      <c r="B448" s="1076"/>
      <c r="C448" s="1076"/>
      <c r="D448" s="1076"/>
      <c r="E448" s="1076"/>
      <c r="F448" s="1076"/>
      <c r="G448" s="1076"/>
      <c r="H448" s="1076"/>
      <c r="I448" s="1076"/>
      <c r="J448" s="1076"/>
      <c r="K448" s="500"/>
    </row>
    <row r="449" spans="1:13" ht="25.5" customHeight="1" x14ac:dyDescent="0.3">
      <c r="A449" s="566" t="s">
        <v>1</v>
      </c>
      <c r="B449" s="778" t="s">
        <v>15</v>
      </c>
      <c r="C449" s="778"/>
      <c r="D449" s="778"/>
      <c r="E449" s="778" t="s">
        <v>58</v>
      </c>
      <c r="F449" s="778"/>
      <c r="G449" s="778" t="s">
        <v>66</v>
      </c>
      <c r="H449" s="778"/>
      <c r="I449" s="778" t="s">
        <v>264</v>
      </c>
      <c r="J449" s="855"/>
      <c r="K449" s="500"/>
    </row>
    <row r="450" spans="1:13" ht="15" customHeight="1" x14ac:dyDescent="0.3">
      <c r="A450" s="566">
        <v>1</v>
      </c>
      <c r="B450" s="778">
        <v>2</v>
      </c>
      <c r="C450" s="778"/>
      <c r="D450" s="778"/>
      <c r="E450" s="778">
        <v>3</v>
      </c>
      <c r="F450" s="778"/>
      <c r="G450" s="778">
        <v>4</v>
      </c>
      <c r="H450" s="778"/>
      <c r="I450" s="778">
        <v>5</v>
      </c>
      <c r="J450" s="855"/>
      <c r="K450" s="500"/>
    </row>
    <row r="451" spans="1:13" ht="36.75" customHeight="1" x14ac:dyDescent="0.3">
      <c r="A451" s="456" t="s">
        <v>70</v>
      </c>
      <c r="B451" s="827" t="s">
        <v>187</v>
      </c>
      <c r="C451" s="828"/>
      <c r="D451" s="829"/>
      <c r="E451" s="1045"/>
      <c r="F451" s="1046"/>
      <c r="G451" s="1069"/>
      <c r="H451" s="1069"/>
      <c r="I451" s="997">
        <f>I452</f>
        <v>30000</v>
      </c>
      <c r="J451" s="997"/>
      <c r="K451" s="500"/>
    </row>
    <row r="452" spans="1:13" ht="15" customHeight="1" x14ac:dyDescent="0.3">
      <c r="A452" s="415" t="s">
        <v>27</v>
      </c>
      <c r="B452" s="1042" t="s">
        <v>558</v>
      </c>
      <c r="C452" s="1042"/>
      <c r="D452" s="1042"/>
      <c r="E452" s="1062"/>
      <c r="F452" s="1063"/>
      <c r="G452" s="978"/>
      <c r="H452" s="978"/>
      <c r="I452" s="1068">
        <v>30000</v>
      </c>
      <c r="J452" s="1068"/>
      <c r="K452" s="500"/>
    </row>
    <row r="453" spans="1:13" ht="15" hidden="1" customHeight="1" x14ac:dyDescent="0.3">
      <c r="A453" s="415"/>
      <c r="B453" s="820"/>
      <c r="C453" s="821"/>
      <c r="D453" s="822"/>
      <c r="E453" s="1062"/>
      <c r="F453" s="1063"/>
      <c r="G453" s="823"/>
      <c r="H453" s="824"/>
      <c r="I453" s="633"/>
      <c r="J453" s="499"/>
      <c r="K453" s="500"/>
    </row>
    <row r="454" spans="1:13" ht="17.25" customHeight="1" x14ac:dyDescent="0.3">
      <c r="A454" s="415"/>
      <c r="B454" s="847" t="s">
        <v>605</v>
      </c>
      <c r="C454" s="847"/>
      <c r="D454" s="847"/>
      <c r="E454" s="1062"/>
      <c r="F454" s="1063"/>
      <c r="G454" s="978"/>
      <c r="H454" s="978"/>
      <c r="I454" s="1081">
        <f>I399+I406+I413+I420+I427+I433+I438+I441+I451+I443+I445</f>
        <v>1325000</v>
      </c>
      <c r="J454" s="1081"/>
      <c r="K454" s="501"/>
    </row>
    <row r="455" spans="1:13" hidden="1" x14ac:dyDescent="0.3">
      <c r="A455" s="1080" t="s">
        <v>385</v>
      </c>
      <c r="B455" s="1080"/>
      <c r="C455" s="1080"/>
      <c r="D455" s="1080"/>
      <c r="E455" s="1080"/>
      <c r="F455" s="1080"/>
      <c r="G455" s="1080"/>
      <c r="H455" s="1080"/>
      <c r="I455" s="1080"/>
      <c r="J455" s="1080"/>
    </row>
    <row r="456" spans="1:13" hidden="1" x14ac:dyDescent="0.3">
      <c r="A456" s="894" t="s">
        <v>1</v>
      </c>
      <c r="B456" s="885" t="s">
        <v>15</v>
      </c>
      <c r="C456" s="886"/>
      <c r="D456" s="887"/>
      <c r="E456" s="885" t="s">
        <v>64</v>
      </c>
      <c r="F456" s="887"/>
      <c r="G456" s="778" t="s">
        <v>65</v>
      </c>
      <c r="H456" s="778"/>
      <c r="I456" s="778"/>
      <c r="J456" s="778"/>
    </row>
    <row r="457" spans="1:13" hidden="1" x14ac:dyDescent="0.3">
      <c r="A457" s="895"/>
      <c r="B457" s="888"/>
      <c r="C457" s="889"/>
      <c r="D457" s="890"/>
      <c r="E457" s="888"/>
      <c r="F457" s="890"/>
      <c r="G457" s="566" t="s">
        <v>305</v>
      </c>
      <c r="H457" s="566" t="s">
        <v>302</v>
      </c>
      <c r="I457" s="566" t="s">
        <v>303</v>
      </c>
      <c r="J457" s="566" t="s">
        <v>304</v>
      </c>
    </row>
    <row r="458" spans="1:13" hidden="1" x14ac:dyDescent="0.3">
      <c r="A458" s="566">
        <v>1</v>
      </c>
      <c r="B458" s="778">
        <v>2</v>
      </c>
      <c r="C458" s="778"/>
      <c r="D458" s="778"/>
      <c r="E458" s="855">
        <v>3</v>
      </c>
      <c r="F458" s="857"/>
      <c r="G458" s="778">
        <v>4</v>
      </c>
      <c r="H458" s="778"/>
      <c r="I458" s="778"/>
      <c r="J458" s="778"/>
    </row>
    <row r="459" spans="1:13" hidden="1" x14ac:dyDescent="0.3">
      <c r="A459" s="576" t="s">
        <v>70</v>
      </c>
      <c r="B459" s="835" t="s">
        <v>346</v>
      </c>
      <c r="C459" s="835"/>
      <c r="D459" s="835"/>
      <c r="E459" s="820">
        <v>1</v>
      </c>
      <c r="F459" s="822"/>
      <c r="G459" s="576" t="s">
        <v>306</v>
      </c>
      <c r="H459" s="576">
        <v>1</v>
      </c>
      <c r="I459" s="170"/>
      <c r="J459" s="646">
        <v>0</v>
      </c>
    </row>
    <row r="460" spans="1:13" hidden="1" x14ac:dyDescent="0.3">
      <c r="A460" s="576" t="s">
        <v>75</v>
      </c>
      <c r="B460" s="835" t="s">
        <v>347</v>
      </c>
      <c r="C460" s="835"/>
      <c r="D460" s="835"/>
      <c r="E460" s="820">
        <v>1</v>
      </c>
      <c r="F460" s="822"/>
      <c r="G460" s="576" t="s">
        <v>306</v>
      </c>
      <c r="H460" s="576">
        <v>1</v>
      </c>
      <c r="I460" s="170"/>
      <c r="J460" s="646">
        <f t="shared" ref="J460:J461" si="29">H460*I460</f>
        <v>0</v>
      </c>
    </row>
    <row r="461" spans="1:13" hidden="1" x14ac:dyDescent="0.3">
      <c r="A461" s="576" t="s">
        <v>77</v>
      </c>
      <c r="B461" s="835" t="s">
        <v>342</v>
      </c>
      <c r="C461" s="835"/>
      <c r="D461" s="835"/>
      <c r="E461" s="820">
        <v>1</v>
      </c>
      <c r="F461" s="822"/>
      <c r="G461" s="576" t="s">
        <v>306</v>
      </c>
      <c r="H461" s="577">
        <v>1</v>
      </c>
      <c r="I461" s="170"/>
      <c r="J461" s="646">
        <f t="shared" si="29"/>
        <v>0</v>
      </c>
    </row>
    <row r="462" spans="1:13" hidden="1" x14ac:dyDescent="0.3">
      <c r="A462" s="335"/>
      <c r="B462" s="851" t="s">
        <v>13</v>
      </c>
      <c r="C462" s="851"/>
      <c r="D462" s="851"/>
      <c r="E462" s="852" t="s">
        <v>14</v>
      </c>
      <c r="F462" s="853"/>
      <c r="G462" s="1064">
        <f>SUM(J459:J461)</f>
        <v>0</v>
      </c>
      <c r="H462" s="1065"/>
      <c r="I462" s="1065"/>
      <c r="J462" s="1065"/>
    </row>
    <row r="463" spans="1:13" hidden="1" x14ac:dyDescent="0.3">
      <c r="A463" s="373"/>
      <c r="B463" s="373"/>
      <c r="C463" s="373"/>
      <c r="D463" s="373"/>
      <c r="E463" s="373"/>
      <c r="F463" s="373"/>
      <c r="G463" s="373"/>
      <c r="H463" s="373"/>
      <c r="I463" s="373"/>
      <c r="J463" s="587"/>
    </row>
    <row r="464" spans="1:13" ht="32.25" customHeight="1" x14ac:dyDescent="0.3">
      <c r="A464" s="373"/>
      <c r="B464" s="373"/>
      <c r="C464" s="373"/>
      <c r="D464" s="373"/>
      <c r="E464" s="373"/>
      <c r="F464" s="373"/>
      <c r="G464" s="373"/>
      <c r="H464" s="417" t="s">
        <v>212</v>
      </c>
      <c r="I464" s="1066">
        <f>J93+I100+I116+I121+I157+I176+I187+I204+I218+G301+G348+I454+I394+I262+I353</f>
        <v>168951291.99518782</v>
      </c>
      <c r="J464" s="1066"/>
      <c r="K464" s="345">
        <f>I116+I187+I204+I218+I249+I261+G301+G348+I353+I394+I402+I416+I428+I433</f>
        <v>41668292</v>
      </c>
      <c r="L464" s="323">
        <f>I466+I467+I472</f>
        <v>139926079.99518782</v>
      </c>
      <c r="M464" s="332"/>
    </row>
    <row r="465" spans="1:13" x14ac:dyDescent="0.3">
      <c r="A465" s="373"/>
      <c r="B465" s="373"/>
      <c r="C465" s="373"/>
      <c r="D465" s="373"/>
      <c r="E465" s="373"/>
      <c r="F465" s="373"/>
      <c r="G465" s="373"/>
      <c r="H465" s="418" t="s">
        <v>248</v>
      </c>
      <c r="I465" s="373"/>
      <c r="J465" s="587"/>
    </row>
    <row r="466" spans="1:13" ht="16.8" x14ac:dyDescent="0.4">
      <c r="A466" s="373"/>
      <c r="B466" s="373"/>
      <c r="C466" s="373"/>
      <c r="D466" s="373"/>
      <c r="E466" s="373"/>
      <c r="F466" s="373"/>
      <c r="G466" s="373"/>
      <c r="H466" s="418" t="s">
        <v>82</v>
      </c>
      <c r="I466" s="1067">
        <f>I107+I108+I110+I182+I183+I186+I202+I211+I249+I261+G301+J306+I399+I416+I428+I433</f>
        <v>8211000</v>
      </c>
      <c r="J466" s="1067"/>
      <c r="L466" s="332"/>
      <c r="M466" s="332"/>
    </row>
    <row r="467" spans="1:13" ht="16.8" x14ac:dyDescent="0.4">
      <c r="A467" s="373"/>
      <c r="B467" s="373"/>
      <c r="C467" s="373"/>
      <c r="D467" s="373"/>
      <c r="E467" s="373"/>
      <c r="F467" s="373"/>
      <c r="G467" s="373"/>
      <c r="H467" s="418" t="s">
        <v>249</v>
      </c>
      <c r="I467" s="1029">
        <f>J72+I99+I138+I217+I359+I438+I451+J336+I98</f>
        <v>131424799.99518783</v>
      </c>
      <c r="J467" s="1029"/>
      <c r="L467" s="332"/>
    </row>
    <row r="468" spans="1:13" ht="16.8" x14ac:dyDescent="0.4">
      <c r="A468" s="373"/>
      <c r="B468" s="373"/>
      <c r="C468" s="373"/>
      <c r="D468" s="373"/>
      <c r="E468" s="373"/>
      <c r="F468" s="373"/>
      <c r="G468" s="373"/>
      <c r="H468" s="418" t="s">
        <v>792</v>
      </c>
      <c r="I468" s="1029">
        <f>J333+I176+J334+J335</f>
        <v>23147300</v>
      </c>
      <c r="J468" s="1029"/>
      <c r="L468" s="173">
        <f>2401741+15643600+2935418</f>
        <v>20980759</v>
      </c>
      <c r="M468" s="323">
        <f>L468-I468</f>
        <v>-2166541</v>
      </c>
    </row>
    <row r="469" spans="1:13" ht="16.8" x14ac:dyDescent="0.4">
      <c r="A469" s="373"/>
      <c r="B469" s="373"/>
      <c r="C469" s="373"/>
      <c r="D469" s="373"/>
      <c r="E469" s="373"/>
      <c r="F469" s="373"/>
      <c r="G469" s="373"/>
      <c r="H469" s="418" t="s">
        <v>561</v>
      </c>
      <c r="I469" s="1029">
        <f>I155+I203+J346+I442+I114+J74</f>
        <v>0</v>
      </c>
      <c r="J469" s="1029"/>
      <c r="K469" s="345"/>
      <c r="L469" s="323"/>
    </row>
    <row r="470" spans="1:13" ht="16.8" x14ac:dyDescent="0.4">
      <c r="A470" s="373"/>
      <c r="B470" s="373"/>
      <c r="C470" s="373"/>
      <c r="D470" s="373"/>
      <c r="E470" s="373"/>
      <c r="F470" s="373"/>
      <c r="G470" s="373"/>
      <c r="H470" s="418" t="s">
        <v>562</v>
      </c>
      <c r="I470" s="1029">
        <f>J344</f>
        <v>0</v>
      </c>
      <c r="J470" s="1029"/>
      <c r="L470" s="323"/>
    </row>
    <row r="471" spans="1:13" ht="16.8" x14ac:dyDescent="0.4">
      <c r="A471" s="373"/>
      <c r="B471" s="373"/>
      <c r="C471" s="373"/>
      <c r="D471" s="373"/>
      <c r="E471" s="373"/>
      <c r="F471" s="373"/>
      <c r="G471" s="373"/>
      <c r="H471" s="418" t="s">
        <v>563</v>
      </c>
      <c r="I471" s="1029">
        <f>J345</f>
        <v>0</v>
      </c>
      <c r="J471" s="1029"/>
    </row>
    <row r="472" spans="1:13" ht="16.8" x14ac:dyDescent="0.4">
      <c r="A472" s="373"/>
      <c r="B472" s="373"/>
      <c r="C472" s="373"/>
      <c r="D472" s="373"/>
      <c r="E472" s="373"/>
      <c r="F472" s="373"/>
      <c r="G472" s="373"/>
      <c r="H472" s="418" t="s">
        <v>565</v>
      </c>
      <c r="I472" s="1029">
        <f>J341+I443+J73+I115+I156+I380</f>
        <v>290280</v>
      </c>
      <c r="J472" s="1029"/>
    </row>
    <row r="473" spans="1:13" ht="16.8" x14ac:dyDescent="0.4">
      <c r="A473" s="373"/>
      <c r="B473" s="373"/>
      <c r="C473" s="373"/>
      <c r="D473" s="373"/>
      <c r="E473" s="373"/>
      <c r="F473" s="373"/>
      <c r="G473" s="373"/>
      <c r="H473" s="418" t="s">
        <v>564</v>
      </c>
      <c r="I473" s="1029">
        <f>J92+I154</f>
        <v>250000</v>
      </c>
      <c r="J473" s="1029"/>
    </row>
    <row r="474" spans="1:13" ht="15" customHeight="1" x14ac:dyDescent="0.4">
      <c r="A474" s="373"/>
      <c r="B474" s="373"/>
      <c r="C474" s="373"/>
      <c r="D474" s="373"/>
      <c r="E474" s="373"/>
      <c r="F474" s="373"/>
      <c r="G474" s="373"/>
      <c r="H474" s="418" t="s">
        <v>595</v>
      </c>
      <c r="I474" s="1029">
        <f>J328</f>
        <v>5627912</v>
      </c>
      <c r="J474" s="1029"/>
      <c r="L474" s="323">
        <f>I474+I468</f>
        <v>28775212</v>
      </c>
    </row>
    <row r="475" spans="1:13" x14ac:dyDescent="0.3">
      <c r="A475" s="373"/>
      <c r="B475" s="373"/>
      <c r="C475" s="373"/>
      <c r="D475" s="373"/>
      <c r="E475" s="373"/>
      <c r="F475" s="373"/>
      <c r="G475" s="373"/>
      <c r="H475" s="418" t="s">
        <v>616</v>
      </c>
      <c r="I475" s="1039">
        <v>0</v>
      </c>
      <c r="J475" s="1040"/>
    </row>
    <row r="476" spans="1:13" ht="8.25" customHeight="1" x14ac:dyDescent="0.3">
      <c r="A476" s="373"/>
      <c r="B476" s="373"/>
      <c r="C476" s="373"/>
      <c r="D476" s="373"/>
      <c r="E476" s="373"/>
      <c r="F476" s="1030"/>
      <c r="G476" s="1030"/>
      <c r="H476" s="1030"/>
      <c r="I476" s="419"/>
      <c r="J476" s="420"/>
    </row>
    <row r="477" spans="1:13" x14ac:dyDescent="0.3">
      <c r="A477" s="373"/>
      <c r="B477" s="373"/>
      <c r="C477" s="373"/>
      <c r="D477" s="373"/>
      <c r="E477" s="373"/>
      <c r="F477" s="1030"/>
      <c r="G477" s="1030"/>
      <c r="H477" s="1030"/>
      <c r="I477" s="419"/>
      <c r="J477" s="420"/>
    </row>
    <row r="478" spans="1:13" x14ac:dyDescent="0.3">
      <c r="A478" s="1031"/>
      <c r="B478" s="1031"/>
      <c r="C478" s="1031"/>
      <c r="D478" s="427"/>
      <c r="E478" s="427"/>
      <c r="F478" s="1030"/>
      <c r="G478" s="1030"/>
      <c r="H478" s="1030"/>
      <c r="I478" s="428"/>
      <c r="J478" s="429"/>
    </row>
    <row r="479" spans="1:13" x14ac:dyDescent="0.3">
      <c r="A479" s="430"/>
      <c r="B479" s="430"/>
      <c r="C479" s="430"/>
      <c r="D479" s="1022"/>
      <c r="E479" s="1022"/>
      <c r="F479" s="1023"/>
      <c r="G479" s="1023"/>
      <c r="H479" s="1023"/>
      <c r="I479" s="1023"/>
      <c r="J479" s="586"/>
    </row>
    <row r="480" spans="1:13" x14ac:dyDescent="0.3">
      <c r="A480" s="1024" t="s">
        <v>211</v>
      </c>
      <c r="B480" s="1024"/>
      <c r="C480" s="1024"/>
      <c r="D480" s="432"/>
      <c r="E480" s="432"/>
      <c r="F480" s="433" t="s">
        <v>471</v>
      </c>
      <c r="G480" s="433"/>
      <c r="H480" s="433"/>
      <c r="I480" s="433"/>
      <c r="J480" s="434"/>
      <c r="L480" s="323">
        <f>I468+I474</f>
        <v>28775212</v>
      </c>
    </row>
    <row r="481" spans="1:10" x14ac:dyDescent="0.3">
      <c r="A481" s="637"/>
      <c r="B481" s="637"/>
      <c r="C481" s="637"/>
      <c r="D481" s="1025" t="s">
        <v>279</v>
      </c>
      <c r="E481" s="1025"/>
      <c r="F481" s="1026" t="s">
        <v>280</v>
      </c>
      <c r="G481" s="1026"/>
      <c r="H481" s="1026"/>
      <c r="I481" s="1026"/>
      <c r="J481" s="586"/>
    </row>
    <row r="482" spans="1:10" x14ac:dyDescent="0.3">
      <c r="A482" s="1024" t="s">
        <v>470</v>
      </c>
      <c r="B482" s="1024"/>
      <c r="C482" s="1024"/>
      <c r="D482" s="432"/>
      <c r="E482" s="432"/>
      <c r="F482" s="433" t="s">
        <v>472</v>
      </c>
      <c r="G482" s="433"/>
      <c r="H482" s="433"/>
      <c r="I482" s="433"/>
      <c r="J482" s="434"/>
    </row>
    <row r="483" spans="1:10" x14ac:dyDescent="0.3">
      <c r="A483" s="586"/>
      <c r="B483" s="586"/>
      <c r="C483" s="586"/>
      <c r="D483" s="1028" t="s">
        <v>279</v>
      </c>
      <c r="E483" s="1028"/>
      <c r="F483" s="1038" t="s">
        <v>280</v>
      </c>
      <c r="G483" s="1038"/>
      <c r="H483" s="1038"/>
      <c r="I483" s="1038"/>
      <c r="J483" s="586"/>
    </row>
    <row r="484" spans="1:10" x14ac:dyDescent="0.3">
      <c r="A484" s="586"/>
      <c r="B484" s="586"/>
      <c r="C484" s="586"/>
      <c r="D484" s="586"/>
      <c r="E484" s="586"/>
      <c r="F484" s="586"/>
      <c r="G484" s="425"/>
      <c r="H484" s="425"/>
      <c r="I484" s="425"/>
      <c r="J484" s="586"/>
    </row>
    <row r="485" spans="1:10" x14ac:dyDescent="0.3">
      <c r="A485" s="1027" t="s">
        <v>473</v>
      </c>
      <c r="B485" s="1027"/>
      <c r="C485" s="586"/>
      <c r="D485" s="586"/>
      <c r="E485" s="586"/>
      <c r="F485" s="586"/>
      <c r="G485" s="425"/>
      <c r="H485" s="425"/>
      <c r="I485" s="425"/>
      <c r="J485" s="586"/>
    </row>
    <row r="486" spans="1:10" x14ac:dyDescent="0.3">
      <c r="A486" s="586"/>
      <c r="B486" s="586"/>
      <c r="C486" s="586"/>
      <c r="D486" s="586"/>
      <c r="E486" s="586"/>
      <c r="F486" s="586"/>
      <c r="G486" s="425"/>
      <c r="H486" s="425"/>
      <c r="I486" s="425"/>
      <c r="J486" s="586"/>
    </row>
    <row r="487" spans="1:10" x14ac:dyDescent="0.3">
      <c r="A487" s="1021"/>
      <c r="B487" s="1021"/>
      <c r="C487" s="586"/>
      <c r="D487" s="586"/>
      <c r="E487" s="586"/>
      <c r="F487" s="586"/>
      <c r="G487" s="425"/>
      <c r="H487" s="425"/>
      <c r="I487" s="425"/>
      <c r="J487" s="586"/>
    </row>
  </sheetData>
  <mergeCells count="1064">
    <mergeCell ref="B301:D301"/>
    <mergeCell ref="G301:J301"/>
    <mergeCell ref="A303:A304"/>
    <mergeCell ref="B303:D304"/>
    <mergeCell ref="E303:F304"/>
    <mergeCell ref="G303:J303"/>
    <mergeCell ref="K303:K306"/>
    <mergeCell ref="G305:J305"/>
    <mergeCell ref="A275:A276"/>
    <mergeCell ref="B275:D276"/>
    <mergeCell ref="E275:E276"/>
    <mergeCell ref="F275:F276"/>
    <mergeCell ref="G275:G276"/>
    <mergeCell ref="H275:H276"/>
    <mergeCell ref="I275:I276"/>
    <mergeCell ref="J275:J276"/>
    <mergeCell ref="K275:K276"/>
    <mergeCell ref="B279:D279"/>
    <mergeCell ref="A280:A281"/>
    <mergeCell ref="B280:D281"/>
    <mergeCell ref="E280:E281"/>
    <mergeCell ref="F280:F281"/>
    <mergeCell ref="G280:G281"/>
    <mergeCell ref="H280:H281"/>
    <mergeCell ref="I280:I281"/>
    <mergeCell ref="J280:J281"/>
    <mergeCell ref="K280:K281"/>
    <mergeCell ref="B305:D305"/>
    <mergeCell ref="E305:F305"/>
    <mergeCell ref="B300:D300"/>
    <mergeCell ref="B270:D271"/>
    <mergeCell ref="E270:E271"/>
    <mergeCell ref="F270:F271"/>
    <mergeCell ref="G270:J270"/>
    <mergeCell ref="K270:K272"/>
    <mergeCell ref="G272:J272"/>
    <mergeCell ref="B274:D274"/>
    <mergeCell ref="I266:J266"/>
    <mergeCell ref="B298:D298"/>
    <mergeCell ref="B286:D286"/>
    <mergeCell ref="B282:D282"/>
    <mergeCell ref="B283:D283"/>
    <mergeCell ref="B297:D297"/>
    <mergeCell ref="B284:D284"/>
    <mergeCell ref="B291:D291"/>
    <mergeCell ref="B294:D294"/>
    <mergeCell ref="B295:D295"/>
    <mergeCell ref="B296:D296"/>
    <mergeCell ref="A480:C480"/>
    <mergeCell ref="D481:E481"/>
    <mergeCell ref="F481:I481"/>
    <mergeCell ref="A482:C482"/>
    <mergeCell ref="D483:E483"/>
    <mergeCell ref="F483:I483"/>
    <mergeCell ref="A485:B485"/>
    <mergeCell ref="A487:B487"/>
    <mergeCell ref="G454:H454"/>
    <mergeCell ref="I454:J454"/>
    <mergeCell ref="A455:J455"/>
    <mergeCell ref="A456:A457"/>
    <mergeCell ref="B456:D457"/>
    <mergeCell ref="E456:F457"/>
    <mergeCell ref="G456:J456"/>
    <mergeCell ref="B459:D459"/>
    <mergeCell ref="E459:F459"/>
    <mergeCell ref="B460:D460"/>
    <mergeCell ref="E460:F460"/>
    <mergeCell ref="B461:D461"/>
    <mergeCell ref="E461:F461"/>
    <mergeCell ref="B462:D462"/>
    <mergeCell ref="E462:F462"/>
    <mergeCell ref="G462:J462"/>
    <mergeCell ref="I472:J472"/>
    <mergeCell ref="E451:F451"/>
    <mergeCell ref="G451:H451"/>
    <mergeCell ref="I451:J451"/>
    <mergeCell ref="B452:D452"/>
    <mergeCell ref="E452:F452"/>
    <mergeCell ref="G452:H452"/>
    <mergeCell ref="I452:J452"/>
    <mergeCell ref="B439:D439"/>
    <mergeCell ref="I445:J445"/>
    <mergeCell ref="G439:H439"/>
    <mergeCell ref="B440:D440"/>
    <mergeCell ref="G440:H440"/>
    <mergeCell ref="I442:J442"/>
    <mergeCell ref="B442:D442"/>
    <mergeCell ref="I438:J438"/>
    <mergeCell ref="I439:J439"/>
    <mergeCell ref="I440:J440"/>
    <mergeCell ref="I441:J441"/>
    <mergeCell ref="G442:H442"/>
    <mergeCell ref="B443:D443"/>
    <mergeCell ref="G443:H443"/>
    <mergeCell ref="I443:J443"/>
    <mergeCell ref="G438:H438"/>
    <mergeCell ref="B438:D438"/>
    <mergeCell ref="A448:J448"/>
    <mergeCell ref="I449:J449"/>
    <mergeCell ref="B451:D451"/>
    <mergeCell ref="B446:D446"/>
    <mergeCell ref="G446:H446"/>
    <mergeCell ref="I446:J446"/>
    <mergeCell ref="B445:D445"/>
    <mergeCell ref="G445:H445"/>
    <mergeCell ref="K427:K429"/>
    <mergeCell ref="I418:J418"/>
    <mergeCell ref="E431:F431"/>
    <mergeCell ref="K431:K432"/>
    <mergeCell ref="E432:F432"/>
    <mergeCell ref="B422:D422"/>
    <mergeCell ref="G422:H422"/>
    <mergeCell ref="I422:J422"/>
    <mergeCell ref="I419:J419"/>
    <mergeCell ref="B419:D419"/>
    <mergeCell ref="E419:F419"/>
    <mergeCell ref="G419:H419"/>
    <mergeCell ref="K433:K447"/>
    <mergeCell ref="E441:F441"/>
    <mergeCell ref="E443:F443"/>
    <mergeCell ref="B444:D444"/>
    <mergeCell ref="G444:H444"/>
    <mergeCell ref="I444:J444"/>
    <mergeCell ref="B441:D441"/>
    <mergeCell ref="G441:H441"/>
    <mergeCell ref="B425:D425"/>
    <mergeCell ref="B427:D427"/>
    <mergeCell ref="B428:D428"/>
    <mergeCell ref="I432:J432"/>
    <mergeCell ref="I433:J433"/>
    <mergeCell ref="I434:J434"/>
    <mergeCell ref="I435:J435"/>
    <mergeCell ref="I436:J436"/>
    <mergeCell ref="G432:H432"/>
    <mergeCell ref="B433:D433"/>
    <mergeCell ref="G433:H433"/>
    <mergeCell ref="B434:D434"/>
    <mergeCell ref="K418:K419"/>
    <mergeCell ref="B420:D420"/>
    <mergeCell ref="G420:H420"/>
    <mergeCell ref="I420:J420"/>
    <mergeCell ref="K420:K422"/>
    <mergeCell ref="E423:F423"/>
    <mergeCell ref="A424:J424"/>
    <mergeCell ref="E425:F425"/>
    <mergeCell ref="K425:K426"/>
    <mergeCell ref="B426:D426"/>
    <mergeCell ref="E426:F426"/>
    <mergeCell ref="G426:H426"/>
    <mergeCell ref="I426:J426"/>
    <mergeCell ref="E412:F412"/>
    <mergeCell ref="G409:H409"/>
    <mergeCell ref="B411:D411"/>
    <mergeCell ref="G411:H411"/>
    <mergeCell ref="B412:D412"/>
    <mergeCell ref="E416:F416"/>
    <mergeCell ref="A417:J417"/>
    <mergeCell ref="E418:F418"/>
    <mergeCell ref="G414:H414"/>
    <mergeCell ref="I414:J414"/>
    <mergeCell ref="B421:D421"/>
    <mergeCell ref="G421:H421"/>
    <mergeCell ref="I421:J421"/>
    <mergeCell ref="B418:D418"/>
    <mergeCell ref="G418:H418"/>
    <mergeCell ref="G415:H415"/>
    <mergeCell ref="I415:J415"/>
    <mergeCell ref="B416:D416"/>
    <mergeCell ref="E397:F397"/>
    <mergeCell ref="K397:K398"/>
    <mergeCell ref="B399:D399"/>
    <mergeCell ref="G399:H399"/>
    <mergeCell ref="I399:J399"/>
    <mergeCell ref="K399:K402"/>
    <mergeCell ref="E402:F402"/>
    <mergeCell ref="A403:J403"/>
    <mergeCell ref="E404:F404"/>
    <mergeCell ref="B406:D406"/>
    <mergeCell ref="G406:H406"/>
    <mergeCell ref="I406:J406"/>
    <mergeCell ref="E394:F394"/>
    <mergeCell ref="B397:D397"/>
    <mergeCell ref="G397:H397"/>
    <mergeCell ref="I397:J397"/>
    <mergeCell ref="B393:D393"/>
    <mergeCell ref="B394:D394"/>
    <mergeCell ref="G394:H394"/>
    <mergeCell ref="I394:J394"/>
    <mergeCell ref="B405:D405"/>
    <mergeCell ref="G405:H405"/>
    <mergeCell ref="I404:J404"/>
    <mergeCell ref="G393:H393"/>
    <mergeCell ref="I393:J393"/>
    <mergeCell ref="E405:F405"/>
    <mergeCell ref="B400:D400"/>
    <mergeCell ref="I402:J402"/>
    <mergeCell ref="G398:H398"/>
    <mergeCell ref="I398:J398"/>
    <mergeCell ref="B398:D398"/>
    <mergeCell ref="E398:F398"/>
    <mergeCell ref="I392:J392"/>
    <mergeCell ref="A395:J395"/>
    <mergeCell ref="A396:J396"/>
    <mergeCell ref="G389:H389"/>
    <mergeCell ref="I389:J389"/>
    <mergeCell ref="I367:J367"/>
    <mergeCell ref="G386:H386"/>
    <mergeCell ref="I386:J386"/>
    <mergeCell ref="B383:D383"/>
    <mergeCell ref="G383:H383"/>
    <mergeCell ref="I383:J383"/>
    <mergeCell ref="B370:D370"/>
    <mergeCell ref="B366:D366"/>
    <mergeCell ref="I371:J371"/>
    <mergeCell ref="B390:D390"/>
    <mergeCell ref="G390:H390"/>
    <mergeCell ref="I390:J390"/>
    <mergeCell ref="B387:D387"/>
    <mergeCell ref="I369:J369"/>
    <mergeCell ref="G382:H382"/>
    <mergeCell ref="I375:J375"/>
    <mergeCell ref="I376:J376"/>
    <mergeCell ref="B374:D374"/>
    <mergeCell ref="G374:H374"/>
    <mergeCell ref="B381:D381"/>
    <mergeCell ref="B384:D384"/>
    <mergeCell ref="G384:H384"/>
    <mergeCell ref="B378:D378"/>
    <mergeCell ref="I384:J384"/>
    <mergeCell ref="I370:J370"/>
    <mergeCell ref="B377:D377"/>
    <mergeCell ref="G377:H377"/>
    <mergeCell ref="B391:D391"/>
    <mergeCell ref="G391:H391"/>
    <mergeCell ref="I391:J391"/>
    <mergeCell ref="G358:H358"/>
    <mergeCell ref="I358:J358"/>
    <mergeCell ref="B368:D368"/>
    <mergeCell ref="G351:H351"/>
    <mergeCell ref="B356:D356"/>
    <mergeCell ref="I351:J351"/>
    <mergeCell ref="E353:F353"/>
    <mergeCell ref="I377:J377"/>
    <mergeCell ref="B380:D380"/>
    <mergeCell ref="G380:H380"/>
    <mergeCell ref="I380:J380"/>
    <mergeCell ref="B379:D379"/>
    <mergeCell ref="G379:H379"/>
    <mergeCell ref="I379:J379"/>
    <mergeCell ref="B372:D372"/>
    <mergeCell ref="G372:H372"/>
    <mergeCell ref="G376:H376"/>
    <mergeCell ref="G353:H353"/>
    <mergeCell ref="I353:J353"/>
    <mergeCell ref="B367:D367"/>
    <mergeCell ref="B389:D389"/>
    <mergeCell ref="B357:D357"/>
    <mergeCell ref="G357:H357"/>
    <mergeCell ref="I357:J357"/>
    <mergeCell ref="B358:D358"/>
    <mergeCell ref="G365:H365"/>
    <mergeCell ref="G387:H387"/>
    <mergeCell ref="I387:J387"/>
    <mergeCell ref="I378:J378"/>
    <mergeCell ref="I407:J407"/>
    <mergeCell ref="G400:H400"/>
    <mergeCell ref="I400:J400"/>
    <mergeCell ref="I408:J408"/>
    <mergeCell ref="I409:J409"/>
    <mergeCell ref="G412:H412"/>
    <mergeCell ref="B414:D414"/>
    <mergeCell ref="E409:F409"/>
    <mergeCell ref="A410:J410"/>
    <mergeCell ref="E411:F411"/>
    <mergeCell ref="B413:D413"/>
    <mergeCell ref="G413:H413"/>
    <mergeCell ref="I413:J413"/>
    <mergeCell ref="I405:J405"/>
    <mergeCell ref="B401:D401"/>
    <mergeCell ref="G401:H401"/>
    <mergeCell ref="I401:J401"/>
    <mergeCell ref="B402:D402"/>
    <mergeCell ref="G402:H402"/>
    <mergeCell ref="B404:D404"/>
    <mergeCell ref="G404:H404"/>
    <mergeCell ref="B407:D407"/>
    <mergeCell ref="G407:H407"/>
    <mergeCell ref="B408:D408"/>
    <mergeCell ref="G408:H408"/>
    <mergeCell ref="B409:D409"/>
    <mergeCell ref="I411:J411"/>
    <mergeCell ref="I412:J412"/>
    <mergeCell ref="B102:D102"/>
    <mergeCell ref="A95:J95"/>
    <mergeCell ref="E103:F103"/>
    <mergeCell ref="I103:J103"/>
    <mergeCell ref="B311:D311"/>
    <mergeCell ref="E311:F311"/>
    <mergeCell ref="B308:D308"/>
    <mergeCell ref="B309:D309"/>
    <mergeCell ref="E308:F308"/>
    <mergeCell ref="E309:F309"/>
    <mergeCell ref="E310:F310"/>
    <mergeCell ref="B306:D306"/>
    <mergeCell ref="B307:D307"/>
    <mergeCell ref="I241:J241"/>
    <mergeCell ref="F260:G260"/>
    <mergeCell ref="B261:D261"/>
    <mergeCell ref="F261:G261"/>
    <mergeCell ref="I261:J261"/>
    <mergeCell ref="B287:D287"/>
    <mergeCell ref="B290:D290"/>
    <mergeCell ref="B264:D264"/>
    <mergeCell ref="B265:D265"/>
    <mergeCell ref="B266:D266"/>
    <mergeCell ref="B277:D277"/>
    <mergeCell ref="B278:D278"/>
    <mergeCell ref="E264:F264"/>
    <mergeCell ref="G264:H264"/>
    <mergeCell ref="I264:J264"/>
    <mergeCell ref="E265:F265"/>
    <mergeCell ref="G265:H265"/>
    <mergeCell ref="E306:F306"/>
    <mergeCell ref="E307:F307"/>
    <mergeCell ref="I98:J98"/>
    <mergeCell ref="B99:D99"/>
    <mergeCell ref="E99:F99"/>
    <mergeCell ref="A52:J52"/>
    <mergeCell ref="A57:J57"/>
    <mergeCell ref="A1:J1"/>
    <mergeCell ref="A2:J2"/>
    <mergeCell ref="A3:J3"/>
    <mergeCell ref="A5:J5"/>
    <mergeCell ref="A8:J8"/>
    <mergeCell ref="A9:A11"/>
    <mergeCell ref="B9:B11"/>
    <mergeCell ref="C9:C11"/>
    <mergeCell ref="D9:G9"/>
    <mergeCell ref="H9:H11"/>
    <mergeCell ref="A22:J22"/>
    <mergeCell ref="A23:J23"/>
    <mergeCell ref="I9:I11"/>
    <mergeCell ref="J9:J11"/>
    <mergeCell ref="D10:D11"/>
    <mergeCell ref="E10:G10"/>
    <mergeCell ref="A13:J13"/>
    <mergeCell ref="A14:J14"/>
    <mergeCell ref="A37:J37"/>
    <mergeCell ref="E97:F97"/>
    <mergeCell ref="G97:H97"/>
    <mergeCell ref="I97:J97"/>
    <mergeCell ref="G98:H98"/>
    <mergeCell ref="G99:H99"/>
    <mergeCell ref="A71:I71"/>
    <mergeCell ref="A89:I89"/>
    <mergeCell ref="A91:J91"/>
    <mergeCell ref="A67:I67"/>
    <mergeCell ref="A68:B68"/>
    <mergeCell ref="B262:D262"/>
    <mergeCell ref="A69:I69"/>
    <mergeCell ref="A72:I72"/>
    <mergeCell ref="A74:I74"/>
    <mergeCell ref="A75:I75"/>
    <mergeCell ref="A77:A79"/>
    <mergeCell ref="B77:B79"/>
    <mergeCell ref="C77:C79"/>
    <mergeCell ref="D77:G77"/>
    <mergeCell ref="H77:H79"/>
    <mergeCell ref="I77:I79"/>
    <mergeCell ref="J77:J79"/>
    <mergeCell ref="D78:D79"/>
    <mergeCell ref="E78:G78"/>
    <mergeCell ref="A81:J81"/>
    <mergeCell ref="A88:I88"/>
    <mergeCell ref="A90:I90"/>
    <mergeCell ref="I115:J115"/>
    <mergeCell ref="A92:B92"/>
    <mergeCell ref="G123:H123"/>
    <mergeCell ref="A93:I93"/>
    <mergeCell ref="E105:F105"/>
    <mergeCell ref="G124:H124"/>
    <mergeCell ref="I124:J124"/>
    <mergeCell ref="I105:J105"/>
    <mergeCell ref="A104:J104"/>
    <mergeCell ref="B98:D98"/>
    <mergeCell ref="E98:F98"/>
    <mergeCell ref="I99:J99"/>
    <mergeCell ref="B96:D96"/>
    <mergeCell ref="E96:F96"/>
    <mergeCell ref="G96:H96"/>
    <mergeCell ref="B103:D103"/>
    <mergeCell ref="I116:J116"/>
    <mergeCell ref="B112:D112"/>
    <mergeCell ref="E112:F112"/>
    <mergeCell ref="I112:J112"/>
    <mergeCell ref="I114:J114"/>
    <mergeCell ref="B113:D113"/>
    <mergeCell ref="E113:F113"/>
    <mergeCell ref="I113:J113"/>
    <mergeCell ref="B114:D114"/>
    <mergeCell ref="E114:F114"/>
    <mergeCell ref="B115:D115"/>
    <mergeCell ref="E115:F115"/>
    <mergeCell ref="B116:D116"/>
    <mergeCell ref="E116:F116"/>
    <mergeCell ref="E100:F100"/>
    <mergeCell ref="G100:H100"/>
    <mergeCell ref="I100:J100"/>
    <mergeCell ref="A101:J101"/>
    <mergeCell ref="I96:J96"/>
    <mergeCell ref="A106:J106"/>
    <mergeCell ref="B108:D108"/>
    <mergeCell ref="B97:D97"/>
    <mergeCell ref="E110:F110"/>
    <mergeCell ref="B100:D100"/>
    <mergeCell ref="E102:F102"/>
    <mergeCell ref="I102:J102"/>
    <mergeCell ref="E108:F108"/>
    <mergeCell ref="B107:D107"/>
    <mergeCell ref="E107:F107"/>
    <mergeCell ref="B150:F150"/>
    <mergeCell ref="G150:H150"/>
    <mergeCell ref="I150:J150"/>
    <mergeCell ref="B151:F151"/>
    <mergeCell ref="G151:H151"/>
    <mergeCell ref="I151:J151"/>
    <mergeCell ref="B152:F152"/>
    <mergeCell ref="I108:J108"/>
    <mergeCell ref="A109:J109"/>
    <mergeCell ref="A111:J111"/>
    <mergeCell ref="B110:D110"/>
    <mergeCell ref="I132:J132"/>
    <mergeCell ref="B129:F129"/>
    <mergeCell ref="G129:H129"/>
    <mergeCell ref="I129:J129"/>
    <mergeCell ref="B130:F130"/>
    <mergeCell ref="G130:H130"/>
    <mergeCell ref="I130:J130"/>
    <mergeCell ref="I119:J119"/>
    <mergeCell ref="I120:J120"/>
    <mergeCell ref="I118:J118"/>
    <mergeCell ref="A117:J117"/>
    <mergeCell ref="B118:D118"/>
    <mergeCell ref="E121:F121"/>
    <mergeCell ref="A122:J122"/>
    <mergeCell ref="I110:J110"/>
    <mergeCell ref="B155:F155"/>
    <mergeCell ref="B156:F156"/>
    <mergeCell ref="G162:H162"/>
    <mergeCell ref="I162:J162"/>
    <mergeCell ref="E163:F163"/>
    <mergeCell ref="G163:H163"/>
    <mergeCell ref="I163:J163"/>
    <mergeCell ref="B125:F125"/>
    <mergeCell ref="G125:H125"/>
    <mergeCell ref="I125:J125"/>
    <mergeCell ref="B126:F126"/>
    <mergeCell ref="B140:F140"/>
    <mergeCell ref="G140:H140"/>
    <mergeCell ref="I140:J140"/>
    <mergeCell ref="B137:F137"/>
    <mergeCell ref="G137:H137"/>
    <mergeCell ref="I137:J137"/>
    <mergeCell ref="B138:F138"/>
    <mergeCell ref="G138:H138"/>
    <mergeCell ref="I138:J138"/>
    <mergeCell ref="G139:H139"/>
    <mergeCell ref="I139:J139"/>
    <mergeCell ref="G152:H152"/>
    <mergeCell ref="I152:J152"/>
    <mergeCell ref="B145:F145"/>
    <mergeCell ref="G145:H145"/>
    <mergeCell ref="I145:J145"/>
    <mergeCell ref="B146:F146"/>
    <mergeCell ref="I146:J146"/>
    <mergeCell ref="B147:F147"/>
    <mergeCell ref="G147:H147"/>
    <mergeCell ref="I147:J147"/>
    <mergeCell ref="B174:D174"/>
    <mergeCell ref="B175:D175"/>
    <mergeCell ref="B172:D172"/>
    <mergeCell ref="E172:F172"/>
    <mergeCell ref="G172:H172"/>
    <mergeCell ref="I172:J172"/>
    <mergeCell ref="B173:D173"/>
    <mergeCell ref="E173:F173"/>
    <mergeCell ref="G173:H173"/>
    <mergeCell ref="I173:J173"/>
    <mergeCell ref="E175:F175"/>
    <mergeCell ref="G175:H175"/>
    <mergeCell ref="I175:J175"/>
    <mergeCell ref="I165:J165"/>
    <mergeCell ref="A159:J159"/>
    <mergeCell ref="B163:D163"/>
    <mergeCell ref="B164:D164"/>
    <mergeCell ref="A168:J168"/>
    <mergeCell ref="D170:J170"/>
    <mergeCell ref="B171:D171"/>
    <mergeCell ref="E171:F171"/>
    <mergeCell ref="G171:H171"/>
    <mergeCell ref="I171:J171"/>
    <mergeCell ref="B184:D184"/>
    <mergeCell ref="E184:F184"/>
    <mergeCell ref="G184:H184"/>
    <mergeCell ref="I184:J184"/>
    <mergeCell ref="B180:D180"/>
    <mergeCell ref="E180:F180"/>
    <mergeCell ref="G180:H180"/>
    <mergeCell ref="I180:J180"/>
    <mergeCell ref="B176:D176"/>
    <mergeCell ref="E176:F176"/>
    <mergeCell ref="G176:H176"/>
    <mergeCell ref="I176:J176"/>
    <mergeCell ref="A177:J177"/>
    <mergeCell ref="D179:H179"/>
    <mergeCell ref="B181:D181"/>
    <mergeCell ref="E181:F181"/>
    <mergeCell ref="G181:H181"/>
    <mergeCell ref="I181:J181"/>
    <mergeCell ref="E182:F182"/>
    <mergeCell ref="G182:H182"/>
    <mergeCell ref="I182:J182"/>
    <mergeCell ref="E183:F183"/>
    <mergeCell ref="G183:H183"/>
    <mergeCell ref="I183:J183"/>
    <mergeCell ref="A182:A183"/>
    <mergeCell ref="B182:C183"/>
    <mergeCell ref="B185:D185"/>
    <mergeCell ref="E185:F185"/>
    <mergeCell ref="G185:H185"/>
    <mergeCell ref="I185:J185"/>
    <mergeCell ref="B186:D186"/>
    <mergeCell ref="E186:F186"/>
    <mergeCell ref="A188:J188"/>
    <mergeCell ref="E202:F202"/>
    <mergeCell ref="G202:H202"/>
    <mergeCell ref="I202:J202"/>
    <mergeCell ref="B195:D195"/>
    <mergeCell ref="G195:H195"/>
    <mergeCell ref="I195:J195"/>
    <mergeCell ref="E195:F195"/>
    <mergeCell ref="A196:J196"/>
    <mergeCell ref="B193:D193"/>
    <mergeCell ref="G193:H193"/>
    <mergeCell ref="I193:J193"/>
    <mergeCell ref="B194:D194"/>
    <mergeCell ref="G194:H194"/>
    <mergeCell ref="I194:J194"/>
    <mergeCell ref="B192:D192"/>
    <mergeCell ref="G192:H192"/>
    <mergeCell ref="I192:J192"/>
    <mergeCell ref="E193:F193"/>
    <mergeCell ref="E194:F194"/>
    <mergeCell ref="G186:H186"/>
    <mergeCell ref="I186:J186"/>
    <mergeCell ref="B187:D187"/>
    <mergeCell ref="E187:F187"/>
    <mergeCell ref="G187:H187"/>
    <mergeCell ref="I187:J187"/>
    <mergeCell ref="G213:H213"/>
    <mergeCell ref="G210:H210"/>
    <mergeCell ref="G211:H211"/>
    <mergeCell ref="I201:J201"/>
    <mergeCell ref="B202:D202"/>
    <mergeCell ref="E192:F192"/>
    <mergeCell ref="A199:J199"/>
    <mergeCell ref="B200:D200"/>
    <mergeCell ref="E200:F200"/>
    <mergeCell ref="G200:H200"/>
    <mergeCell ref="I200:J200"/>
    <mergeCell ref="A208:J208"/>
    <mergeCell ref="G209:H209"/>
    <mergeCell ref="B209:D209"/>
    <mergeCell ref="I209:J209"/>
    <mergeCell ref="G204:H204"/>
    <mergeCell ref="I204:J204"/>
    <mergeCell ref="B201:D201"/>
    <mergeCell ref="E201:F201"/>
    <mergeCell ref="G201:H201"/>
    <mergeCell ref="A189:J189"/>
    <mergeCell ref="I216:J216"/>
    <mergeCell ref="B217:D217"/>
    <mergeCell ref="I217:J217"/>
    <mergeCell ref="B214:D214"/>
    <mergeCell ref="I214:J214"/>
    <mergeCell ref="B215:D215"/>
    <mergeCell ref="I215:J215"/>
    <mergeCell ref="G214:H214"/>
    <mergeCell ref="G215:H215"/>
    <mergeCell ref="G216:H216"/>
    <mergeCell ref="G217:H217"/>
    <mergeCell ref="B218:D218"/>
    <mergeCell ref="I218:J218"/>
    <mergeCell ref="G218:H218"/>
    <mergeCell ref="A220:J220"/>
    <mergeCell ref="E221:F221"/>
    <mergeCell ref="G221:H221"/>
    <mergeCell ref="B221:D221"/>
    <mergeCell ref="I221:J221"/>
    <mergeCell ref="I203:J203"/>
    <mergeCell ref="B204:D204"/>
    <mergeCell ref="E204:F204"/>
    <mergeCell ref="B212:D212"/>
    <mergeCell ref="I212:J212"/>
    <mergeCell ref="B213:D213"/>
    <mergeCell ref="I213:J213"/>
    <mergeCell ref="B210:D210"/>
    <mergeCell ref="I210:J210"/>
    <mergeCell ref="B211:D211"/>
    <mergeCell ref="I211:J211"/>
    <mergeCell ref="G212:H212"/>
    <mergeCell ref="G222:H222"/>
    <mergeCell ref="E223:F223"/>
    <mergeCell ref="G223:H223"/>
    <mergeCell ref="E224:F224"/>
    <mergeCell ref="G224:H224"/>
    <mergeCell ref="B226:D226"/>
    <mergeCell ref="F226:G226"/>
    <mergeCell ref="I226:J226"/>
    <mergeCell ref="B227:D227"/>
    <mergeCell ref="F227:G227"/>
    <mergeCell ref="I227:J227"/>
    <mergeCell ref="B228:D228"/>
    <mergeCell ref="F228:G228"/>
    <mergeCell ref="I228:J228"/>
    <mergeCell ref="B229:D229"/>
    <mergeCell ref="F229:G229"/>
    <mergeCell ref="I229:J229"/>
    <mergeCell ref="B224:D224"/>
    <mergeCell ref="I224:J224"/>
    <mergeCell ref="B222:D222"/>
    <mergeCell ref="I222:J222"/>
    <mergeCell ref="B223:D223"/>
    <mergeCell ref="I223:J223"/>
    <mergeCell ref="E222:F222"/>
    <mergeCell ref="F232:G232"/>
    <mergeCell ref="F236:G236"/>
    <mergeCell ref="I236:J236"/>
    <mergeCell ref="B233:D233"/>
    <mergeCell ref="I233:J233"/>
    <mergeCell ref="B234:D234"/>
    <mergeCell ref="I234:J234"/>
    <mergeCell ref="F233:G233"/>
    <mergeCell ref="F234:G234"/>
    <mergeCell ref="B236:D236"/>
    <mergeCell ref="B257:D257"/>
    <mergeCell ref="I257:J257"/>
    <mergeCell ref="B237:D237"/>
    <mergeCell ref="F237:G237"/>
    <mergeCell ref="B255:D255"/>
    <mergeCell ref="I237:J237"/>
    <mergeCell ref="B232:D232"/>
    <mergeCell ref="I232:J232"/>
    <mergeCell ref="F246:G246"/>
    <mergeCell ref="I246:J246"/>
    <mergeCell ref="B243:D243"/>
    <mergeCell ref="B244:D244"/>
    <mergeCell ref="I244:J244"/>
    <mergeCell ref="F245:G245"/>
    <mergeCell ref="I245:J245"/>
    <mergeCell ref="F239:G239"/>
    <mergeCell ref="B235:D235"/>
    <mergeCell ref="F235:G235"/>
    <mergeCell ref="I235:J235"/>
    <mergeCell ref="B238:D238"/>
    <mergeCell ref="B239:D239"/>
    <mergeCell ref="B240:D240"/>
    <mergeCell ref="B242:D242"/>
    <mergeCell ref="F238:G238"/>
    <mergeCell ref="I238:J238"/>
    <mergeCell ref="I259:J259"/>
    <mergeCell ref="I260:J260"/>
    <mergeCell ref="B252:D252"/>
    <mergeCell ref="F252:G252"/>
    <mergeCell ref="I252:J252"/>
    <mergeCell ref="F253:G253"/>
    <mergeCell ref="F254:G254"/>
    <mergeCell ref="F255:G255"/>
    <mergeCell ref="I239:J239"/>
    <mergeCell ref="F240:G240"/>
    <mergeCell ref="I240:J240"/>
    <mergeCell ref="B241:D241"/>
    <mergeCell ref="B330:D330"/>
    <mergeCell ref="E330:F330"/>
    <mergeCell ref="B325:D325"/>
    <mergeCell ref="E325:F325"/>
    <mergeCell ref="B328:D328"/>
    <mergeCell ref="B323:D323"/>
    <mergeCell ref="B260:D260"/>
    <mergeCell ref="B251:D251"/>
    <mergeCell ref="F242:G242"/>
    <mergeCell ref="I242:J242"/>
    <mergeCell ref="F243:G243"/>
    <mergeCell ref="I243:J243"/>
    <mergeCell ref="F248:G248"/>
    <mergeCell ref="I248:J248"/>
    <mergeCell ref="F249:G249"/>
    <mergeCell ref="I249:J249"/>
    <mergeCell ref="I253:J253"/>
    <mergeCell ref="I107:J107"/>
    <mergeCell ref="G133:H133"/>
    <mergeCell ref="I133:J133"/>
    <mergeCell ref="B127:F127"/>
    <mergeCell ref="G127:H127"/>
    <mergeCell ref="I127:J127"/>
    <mergeCell ref="B128:F128"/>
    <mergeCell ref="G128:H128"/>
    <mergeCell ref="G126:H126"/>
    <mergeCell ref="I126:J126"/>
    <mergeCell ref="G132:H132"/>
    <mergeCell ref="B131:F131"/>
    <mergeCell ref="G131:H131"/>
    <mergeCell ref="G165:H165"/>
    <mergeCell ref="E164:F164"/>
    <mergeCell ref="G157:H157"/>
    <mergeCell ref="I157:J157"/>
    <mergeCell ref="A158:J158"/>
    <mergeCell ref="G164:H164"/>
    <mergeCell ref="I164:J164"/>
    <mergeCell ref="B157:F157"/>
    <mergeCell ref="B162:D162"/>
    <mergeCell ref="E162:F162"/>
    <mergeCell ref="B139:F139"/>
    <mergeCell ref="I155:J155"/>
    <mergeCell ref="I156:J156"/>
    <mergeCell ref="G153:H153"/>
    <mergeCell ref="I153:J153"/>
    <mergeCell ref="G154:H154"/>
    <mergeCell ref="I154:J154"/>
    <mergeCell ref="B153:F153"/>
    <mergeCell ref="B154:F154"/>
    <mergeCell ref="B105:D105"/>
    <mergeCell ref="E118:F118"/>
    <mergeCell ref="B119:D119"/>
    <mergeCell ref="E119:F119"/>
    <mergeCell ref="B120:D120"/>
    <mergeCell ref="E120:F120"/>
    <mergeCell ref="B123:F123"/>
    <mergeCell ref="I123:J123"/>
    <mergeCell ref="B124:F124"/>
    <mergeCell ref="I121:J121"/>
    <mergeCell ref="B121:D121"/>
    <mergeCell ref="B230:D230"/>
    <mergeCell ref="F230:G230"/>
    <mergeCell ref="B316:D316"/>
    <mergeCell ref="E316:F316"/>
    <mergeCell ref="I230:J230"/>
    <mergeCell ref="A205:J205"/>
    <mergeCell ref="B203:D203"/>
    <mergeCell ref="E203:F203"/>
    <mergeCell ref="G203:H203"/>
    <mergeCell ref="B166:D166"/>
    <mergeCell ref="E166:F166"/>
    <mergeCell ref="G166:H166"/>
    <mergeCell ref="I166:J166"/>
    <mergeCell ref="B167:D167"/>
    <mergeCell ref="E167:F167"/>
    <mergeCell ref="G167:H167"/>
    <mergeCell ref="I167:J167"/>
    <mergeCell ref="B165:D165"/>
    <mergeCell ref="G134:H134"/>
    <mergeCell ref="I134:J134"/>
    <mergeCell ref="E165:F165"/>
    <mergeCell ref="B231:D231"/>
    <mergeCell ref="I231:J231"/>
    <mergeCell ref="I258:J258"/>
    <mergeCell ref="B259:D259"/>
    <mergeCell ref="F241:G241"/>
    <mergeCell ref="B245:D245"/>
    <mergeCell ref="B246:D246"/>
    <mergeCell ref="F244:G244"/>
    <mergeCell ref="B253:D253"/>
    <mergeCell ref="F251:G251"/>
    <mergeCell ref="I251:J251"/>
    <mergeCell ref="B312:D312"/>
    <mergeCell ref="B313:D313"/>
    <mergeCell ref="E312:F312"/>
    <mergeCell ref="E313:F313"/>
    <mergeCell ref="E314:F314"/>
    <mergeCell ref="E315:F315"/>
    <mergeCell ref="B248:D248"/>
    <mergeCell ref="B249:D249"/>
    <mergeCell ref="B247:D247"/>
    <mergeCell ref="B310:D310"/>
    <mergeCell ref="I265:J265"/>
    <mergeCell ref="E266:F266"/>
    <mergeCell ref="G266:H266"/>
    <mergeCell ref="F262:G262"/>
    <mergeCell ref="I262:J262"/>
    <mergeCell ref="A263:J263"/>
    <mergeCell ref="B267:D267"/>
    <mergeCell ref="E267:F267"/>
    <mergeCell ref="G267:H267"/>
    <mergeCell ref="I267:J267"/>
    <mergeCell ref="A270:A271"/>
    <mergeCell ref="L127:M127"/>
    <mergeCell ref="L128:M128"/>
    <mergeCell ref="G146:H146"/>
    <mergeCell ref="B148:F148"/>
    <mergeCell ref="G148:H148"/>
    <mergeCell ref="I148:J148"/>
    <mergeCell ref="B149:F149"/>
    <mergeCell ref="G149:H149"/>
    <mergeCell ref="I149:J149"/>
    <mergeCell ref="B143:F143"/>
    <mergeCell ref="G143:H143"/>
    <mergeCell ref="I143:J143"/>
    <mergeCell ref="B144:F144"/>
    <mergeCell ref="G144:H144"/>
    <mergeCell ref="I144:J144"/>
    <mergeCell ref="B141:F141"/>
    <mergeCell ref="G141:H141"/>
    <mergeCell ref="I141:J141"/>
    <mergeCell ref="B142:F142"/>
    <mergeCell ref="G142:H142"/>
    <mergeCell ref="B135:F135"/>
    <mergeCell ref="G135:H135"/>
    <mergeCell ref="I135:J135"/>
    <mergeCell ref="B136:F136"/>
    <mergeCell ref="G136:H136"/>
    <mergeCell ref="I136:J136"/>
    <mergeCell ref="B133:F133"/>
    <mergeCell ref="B134:F134"/>
    <mergeCell ref="I131:J131"/>
    <mergeCell ref="B132:F132"/>
    <mergeCell ref="I128:J128"/>
    <mergeCell ref="I142:J142"/>
    <mergeCell ref="B314:D314"/>
    <mergeCell ref="B315:D315"/>
    <mergeCell ref="E328:F328"/>
    <mergeCell ref="E329:F329"/>
    <mergeCell ref="A229:A231"/>
    <mergeCell ref="F231:G231"/>
    <mergeCell ref="B216:D216"/>
    <mergeCell ref="B355:D355"/>
    <mergeCell ref="G355:H355"/>
    <mergeCell ref="I355:J355"/>
    <mergeCell ref="B353:D353"/>
    <mergeCell ref="I254:J254"/>
    <mergeCell ref="I255:J255"/>
    <mergeCell ref="B254:D254"/>
    <mergeCell ref="B285:D285"/>
    <mergeCell ref="B292:D292"/>
    <mergeCell ref="B293:D293"/>
    <mergeCell ref="B333:D333"/>
    <mergeCell ref="E338:F338"/>
    <mergeCell ref="B334:D334"/>
    <mergeCell ref="E334:F334"/>
    <mergeCell ref="B347:D347"/>
    <mergeCell ref="B351:D351"/>
    <mergeCell ref="E335:F335"/>
    <mergeCell ref="E346:F346"/>
    <mergeCell ref="B258:D258"/>
    <mergeCell ref="E332:F332"/>
    <mergeCell ref="E333:F333"/>
    <mergeCell ref="B331:D331"/>
    <mergeCell ref="B336:D336"/>
    <mergeCell ref="E331:F331"/>
    <mergeCell ref="B329:D329"/>
    <mergeCell ref="E323:F323"/>
    <mergeCell ref="B327:D327"/>
    <mergeCell ref="E327:F327"/>
    <mergeCell ref="B319:D319"/>
    <mergeCell ref="E319:F319"/>
    <mergeCell ref="B320:D320"/>
    <mergeCell ref="E320:F320"/>
    <mergeCell ref="B317:D317"/>
    <mergeCell ref="E317:F317"/>
    <mergeCell ref="B318:D318"/>
    <mergeCell ref="E318:F318"/>
    <mergeCell ref="E339:F339"/>
    <mergeCell ref="B348:D348"/>
    <mergeCell ref="B339:D339"/>
    <mergeCell ref="B345:D345"/>
    <mergeCell ref="B324:D324"/>
    <mergeCell ref="E324:F324"/>
    <mergeCell ref="B321:D321"/>
    <mergeCell ref="B322:D322"/>
    <mergeCell ref="E321:F321"/>
    <mergeCell ref="E322:F322"/>
    <mergeCell ref="E348:F348"/>
    <mergeCell ref="B344:D344"/>
    <mergeCell ref="E344:F344"/>
    <mergeCell ref="B343:D343"/>
    <mergeCell ref="G364:H364"/>
    <mergeCell ref="B332:D332"/>
    <mergeCell ref="B337:D337"/>
    <mergeCell ref="G348:J348"/>
    <mergeCell ref="A349:J349"/>
    <mergeCell ref="B335:D335"/>
    <mergeCell ref="E345:F345"/>
    <mergeCell ref="B341:D341"/>
    <mergeCell ref="E340:F340"/>
    <mergeCell ref="E341:F341"/>
    <mergeCell ref="I352:J352"/>
    <mergeCell ref="B350:D350"/>
    <mergeCell ref="I361:J361"/>
    <mergeCell ref="G361:H361"/>
    <mergeCell ref="B362:D362"/>
    <mergeCell ref="G362:H362"/>
    <mergeCell ref="I362:J362"/>
    <mergeCell ref="E351:F351"/>
    <mergeCell ref="E352:F352"/>
    <mergeCell ref="E342:F342"/>
    <mergeCell ref="I366:J366"/>
    <mergeCell ref="K182:K183"/>
    <mergeCell ref="K226:K227"/>
    <mergeCell ref="K228:K230"/>
    <mergeCell ref="G356:H356"/>
    <mergeCell ref="I356:J356"/>
    <mergeCell ref="B288:D288"/>
    <mergeCell ref="B289:D289"/>
    <mergeCell ref="B326:D326"/>
    <mergeCell ref="E326:F326"/>
    <mergeCell ref="B359:D359"/>
    <mergeCell ref="B360:D360"/>
    <mergeCell ref="G359:H359"/>
    <mergeCell ref="I359:J359"/>
    <mergeCell ref="B369:D369"/>
    <mergeCell ref="G369:H369"/>
    <mergeCell ref="K232:K234"/>
    <mergeCell ref="B272:D272"/>
    <mergeCell ref="B273:D273"/>
    <mergeCell ref="K257:K260"/>
    <mergeCell ref="E350:F350"/>
    <mergeCell ref="G350:H350"/>
    <mergeCell ref="I350:J350"/>
    <mergeCell ref="A354:J354"/>
    <mergeCell ref="E355:F355"/>
    <mergeCell ref="E356:F356"/>
    <mergeCell ref="E357:F357"/>
    <mergeCell ref="E366:F366"/>
    <mergeCell ref="G360:H360"/>
    <mergeCell ref="I360:J360"/>
    <mergeCell ref="E343:F343"/>
    <mergeCell ref="E347:F347"/>
    <mergeCell ref="I431:J431"/>
    <mergeCell ref="B432:D432"/>
    <mergeCell ref="A430:J430"/>
    <mergeCell ref="E381:F381"/>
    <mergeCell ref="E382:F382"/>
    <mergeCell ref="E383:F383"/>
    <mergeCell ref="B385:D385"/>
    <mergeCell ref="G385:H385"/>
    <mergeCell ref="I385:J385"/>
    <mergeCell ref="I374:J374"/>
    <mergeCell ref="G378:H378"/>
    <mergeCell ref="B382:D382"/>
    <mergeCell ref="B363:D363"/>
    <mergeCell ref="G363:H363"/>
    <mergeCell ref="I363:J363"/>
    <mergeCell ref="G368:H368"/>
    <mergeCell ref="I368:J368"/>
    <mergeCell ref="I372:J372"/>
    <mergeCell ref="I373:J373"/>
    <mergeCell ref="B373:D373"/>
    <mergeCell ref="G381:H381"/>
    <mergeCell ref="I381:J381"/>
    <mergeCell ref="G373:H373"/>
    <mergeCell ref="B364:D364"/>
    <mergeCell ref="I364:J364"/>
    <mergeCell ref="G371:H371"/>
    <mergeCell ref="G375:H375"/>
    <mergeCell ref="B376:D376"/>
    <mergeCell ref="G370:H370"/>
    <mergeCell ref="G367:H367"/>
    <mergeCell ref="B365:D365"/>
    <mergeCell ref="G366:H366"/>
    <mergeCell ref="B436:D436"/>
    <mergeCell ref="A233:A235"/>
    <mergeCell ref="K236:K238"/>
    <mergeCell ref="A237:A239"/>
    <mergeCell ref="K240:K242"/>
    <mergeCell ref="A241:A243"/>
    <mergeCell ref="K245:K247"/>
    <mergeCell ref="K251:K252"/>
    <mergeCell ref="K253:K255"/>
    <mergeCell ref="A254:A255"/>
    <mergeCell ref="B256:D256"/>
    <mergeCell ref="F256:G256"/>
    <mergeCell ref="I256:J256"/>
    <mergeCell ref="F257:G257"/>
    <mergeCell ref="F258:G258"/>
    <mergeCell ref="F259:G259"/>
    <mergeCell ref="F247:G247"/>
    <mergeCell ref="I247:J247"/>
    <mergeCell ref="G392:H392"/>
    <mergeCell ref="B386:D386"/>
    <mergeCell ref="I382:J382"/>
    <mergeCell ref="B371:D371"/>
    <mergeCell ref="B342:D342"/>
    <mergeCell ref="E336:F336"/>
    <mergeCell ref="E337:F337"/>
    <mergeCell ref="B340:D340"/>
    <mergeCell ref="B338:D338"/>
    <mergeCell ref="I365:J365"/>
    <mergeCell ref="B361:D361"/>
    <mergeCell ref="B346:D346"/>
    <mergeCell ref="B352:D352"/>
    <mergeCell ref="G352:H352"/>
    <mergeCell ref="G449:H449"/>
    <mergeCell ref="G450:H450"/>
    <mergeCell ref="I450:J450"/>
    <mergeCell ref="B447:D447"/>
    <mergeCell ref="B449:D449"/>
    <mergeCell ref="E449:F449"/>
    <mergeCell ref="B450:D450"/>
    <mergeCell ref="E450:F450"/>
    <mergeCell ref="B415:D415"/>
    <mergeCell ref="B423:D423"/>
    <mergeCell ref="G423:H423"/>
    <mergeCell ref="I423:J423"/>
    <mergeCell ref="G425:H425"/>
    <mergeCell ref="I425:J425"/>
    <mergeCell ref="G427:H427"/>
    <mergeCell ref="I427:J427"/>
    <mergeCell ref="G428:H428"/>
    <mergeCell ref="I428:J428"/>
    <mergeCell ref="I429:J429"/>
    <mergeCell ref="G416:H416"/>
    <mergeCell ref="I416:J416"/>
    <mergeCell ref="G434:H434"/>
    <mergeCell ref="B435:D435"/>
    <mergeCell ref="G435:H435"/>
    <mergeCell ref="B431:D431"/>
    <mergeCell ref="G431:H431"/>
    <mergeCell ref="B429:D429"/>
    <mergeCell ref="G429:H429"/>
    <mergeCell ref="B437:D437"/>
    <mergeCell ref="G437:H437"/>
    <mergeCell ref="I437:J437"/>
    <mergeCell ref="G436:H436"/>
    <mergeCell ref="A70:I70"/>
    <mergeCell ref="B453:D453"/>
    <mergeCell ref="E453:F453"/>
    <mergeCell ref="G453:H453"/>
    <mergeCell ref="A478:C478"/>
    <mergeCell ref="D479:E479"/>
    <mergeCell ref="F479:I479"/>
    <mergeCell ref="B454:D454"/>
    <mergeCell ref="E454:F454"/>
    <mergeCell ref="B458:D458"/>
    <mergeCell ref="E458:F458"/>
    <mergeCell ref="G458:J458"/>
    <mergeCell ref="I466:J466"/>
    <mergeCell ref="I467:J467"/>
    <mergeCell ref="I468:J468"/>
    <mergeCell ref="I469:J469"/>
    <mergeCell ref="I464:J464"/>
    <mergeCell ref="I470:J470"/>
    <mergeCell ref="I471:J471"/>
    <mergeCell ref="I473:J473"/>
    <mergeCell ref="I474:J474"/>
    <mergeCell ref="I475:J475"/>
    <mergeCell ref="F476:H476"/>
    <mergeCell ref="F477:H477"/>
    <mergeCell ref="F478:H478"/>
    <mergeCell ref="B388:D388"/>
    <mergeCell ref="G388:H388"/>
    <mergeCell ref="I388:J388"/>
    <mergeCell ref="B375:D375"/>
    <mergeCell ref="B392:D392"/>
    <mergeCell ref="G447:H447"/>
    <mergeCell ref="I447:J447"/>
  </mergeCells>
  <pageMargins left="0.70866141732283472" right="0.70866141732283472" top="0.74803149606299213" bottom="0.74803149606299213" header="0.31496062992125984" footer="0.31496062992125984"/>
  <pageSetup paperSize="9" scale="40" fitToHeight="6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26"/>
  <sheetViews>
    <sheetView topLeftCell="A138" workbookViewId="0">
      <selection activeCell="A423" sqref="A1:J423"/>
    </sheetView>
  </sheetViews>
  <sheetFormatPr defaultColWidth="9.109375" defaultRowHeight="14.4" x14ac:dyDescent="0.3"/>
  <cols>
    <col min="1" max="1" width="5.109375" style="1" customWidth="1"/>
    <col min="2" max="2" width="25" style="1" customWidth="1"/>
    <col min="3" max="3" width="9.109375" style="1"/>
    <col min="4" max="4" width="17.109375" style="1" customWidth="1"/>
    <col min="5" max="5" width="16.44140625" style="1" customWidth="1"/>
    <col min="6" max="6" width="10.6640625" style="1" customWidth="1"/>
    <col min="7" max="7" width="12.33203125" style="1" customWidth="1"/>
    <col min="8" max="8" width="10.6640625" style="1" customWidth="1"/>
    <col min="9" max="9" width="11.5546875" style="1" customWidth="1"/>
    <col min="10" max="10" width="24.88671875" style="1" customWidth="1"/>
    <col min="11" max="11" width="16.44140625" style="1" customWidth="1"/>
    <col min="12" max="12" width="18.109375" style="1" customWidth="1"/>
    <col min="13" max="13" width="9.6640625" style="1" customWidth="1"/>
    <col min="14" max="14" width="14" style="1" customWidth="1"/>
    <col min="15" max="16384" width="9.109375" style="1"/>
  </cols>
  <sheetData>
    <row r="1" spans="1:11" ht="26.25" customHeight="1" x14ac:dyDescent="0.3">
      <c r="A1" s="1344" t="s">
        <v>68</v>
      </c>
      <c r="B1" s="1344"/>
      <c r="C1" s="1344"/>
      <c r="D1" s="1344"/>
      <c r="E1" s="1344"/>
      <c r="F1" s="1344"/>
      <c r="G1" s="1344"/>
      <c r="H1" s="1344"/>
      <c r="I1" s="1344"/>
      <c r="J1" s="1344"/>
    </row>
    <row r="2" spans="1:11" ht="17.25" customHeight="1" x14ac:dyDescent="0.3">
      <c r="A2" s="1344" t="s">
        <v>474</v>
      </c>
      <c r="B2" s="1344"/>
      <c r="C2" s="1344"/>
      <c r="D2" s="1344"/>
      <c r="E2" s="1344"/>
      <c r="F2" s="1344"/>
      <c r="G2" s="1344"/>
      <c r="H2" s="1344"/>
      <c r="I2" s="1344"/>
      <c r="J2" s="1344"/>
    </row>
    <row r="3" spans="1:11" ht="47.25" customHeight="1" x14ac:dyDescent="0.3">
      <c r="A3" s="1344" t="s">
        <v>986</v>
      </c>
      <c r="B3" s="1344"/>
      <c r="C3" s="1344"/>
      <c r="D3" s="1344"/>
      <c r="E3" s="1344"/>
      <c r="F3" s="1344"/>
      <c r="G3" s="1344"/>
      <c r="H3" s="1344"/>
      <c r="I3" s="1344"/>
      <c r="J3" s="1344"/>
    </row>
    <row r="4" spans="1:11" ht="15.6" x14ac:dyDescent="0.3">
      <c r="A4" s="89"/>
      <c r="B4" s="90"/>
      <c r="C4" s="90"/>
      <c r="D4" s="91" t="s">
        <v>267</v>
      </c>
      <c r="E4" s="296">
        <v>2024</v>
      </c>
      <c r="F4" s="92" t="s">
        <v>656</v>
      </c>
      <c r="G4" s="90"/>
      <c r="H4" s="90"/>
      <c r="I4" s="90"/>
      <c r="J4" s="90"/>
    </row>
    <row r="5" spans="1:11" ht="15.6" x14ac:dyDescent="0.3">
      <c r="A5" s="1218" t="s">
        <v>0</v>
      </c>
      <c r="B5" s="1218"/>
      <c r="C5" s="1218"/>
      <c r="D5" s="1218"/>
      <c r="E5" s="1218"/>
      <c r="F5" s="1218"/>
      <c r="G5" s="1218"/>
      <c r="H5" s="1218"/>
      <c r="I5" s="1218"/>
      <c r="J5" s="1218"/>
    </row>
    <row r="6" spans="1:11" ht="19.5" customHeight="1" x14ac:dyDescent="0.3">
      <c r="A6" s="89" t="s">
        <v>80</v>
      </c>
      <c r="B6" s="90"/>
      <c r="C6" s="349">
        <v>111</v>
      </c>
      <c r="D6" s="349">
        <v>112</v>
      </c>
      <c r="E6" s="349">
        <v>119</v>
      </c>
      <c r="F6" s="94"/>
      <c r="G6" s="94"/>
      <c r="H6" s="94"/>
      <c r="I6" s="94"/>
      <c r="J6" s="94"/>
    </row>
    <row r="7" spans="1:11" ht="22.5" customHeight="1" x14ac:dyDescent="0.3">
      <c r="A7" s="89" t="s">
        <v>81</v>
      </c>
      <c r="B7" s="90"/>
      <c r="C7" s="90"/>
      <c r="D7" s="90"/>
      <c r="E7" s="95" t="s">
        <v>82</v>
      </c>
      <c r="F7" s="96"/>
      <c r="G7" s="95"/>
      <c r="H7" s="96"/>
      <c r="I7" s="95" t="s">
        <v>989</v>
      </c>
      <c r="J7" s="96"/>
    </row>
    <row r="8" spans="1:11" ht="21" customHeight="1" x14ac:dyDescent="0.3">
      <c r="A8" s="1186" t="s">
        <v>357</v>
      </c>
      <c r="B8" s="1186"/>
      <c r="C8" s="1186"/>
      <c r="D8" s="1186"/>
      <c r="E8" s="1186"/>
      <c r="F8" s="1186"/>
      <c r="G8" s="1186"/>
      <c r="H8" s="1186"/>
      <c r="I8" s="1186"/>
      <c r="J8" s="1186"/>
    </row>
    <row r="9" spans="1:11" hidden="1" x14ac:dyDescent="0.3">
      <c r="A9" s="1345" t="s">
        <v>1</v>
      </c>
      <c r="B9" s="1346" t="s">
        <v>2</v>
      </c>
      <c r="C9" s="1346" t="s">
        <v>3</v>
      </c>
      <c r="D9" s="1345" t="s">
        <v>4</v>
      </c>
      <c r="E9" s="1345"/>
      <c r="F9" s="1345"/>
      <c r="G9" s="1345"/>
      <c r="H9" s="1345" t="s">
        <v>5</v>
      </c>
      <c r="I9" s="1346" t="s">
        <v>6</v>
      </c>
      <c r="J9" s="1346" t="s">
        <v>312</v>
      </c>
    </row>
    <row r="10" spans="1:11" ht="33" hidden="1" customHeight="1" x14ac:dyDescent="0.3">
      <c r="A10" s="1345"/>
      <c r="B10" s="1346"/>
      <c r="C10" s="1346"/>
      <c r="D10" s="1346" t="s">
        <v>8</v>
      </c>
      <c r="E10" s="1346" t="s">
        <v>9</v>
      </c>
      <c r="F10" s="1346"/>
      <c r="G10" s="1346"/>
      <c r="H10" s="1345"/>
      <c r="I10" s="1346"/>
      <c r="J10" s="1346"/>
    </row>
    <row r="11" spans="1:11" ht="69" hidden="1" x14ac:dyDescent="0.3">
      <c r="A11" s="1345"/>
      <c r="B11" s="1346"/>
      <c r="C11" s="1346"/>
      <c r="D11" s="1346"/>
      <c r="E11" s="612" t="s">
        <v>10</v>
      </c>
      <c r="F11" s="612" t="s">
        <v>11</v>
      </c>
      <c r="G11" s="612" t="s">
        <v>12</v>
      </c>
      <c r="H11" s="1345"/>
      <c r="I11" s="1346"/>
      <c r="J11" s="1346"/>
    </row>
    <row r="12" spans="1:11" ht="14.25" hidden="1" customHeight="1" x14ac:dyDescent="0.3">
      <c r="A12" s="449">
        <v>1</v>
      </c>
      <c r="B12" s="449">
        <v>2</v>
      </c>
      <c r="C12" s="449">
        <v>3</v>
      </c>
      <c r="D12" s="449">
        <v>4</v>
      </c>
      <c r="E12" s="449">
        <v>5</v>
      </c>
      <c r="F12" s="449">
        <v>6</v>
      </c>
      <c r="G12" s="449">
        <v>7</v>
      </c>
      <c r="H12" s="449">
        <v>8</v>
      </c>
      <c r="I12" s="449">
        <v>9</v>
      </c>
      <c r="J12" s="449">
        <v>10</v>
      </c>
    </row>
    <row r="13" spans="1:11" s="41" customFormat="1" ht="13.8" hidden="1" x14ac:dyDescent="0.3">
      <c r="A13" s="1352" t="s">
        <v>358</v>
      </c>
      <c r="B13" s="1346"/>
      <c r="C13" s="1346"/>
      <c r="D13" s="1346"/>
      <c r="E13" s="1346"/>
      <c r="F13" s="1346"/>
      <c r="G13" s="1346"/>
      <c r="H13" s="1346"/>
      <c r="I13" s="1346"/>
      <c r="J13" s="1346"/>
    </row>
    <row r="14" spans="1:11" s="41" customFormat="1" ht="13.8" hidden="1" x14ac:dyDescent="0.3">
      <c r="A14" s="1353" t="s">
        <v>475</v>
      </c>
      <c r="B14" s="1354"/>
      <c r="C14" s="1354"/>
      <c r="D14" s="1354"/>
      <c r="E14" s="1354"/>
      <c r="F14" s="1354"/>
      <c r="G14" s="1354"/>
      <c r="H14" s="1354"/>
      <c r="I14" s="1354"/>
      <c r="J14" s="1354"/>
    </row>
    <row r="15" spans="1:11" ht="20.25" hidden="1" customHeight="1" x14ac:dyDescent="0.3">
      <c r="A15" s="607">
        <v>1</v>
      </c>
      <c r="B15" s="111" t="s">
        <v>261</v>
      </c>
      <c r="C15" s="607">
        <v>1</v>
      </c>
      <c r="D15" s="112"/>
      <c r="E15" s="112">
        <v>75000</v>
      </c>
      <c r="F15" s="112">
        <v>0</v>
      </c>
      <c r="G15" s="112">
        <v>20000</v>
      </c>
      <c r="H15" s="113">
        <v>50</v>
      </c>
      <c r="I15" s="607">
        <v>1.7</v>
      </c>
      <c r="J15" s="114">
        <f>((C15*D15*(H15/100+I15))*12)</f>
        <v>0</v>
      </c>
      <c r="K15" s="137"/>
    </row>
    <row r="16" spans="1:11" ht="45" hidden="1" customHeight="1" x14ac:dyDescent="0.3">
      <c r="A16" s="607">
        <v>2</v>
      </c>
      <c r="B16" s="111" t="s">
        <v>476</v>
      </c>
      <c r="C16" s="607">
        <v>4</v>
      </c>
      <c r="D16" s="112"/>
      <c r="E16" s="112">
        <v>37800</v>
      </c>
      <c r="F16" s="112">
        <v>0</v>
      </c>
      <c r="G16" s="112">
        <v>6000</v>
      </c>
      <c r="H16" s="113">
        <v>50</v>
      </c>
      <c r="I16" s="607">
        <v>1.7</v>
      </c>
      <c r="J16" s="114">
        <f>((C16*D16*(H16/100+I16))*12)*1</f>
        <v>0</v>
      </c>
    </row>
    <row r="17" spans="1:12" ht="45" hidden="1" customHeight="1" x14ac:dyDescent="0.3">
      <c r="A17" s="607">
        <v>3</v>
      </c>
      <c r="B17" s="111" t="s">
        <v>477</v>
      </c>
      <c r="C17" s="607">
        <v>1</v>
      </c>
      <c r="D17" s="112"/>
      <c r="E17" s="112">
        <v>37800</v>
      </c>
      <c r="F17" s="112">
        <v>0</v>
      </c>
      <c r="G17" s="112">
        <v>6000</v>
      </c>
      <c r="H17" s="113">
        <v>50</v>
      </c>
      <c r="I17" s="607">
        <v>1.7</v>
      </c>
      <c r="J17" s="114">
        <f>((C17*D17*(H17/100+I17))*12)</f>
        <v>0</v>
      </c>
    </row>
    <row r="18" spans="1:12" ht="45" hidden="1" customHeight="1" x14ac:dyDescent="0.3">
      <c r="A18" s="607">
        <v>4</v>
      </c>
      <c r="B18" s="111" t="s">
        <v>478</v>
      </c>
      <c r="C18" s="607">
        <v>0.5</v>
      </c>
      <c r="D18" s="112"/>
      <c r="E18" s="112">
        <v>37800</v>
      </c>
      <c r="F18" s="112">
        <v>0</v>
      </c>
      <c r="G18" s="112">
        <v>6000</v>
      </c>
      <c r="H18" s="113">
        <v>50</v>
      </c>
      <c r="I18" s="607">
        <v>17</v>
      </c>
      <c r="J18" s="114">
        <v>0</v>
      </c>
      <c r="L18" s="1">
        <f>((C18*D18+(H18/100+I18)*12))</f>
        <v>210</v>
      </c>
    </row>
    <row r="19" spans="1:12" ht="49.5" hidden="1" customHeight="1" x14ac:dyDescent="0.3">
      <c r="A19" s="607">
        <v>5</v>
      </c>
      <c r="B19" s="111" t="s">
        <v>479</v>
      </c>
      <c r="C19" s="607">
        <v>1</v>
      </c>
      <c r="D19" s="112"/>
      <c r="E19" s="112">
        <v>37800</v>
      </c>
      <c r="F19" s="112">
        <v>0</v>
      </c>
      <c r="G19" s="112">
        <v>6000</v>
      </c>
      <c r="H19" s="113">
        <v>50</v>
      </c>
      <c r="I19" s="607">
        <v>1.7</v>
      </c>
      <c r="J19" s="114">
        <f>((C19*D19*(H19/100+I19))*12)</f>
        <v>0</v>
      </c>
    </row>
    <row r="20" spans="1:12" hidden="1" x14ac:dyDescent="0.3">
      <c r="A20" s="607">
        <v>6</v>
      </c>
      <c r="B20" s="111" t="s">
        <v>262</v>
      </c>
      <c r="C20" s="607">
        <v>1</v>
      </c>
      <c r="D20" s="112"/>
      <c r="E20" s="112">
        <v>37800</v>
      </c>
      <c r="F20" s="112">
        <v>0</v>
      </c>
      <c r="G20" s="112">
        <v>15000</v>
      </c>
      <c r="H20" s="113">
        <v>50</v>
      </c>
      <c r="I20" s="607">
        <v>1.7</v>
      </c>
      <c r="J20" s="114">
        <f t="shared" ref="J20" si="0">((C20*D20*(H20/100+I20))*12)</f>
        <v>0</v>
      </c>
    </row>
    <row r="21" spans="1:12" ht="27.6" hidden="1" x14ac:dyDescent="0.3">
      <c r="A21" s="115"/>
      <c r="B21" s="116" t="s">
        <v>480</v>
      </c>
      <c r="C21" s="117">
        <f>SUM(C15:C20)</f>
        <v>8.5</v>
      </c>
      <c r="D21" s="118">
        <f>SUM(D15:D20)</f>
        <v>0</v>
      </c>
      <c r="E21" s="117" t="s">
        <v>14</v>
      </c>
      <c r="F21" s="117" t="s">
        <v>14</v>
      </c>
      <c r="G21" s="117" t="s">
        <v>14</v>
      </c>
      <c r="H21" s="117" t="s">
        <v>14</v>
      </c>
      <c r="I21" s="117" t="s">
        <v>14</v>
      </c>
      <c r="J21" s="118">
        <f>SUM(J15:J20)</f>
        <v>0</v>
      </c>
      <c r="K21" s="138"/>
    </row>
    <row r="22" spans="1:12" hidden="1" x14ac:dyDescent="0.3">
      <c r="A22" s="1347" t="s">
        <v>481</v>
      </c>
      <c r="B22" s="1348"/>
      <c r="C22" s="1348"/>
      <c r="D22" s="1348"/>
      <c r="E22" s="1348"/>
      <c r="F22" s="1348"/>
      <c r="G22" s="1348"/>
      <c r="H22" s="1348"/>
      <c r="I22" s="1348"/>
      <c r="J22" s="1348"/>
    </row>
    <row r="23" spans="1:12" ht="18.75" hidden="1" customHeight="1" x14ac:dyDescent="0.3">
      <c r="A23" s="1349" t="s">
        <v>482</v>
      </c>
      <c r="B23" s="1350"/>
      <c r="C23" s="1350"/>
      <c r="D23" s="1350"/>
      <c r="E23" s="1350"/>
      <c r="F23" s="1350"/>
      <c r="G23" s="1350"/>
      <c r="H23" s="1350"/>
      <c r="I23" s="1350"/>
      <c r="J23" s="1351"/>
    </row>
    <row r="24" spans="1:12" hidden="1" x14ac:dyDescent="0.3">
      <c r="A24" s="607">
        <v>1</v>
      </c>
      <c r="B24" s="111" t="s">
        <v>483</v>
      </c>
      <c r="C24" s="607">
        <v>3.5</v>
      </c>
      <c r="D24" s="112"/>
      <c r="E24" s="136">
        <v>10200</v>
      </c>
      <c r="F24" s="112">
        <v>0</v>
      </c>
      <c r="G24" s="112">
        <f>E24*20%</f>
        <v>2040</v>
      </c>
      <c r="H24" s="113">
        <v>50</v>
      </c>
      <c r="I24" s="607">
        <v>1.7</v>
      </c>
      <c r="J24" s="141">
        <f>(C24*D24*(H24/100+I24))*13.8</f>
        <v>0</v>
      </c>
      <c r="K24" s="134"/>
    </row>
    <row r="25" spans="1:12" ht="69" hidden="1" x14ac:dyDescent="0.3">
      <c r="A25" s="607">
        <v>2</v>
      </c>
      <c r="B25" s="111" t="s">
        <v>484</v>
      </c>
      <c r="C25" s="607">
        <v>1</v>
      </c>
      <c r="D25" s="112"/>
      <c r="E25" s="136">
        <v>25000</v>
      </c>
      <c r="F25" s="112">
        <v>0</v>
      </c>
      <c r="G25" s="112">
        <v>5000</v>
      </c>
      <c r="H25" s="113">
        <v>50</v>
      </c>
      <c r="I25" s="607">
        <v>1.7</v>
      </c>
      <c r="J25" s="141">
        <f>(C25*D25*(H25/100+I25))*13</f>
        <v>0</v>
      </c>
    </row>
    <row r="26" spans="1:12" hidden="1" x14ac:dyDescent="0.3">
      <c r="A26" s="607">
        <v>3</v>
      </c>
      <c r="B26" s="111" t="s">
        <v>323</v>
      </c>
      <c r="C26" s="607">
        <v>1.5</v>
      </c>
      <c r="D26" s="112"/>
      <c r="E26" s="136">
        <v>31500</v>
      </c>
      <c r="F26" s="112">
        <v>0</v>
      </c>
      <c r="G26" s="112">
        <f t="shared" ref="G26:G48" si="1">E26*20%</f>
        <v>6300</v>
      </c>
      <c r="H26" s="113">
        <v>50</v>
      </c>
      <c r="I26" s="607">
        <v>1.7</v>
      </c>
      <c r="J26" s="141">
        <f>(C26*D26*(H26/100+I26))*11.4</f>
        <v>0</v>
      </c>
    </row>
    <row r="27" spans="1:12" hidden="1" x14ac:dyDescent="0.3">
      <c r="A27" s="607">
        <v>4</v>
      </c>
      <c r="B27" s="111" t="s">
        <v>485</v>
      </c>
      <c r="C27" s="607">
        <v>2</v>
      </c>
      <c r="D27" s="112"/>
      <c r="E27" s="136">
        <v>14500</v>
      </c>
      <c r="F27" s="112">
        <v>0</v>
      </c>
      <c r="G27" s="112">
        <f t="shared" si="1"/>
        <v>2900</v>
      </c>
      <c r="H27" s="113">
        <v>50</v>
      </c>
      <c r="I27" s="607">
        <v>1.7</v>
      </c>
      <c r="J27" s="141">
        <f>(C27*D27*(H27/100+I27))*14.6</f>
        <v>0</v>
      </c>
    </row>
    <row r="28" spans="1:12" hidden="1" x14ac:dyDescent="0.3">
      <c r="A28" s="607">
        <v>5</v>
      </c>
      <c r="B28" s="111" t="s">
        <v>324</v>
      </c>
      <c r="C28" s="607">
        <v>1</v>
      </c>
      <c r="D28" s="112"/>
      <c r="E28" s="136">
        <v>30000</v>
      </c>
      <c r="F28" s="112">
        <v>0</v>
      </c>
      <c r="G28" s="112">
        <f t="shared" si="1"/>
        <v>6000</v>
      </c>
      <c r="H28" s="113">
        <v>50</v>
      </c>
      <c r="I28" s="607">
        <v>1.7</v>
      </c>
      <c r="J28" s="141">
        <f t="shared" ref="J28" si="2">(C28*D28*(H28/100+I28))*14.6</f>
        <v>0</v>
      </c>
    </row>
    <row r="29" spans="1:12" hidden="1" x14ac:dyDescent="0.3">
      <c r="A29" s="607">
        <v>6</v>
      </c>
      <c r="B29" s="111" t="s">
        <v>322</v>
      </c>
      <c r="C29" s="607">
        <v>2</v>
      </c>
      <c r="D29" s="112"/>
      <c r="E29" s="136">
        <v>32500</v>
      </c>
      <c r="F29" s="112">
        <v>0</v>
      </c>
      <c r="G29" s="112">
        <f t="shared" si="1"/>
        <v>6500</v>
      </c>
      <c r="H29" s="113">
        <v>50</v>
      </c>
      <c r="I29" s="607">
        <v>1.7</v>
      </c>
      <c r="J29" s="141">
        <f>(C29*D29*(H29/100+I29))*13.2</f>
        <v>0</v>
      </c>
    </row>
    <row r="30" spans="1:12" hidden="1" x14ac:dyDescent="0.3">
      <c r="A30" s="607">
        <v>7</v>
      </c>
      <c r="B30" s="111" t="s">
        <v>321</v>
      </c>
      <c r="C30" s="607">
        <v>5</v>
      </c>
      <c r="D30" s="112"/>
      <c r="E30" s="136">
        <v>25000</v>
      </c>
      <c r="F30" s="112">
        <v>0</v>
      </c>
      <c r="G30" s="112">
        <f t="shared" si="1"/>
        <v>5000</v>
      </c>
      <c r="H30" s="113">
        <v>50</v>
      </c>
      <c r="I30" s="607">
        <v>1.7</v>
      </c>
      <c r="J30" s="141">
        <f>(C30*D30*(H30/100+I30))*13.2</f>
        <v>0</v>
      </c>
    </row>
    <row r="31" spans="1:12" ht="27.6" hidden="1" x14ac:dyDescent="0.3">
      <c r="A31" s="607">
        <v>6</v>
      </c>
      <c r="B31" s="111" t="s">
        <v>486</v>
      </c>
      <c r="C31" s="607">
        <v>7.83</v>
      </c>
      <c r="D31" s="112"/>
      <c r="E31" s="136">
        <v>12000</v>
      </c>
      <c r="F31" s="112">
        <v>0</v>
      </c>
      <c r="G31" s="112">
        <f t="shared" si="1"/>
        <v>2400</v>
      </c>
      <c r="H31" s="113">
        <v>50</v>
      </c>
      <c r="I31" s="607">
        <v>1.7</v>
      </c>
      <c r="J31" s="141">
        <f>(C31*D31*(H31/100+I31))*12.8</f>
        <v>0</v>
      </c>
      <c r="K31" s="86"/>
    </row>
    <row r="32" spans="1:12" hidden="1" x14ac:dyDescent="0.3">
      <c r="A32" s="607">
        <v>14</v>
      </c>
      <c r="B32" s="111" t="s">
        <v>324</v>
      </c>
      <c r="C32" s="607"/>
      <c r="D32" s="112"/>
      <c r="E32" s="136"/>
      <c r="F32" s="112"/>
      <c r="G32" s="112">
        <f t="shared" si="1"/>
        <v>0</v>
      </c>
      <c r="H32" s="113">
        <v>50</v>
      </c>
      <c r="I32" s="607">
        <v>1.7</v>
      </c>
      <c r="J32" s="141">
        <f t="shared" ref="J32" si="3">(C32*D32*(H32/100+I32))*12</f>
        <v>0</v>
      </c>
      <c r="K32" s="86"/>
    </row>
    <row r="33" spans="1:11" hidden="1" x14ac:dyDescent="0.3">
      <c r="A33" s="607">
        <v>7</v>
      </c>
      <c r="B33" s="111" t="s">
        <v>487</v>
      </c>
      <c r="C33" s="607">
        <v>79.83</v>
      </c>
      <c r="D33" s="112"/>
      <c r="E33" s="136">
        <v>10150</v>
      </c>
      <c r="F33" s="112">
        <v>0</v>
      </c>
      <c r="G33" s="112">
        <f t="shared" si="1"/>
        <v>2030</v>
      </c>
      <c r="H33" s="113">
        <v>50</v>
      </c>
      <c r="I33" s="607">
        <v>1.7</v>
      </c>
      <c r="J33" s="114">
        <f>((C33*D33*(H33/100+I33))*12)*1.2</f>
        <v>0</v>
      </c>
      <c r="K33" s="86"/>
    </row>
    <row r="34" spans="1:11" hidden="1" x14ac:dyDescent="0.3">
      <c r="A34" s="607">
        <v>8</v>
      </c>
      <c r="B34" s="111" t="s">
        <v>488</v>
      </c>
      <c r="C34" s="607"/>
      <c r="D34" s="112"/>
      <c r="E34" s="136"/>
      <c r="F34" s="112">
        <v>0</v>
      </c>
      <c r="G34" s="112">
        <f t="shared" si="1"/>
        <v>0</v>
      </c>
      <c r="H34" s="113">
        <v>50</v>
      </c>
      <c r="I34" s="607">
        <v>1.7</v>
      </c>
      <c r="J34" s="114">
        <f t="shared" ref="J34:J44" si="4">((C34*D34*(H34/100+I34))*12)*1.2</f>
        <v>0</v>
      </c>
      <c r="K34" s="86"/>
    </row>
    <row r="35" spans="1:11" s="217" customFormat="1" hidden="1" x14ac:dyDescent="0.3">
      <c r="A35" s="214"/>
      <c r="B35" s="215" t="s">
        <v>489</v>
      </c>
      <c r="C35" s="214">
        <f>SUM(C24:C34)</f>
        <v>103.66</v>
      </c>
      <c r="D35" s="214">
        <f t="shared" ref="D35:J35" si="5">SUM(D24:D34)</f>
        <v>0</v>
      </c>
      <c r="E35" s="214">
        <f t="shared" si="5"/>
        <v>190850</v>
      </c>
      <c r="F35" s="214">
        <f t="shared" si="5"/>
        <v>0</v>
      </c>
      <c r="G35" s="214">
        <f t="shared" si="5"/>
        <v>38170</v>
      </c>
      <c r="H35" s="214">
        <v>0</v>
      </c>
      <c r="I35" s="214">
        <v>0</v>
      </c>
      <c r="J35" s="214">
        <f t="shared" si="5"/>
        <v>0</v>
      </c>
      <c r="K35" s="216"/>
    </row>
    <row r="36" spans="1:11" hidden="1" x14ac:dyDescent="0.3">
      <c r="A36" s="1349" t="s">
        <v>490</v>
      </c>
      <c r="B36" s="1350"/>
      <c r="C36" s="1350"/>
      <c r="D36" s="1350"/>
      <c r="E36" s="1350"/>
      <c r="F36" s="1350"/>
      <c r="G36" s="1350"/>
      <c r="H36" s="1350"/>
      <c r="I36" s="1350"/>
      <c r="J36" s="1351"/>
      <c r="K36" s="86"/>
    </row>
    <row r="37" spans="1:11" hidden="1" x14ac:dyDescent="0.3">
      <c r="A37" s="607">
        <v>1</v>
      </c>
      <c r="B37" s="111" t="s">
        <v>496</v>
      </c>
      <c r="C37" s="607">
        <v>2</v>
      </c>
      <c r="D37" s="112"/>
      <c r="E37" s="136">
        <v>12600</v>
      </c>
      <c r="F37" s="112">
        <v>0</v>
      </c>
      <c r="G37" s="112">
        <f t="shared" ref="G37:G41" si="6">E37*20%</f>
        <v>2520</v>
      </c>
      <c r="H37" s="113">
        <v>50</v>
      </c>
      <c r="I37" s="607">
        <v>1.7</v>
      </c>
      <c r="J37" s="114">
        <f t="shared" ref="J37:J41" si="7">((C37*D37*(H37/100+I37))*12)*1.2</f>
        <v>0</v>
      </c>
      <c r="K37" s="86"/>
    </row>
    <row r="38" spans="1:11" hidden="1" x14ac:dyDescent="0.3">
      <c r="A38" s="607">
        <v>2</v>
      </c>
      <c r="B38" s="111" t="s">
        <v>495</v>
      </c>
      <c r="C38" s="607">
        <v>1.5</v>
      </c>
      <c r="D38" s="112"/>
      <c r="E38" s="136">
        <v>22000</v>
      </c>
      <c r="F38" s="112">
        <v>0</v>
      </c>
      <c r="G38" s="112">
        <f t="shared" si="6"/>
        <v>4400</v>
      </c>
      <c r="H38" s="113">
        <v>50</v>
      </c>
      <c r="I38" s="607">
        <v>1.7</v>
      </c>
      <c r="J38" s="114">
        <f t="shared" si="7"/>
        <v>0</v>
      </c>
      <c r="K38" s="86"/>
    </row>
    <row r="39" spans="1:11" hidden="1" x14ac:dyDescent="0.3">
      <c r="A39" s="607">
        <v>3</v>
      </c>
      <c r="B39" s="111" t="s">
        <v>494</v>
      </c>
      <c r="C39" s="607">
        <v>1.25</v>
      </c>
      <c r="D39" s="112"/>
      <c r="E39" s="136">
        <v>18000</v>
      </c>
      <c r="F39" s="112">
        <v>0</v>
      </c>
      <c r="G39" s="112">
        <f t="shared" si="6"/>
        <v>3600</v>
      </c>
      <c r="H39" s="113">
        <v>50</v>
      </c>
      <c r="I39" s="607">
        <v>1.7</v>
      </c>
      <c r="J39" s="114">
        <f t="shared" si="7"/>
        <v>0</v>
      </c>
      <c r="K39" s="86"/>
    </row>
    <row r="40" spans="1:11" hidden="1" x14ac:dyDescent="0.3">
      <c r="A40" s="607">
        <v>4</v>
      </c>
      <c r="B40" s="111" t="s">
        <v>326</v>
      </c>
      <c r="C40" s="607">
        <v>1.25</v>
      </c>
      <c r="D40" s="112"/>
      <c r="E40" s="136">
        <v>13000</v>
      </c>
      <c r="F40" s="112">
        <v>0</v>
      </c>
      <c r="G40" s="112">
        <f t="shared" si="6"/>
        <v>2600</v>
      </c>
      <c r="H40" s="113">
        <v>50</v>
      </c>
      <c r="I40" s="607">
        <v>1.7</v>
      </c>
      <c r="J40" s="114">
        <f t="shared" si="7"/>
        <v>0</v>
      </c>
      <c r="K40" s="86"/>
    </row>
    <row r="41" spans="1:11" hidden="1" x14ac:dyDescent="0.3">
      <c r="A41" s="607">
        <v>5</v>
      </c>
      <c r="B41" s="111" t="s">
        <v>327</v>
      </c>
      <c r="C41" s="607">
        <v>1</v>
      </c>
      <c r="D41" s="112"/>
      <c r="E41" s="136">
        <v>13000</v>
      </c>
      <c r="F41" s="112">
        <v>0</v>
      </c>
      <c r="G41" s="112">
        <f t="shared" si="6"/>
        <v>2600</v>
      </c>
      <c r="H41" s="113">
        <v>50</v>
      </c>
      <c r="I41" s="607">
        <v>1.7</v>
      </c>
      <c r="J41" s="114">
        <f t="shared" si="7"/>
        <v>0</v>
      </c>
      <c r="K41" s="86"/>
    </row>
    <row r="42" spans="1:11" hidden="1" x14ac:dyDescent="0.3">
      <c r="A42" s="607">
        <v>6</v>
      </c>
      <c r="B42" s="111" t="s">
        <v>493</v>
      </c>
      <c r="C42" s="607">
        <v>1</v>
      </c>
      <c r="D42" s="112"/>
      <c r="E42" s="136">
        <v>11000</v>
      </c>
      <c r="F42" s="112">
        <v>0</v>
      </c>
      <c r="G42" s="112">
        <f t="shared" si="1"/>
        <v>2200</v>
      </c>
      <c r="H42" s="113">
        <v>50</v>
      </c>
      <c r="I42" s="607">
        <v>1.7</v>
      </c>
      <c r="J42" s="114">
        <f t="shared" si="4"/>
        <v>0</v>
      </c>
      <c r="K42" s="86"/>
    </row>
    <row r="43" spans="1:11" ht="27.6" hidden="1" x14ac:dyDescent="0.3">
      <c r="A43" s="607">
        <v>7</v>
      </c>
      <c r="B43" s="111" t="s">
        <v>492</v>
      </c>
      <c r="C43" s="607">
        <v>1</v>
      </c>
      <c r="D43" s="112"/>
      <c r="E43" s="136">
        <v>12000</v>
      </c>
      <c r="F43" s="112">
        <v>0</v>
      </c>
      <c r="G43" s="112">
        <f t="shared" si="1"/>
        <v>2400</v>
      </c>
      <c r="H43" s="113">
        <v>50</v>
      </c>
      <c r="I43" s="607">
        <v>1.7</v>
      </c>
      <c r="J43" s="114">
        <f t="shared" si="4"/>
        <v>0</v>
      </c>
      <c r="K43" s="86"/>
    </row>
    <row r="44" spans="1:11" ht="27.6" hidden="1" x14ac:dyDescent="0.3">
      <c r="A44" s="607">
        <v>8</v>
      </c>
      <c r="B44" s="111" t="s">
        <v>491</v>
      </c>
      <c r="C44" s="607">
        <v>1</v>
      </c>
      <c r="D44" s="112"/>
      <c r="E44" s="136">
        <v>22000</v>
      </c>
      <c r="F44" s="112">
        <v>0</v>
      </c>
      <c r="G44" s="112">
        <f t="shared" si="1"/>
        <v>4400</v>
      </c>
      <c r="H44" s="113">
        <v>50</v>
      </c>
      <c r="I44" s="607">
        <v>1.7</v>
      </c>
      <c r="J44" s="114">
        <f t="shared" si="4"/>
        <v>0</v>
      </c>
      <c r="K44" s="86"/>
    </row>
    <row r="45" spans="1:11" ht="27.6" hidden="1" x14ac:dyDescent="0.3">
      <c r="A45" s="607">
        <v>9</v>
      </c>
      <c r="B45" s="111" t="s">
        <v>325</v>
      </c>
      <c r="C45" s="607">
        <v>1</v>
      </c>
      <c r="D45" s="112"/>
      <c r="E45" s="136">
        <v>14000</v>
      </c>
      <c r="F45" s="112">
        <v>0</v>
      </c>
      <c r="G45" s="112">
        <f t="shared" si="1"/>
        <v>2800</v>
      </c>
      <c r="H45" s="113">
        <v>50</v>
      </c>
      <c r="I45" s="607">
        <v>1.7</v>
      </c>
      <c r="J45" s="114">
        <f>((C45*D45*(H45/100+I45))*12)*1.2</f>
        <v>0</v>
      </c>
      <c r="K45" s="137"/>
    </row>
    <row r="46" spans="1:11" hidden="1" x14ac:dyDescent="0.3">
      <c r="A46" s="607">
        <v>10</v>
      </c>
      <c r="B46" s="111" t="s">
        <v>497</v>
      </c>
      <c r="C46" s="607">
        <v>1</v>
      </c>
      <c r="D46" s="112"/>
      <c r="E46" s="136">
        <v>13000</v>
      </c>
      <c r="F46" s="112">
        <v>0</v>
      </c>
      <c r="G46" s="112">
        <f t="shared" si="1"/>
        <v>2600</v>
      </c>
      <c r="H46" s="113">
        <v>50</v>
      </c>
      <c r="I46" s="607">
        <v>1.7</v>
      </c>
      <c r="J46" s="114">
        <f>((C46*D46*(H46/100+I46))*12)*1</f>
        <v>0</v>
      </c>
    </row>
    <row r="47" spans="1:11" hidden="1" x14ac:dyDescent="0.3">
      <c r="A47" s="607">
        <v>11</v>
      </c>
      <c r="B47" s="111" t="s">
        <v>498</v>
      </c>
      <c r="C47" s="607">
        <v>1</v>
      </c>
      <c r="D47" s="112"/>
      <c r="E47" s="136">
        <v>12000</v>
      </c>
      <c r="F47" s="112">
        <v>0</v>
      </c>
      <c r="G47" s="112">
        <f t="shared" si="1"/>
        <v>2400</v>
      </c>
      <c r="H47" s="113">
        <v>50</v>
      </c>
      <c r="I47" s="607">
        <v>1.7</v>
      </c>
      <c r="J47" s="114">
        <f>((C47*D47*(H47/100+I47))*12)*1.4</f>
        <v>0</v>
      </c>
    </row>
    <row r="48" spans="1:11" hidden="1" x14ac:dyDescent="0.3">
      <c r="A48" s="607">
        <v>12</v>
      </c>
      <c r="B48" s="111" t="s">
        <v>499</v>
      </c>
      <c r="C48" s="607">
        <v>2</v>
      </c>
      <c r="D48" s="112"/>
      <c r="E48" s="136">
        <v>14000</v>
      </c>
      <c r="F48" s="112">
        <v>0</v>
      </c>
      <c r="G48" s="112">
        <f t="shared" si="1"/>
        <v>2800</v>
      </c>
      <c r="H48" s="113">
        <v>50</v>
      </c>
      <c r="I48" s="607">
        <v>1.7</v>
      </c>
      <c r="J48" s="114">
        <f>((C48*D48*(H48/100+I48))*12)*1.3</f>
        <v>0</v>
      </c>
    </row>
    <row r="49" spans="1:11" s="217" customFormat="1" hidden="1" x14ac:dyDescent="0.3">
      <c r="A49" s="214"/>
      <c r="B49" s="215" t="s">
        <v>500</v>
      </c>
      <c r="C49" s="214">
        <f>SUM(C37:C48)</f>
        <v>15</v>
      </c>
      <c r="D49" s="214"/>
      <c r="E49" s="214">
        <f t="shared" ref="E49:J49" si="8">SUM(E37:E48)</f>
        <v>176600</v>
      </c>
      <c r="F49" s="214">
        <f t="shared" si="8"/>
        <v>0</v>
      </c>
      <c r="G49" s="214">
        <f t="shared" si="8"/>
        <v>35320</v>
      </c>
      <c r="H49" s="214">
        <v>0</v>
      </c>
      <c r="I49" s="214">
        <v>0</v>
      </c>
      <c r="J49" s="214">
        <f t="shared" si="8"/>
        <v>0</v>
      </c>
    </row>
    <row r="50" spans="1:11" ht="27.6" hidden="1" x14ac:dyDescent="0.3">
      <c r="A50" s="115"/>
      <c r="B50" s="116" t="s">
        <v>501</v>
      </c>
      <c r="C50" s="117">
        <f>C35+C49</f>
        <v>118.66</v>
      </c>
      <c r="D50" s="117">
        <f>D35+D49</f>
        <v>0</v>
      </c>
      <c r="E50" s="117" t="s">
        <v>14</v>
      </c>
      <c r="F50" s="117" t="s">
        <v>14</v>
      </c>
      <c r="G50" s="117" t="s">
        <v>14</v>
      </c>
      <c r="H50" s="117" t="s">
        <v>14</v>
      </c>
      <c r="I50" s="117" t="s">
        <v>14</v>
      </c>
      <c r="J50" s="117">
        <f>J35+J49</f>
        <v>0</v>
      </c>
    </row>
    <row r="51" spans="1:11" hidden="1" x14ac:dyDescent="0.3">
      <c r="A51" s="1347" t="s">
        <v>505</v>
      </c>
      <c r="B51" s="1348"/>
      <c r="C51" s="1348"/>
      <c r="D51" s="1348"/>
      <c r="E51" s="1348"/>
      <c r="F51" s="1348"/>
      <c r="G51" s="1348"/>
      <c r="H51" s="1348"/>
      <c r="I51" s="1348"/>
      <c r="J51" s="1348"/>
    </row>
    <row r="52" spans="1:11" hidden="1" x14ac:dyDescent="0.3">
      <c r="A52" s="607">
        <v>1</v>
      </c>
      <c r="B52" s="111" t="s">
        <v>328</v>
      </c>
      <c r="C52" s="607">
        <v>1</v>
      </c>
      <c r="D52" s="112"/>
      <c r="E52" s="136">
        <v>10000</v>
      </c>
      <c r="F52" s="112">
        <v>0</v>
      </c>
      <c r="G52" s="112">
        <f>E52*20%</f>
        <v>2000</v>
      </c>
      <c r="H52" s="113">
        <v>50</v>
      </c>
      <c r="I52" s="607">
        <v>1.7</v>
      </c>
      <c r="J52" s="114">
        <f>((C52*D52*(H52/100+I52))*12)*1.37</f>
        <v>0</v>
      </c>
      <c r="K52" s="137"/>
    </row>
    <row r="53" spans="1:11" hidden="1" x14ac:dyDescent="0.3">
      <c r="A53" s="607">
        <v>2</v>
      </c>
      <c r="B53" s="111" t="s">
        <v>503</v>
      </c>
      <c r="C53" s="607">
        <v>1</v>
      </c>
      <c r="D53" s="112"/>
      <c r="E53" s="136">
        <v>9500</v>
      </c>
      <c r="F53" s="112">
        <v>0</v>
      </c>
      <c r="G53" s="112"/>
      <c r="H53" s="113">
        <v>50</v>
      </c>
      <c r="I53" s="607">
        <v>1.7</v>
      </c>
      <c r="J53" s="114">
        <f>((C53*D53*(H53/100+I53))*12)*1.37</f>
        <v>0</v>
      </c>
      <c r="K53" s="137"/>
    </row>
    <row r="54" spans="1:11" ht="27.6" hidden="1" x14ac:dyDescent="0.3">
      <c r="A54" s="607">
        <v>3</v>
      </c>
      <c r="B54" s="111" t="s">
        <v>504</v>
      </c>
      <c r="C54" s="607">
        <v>0.17</v>
      </c>
      <c r="D54" s="112"/>
      <c r="E54" s="136">
        <v>8500</v>
      </c>
      <c r="F54" s="112">
        <v>0</v>
      </c>
      <c r="G54" s="112">
        <f>E54*20%</f>
        <v>1700</v>
      </c>
      <c r="H54" s="113">
        <v>50</v>
      </c>
      <c r="I54" s="607">
        <v>1.7</v>
      </c>
      <c r="J54" s="114">
        <f>((C54*D54*(H54/100+I54))*12)*1.22</f>
        <v>0</v>
      </c>
    </row>
    <row r="55" spans="1:11" ht="27.6" hidden="1" x14ac:dyDescent="0.3">
      <c r="A55" s="115"/>
      <c r="B55" s="116" t="s">
        <v>502</v>
      </c>
      <c r="C55" s="117">
        <f>SUM(C52:C54)</f>
        <v>2.17</v>
      </c>
      <c r="D55" s="119">
        <f>SUM(D52:D54)</f>
        <v>0</v>
      </c>
      <c r="E55" s="117" t="s">
        <v>14</v>
      </c>
      <c r="F55" s="117" t="s">
        <v>14</v>
      </c>
      <c r="G55" s="117" t="s">
        <v>14</v>
      </c>
      <c r="H55" s="117" t="s">
        <v>14</v>
      </c>
      <c r="I55" s="117" t="s">
        <v>14</v>
      </c>
      <c r="J55" s="120">
        <f>SUM(J52:J54)</f>
        <v>0</v>
      </c>
    </row>
    <row r="56" spans="1:11" hidden="1" x14ac:dyDescent="0.3">
      <c r="A56" s="1347" t="s">
        <v>506</v>
      </c>
      <c r="B56" s="1354"/>
      <c r="C56" s="1354"/>
      <c r="D56" s="1354"/>
      <c r="E56" s="1354"/>
      <c r="F56" s="1354"/>
      <c r="G56" s="1354"/>
      <c r="H56" s="1354"/>
      <c r="I56" s="1354"/>
      <c r="J56" s="1354"/>
    </row>
    <row r="57" spans="1:11" ht="27.6" hidden="1" x14ac:dyDescent="0.3">
      <c r="A57" s="607">
        <v>1</v>
      </c>
      <c r="B57" s="111" t="s">
        <v>316</v>
      </c>
      <c r="C57" s="607">
        <v>14</v>
      </c>
      <c r="D57" s="112"/>
      <c r="E57" s="136">
        <v>12500</v>
      </c>
      <c r="F57" s="112">
        <f>E57*2%</f>
        <v>250</v>
      </c>
      <c r="G57" s="112">
        <f>E57*18%</f>
        <v>2250</v>
      </c>
      <c r="H57" s="113">
        <v>50</v>
      </c>
      <c r="I57" s="607">
        <v>1.7</v>
      </c>
      <c r="J57" s="114">
        <f>((C57*D57*(H57/100+I57))*12)*1.2</f>
        <v>0</v>
      </c>
      <c r="K57" s="137"/>
    </row>
    <row r="58" spans="1:11" hidden="1" x14ac:dyDescent="0.3">
      <c r="A58" s="607">
        <v>2</v>
      </c>
      <c r="B58" s="111" t="s">
        <v>507</v>
      </c>
      <c r="C58" s="607">
        <v>1</v>
      </c>
      <c r="D58" s="112"/>
      <c r="E58" s="136">
        <v>12000</v>
      </c>
      <c r="F58" s="112">
        <v>0</v>
      </c>
      <c r="G58" s="112">
        <f>E58*20%</f>
        <v>2400</v>
      </c>
      <c r="H58" s="113">
        <v>50</v>
      </c>
      <c r="I58" s="607">
        <v>1.7</v>
      </c>
      <c r="J58" s="114">
        <f>((C58*D58*(H58/100+I58))*12)*1.2</f>
        <v>0</v>
      </c>
      <c r="K58" s="137"/>
    </row>
    <row r="59" spans="1:11" ht="41.4" hidden="1" x14ac:dyDescent="0.3">
      <c r="A59" s="607">
        <v>3</v>
      </c>
      <c r="B59" s="111" t="s">
        <v>314</v>
      </c>
      <c r="C59" s="607">
        <v>1.5</v>
      </c>
      <c r="D59" s="112"/>
      <c r="E59" s="136">
        <v>11000</v>
      </c>
      <c r="F59" s="112">
        <v>0</v>
      </c>
      <c r="G59" s="112">
        <f>E59*20%</f>
        <v>2200</v>
      </c>
      <c r="H59" s="113">
        <v>50</v>
      </c>
      <c r="I59" s="607">
        <v>1.7</v>
      </c>
      <c r="J59" s="114">
        <f>((C59*D59*(H59/100+I59))*12)*1.13</f>
        <v>0</v>
      </c>
    </row>
    <row r="60" spans="1:11" hidden="1" x14ac:dyDescent="0.3">
      <c r="A60" s="607">
        <v>4</v>
      </c>
      <c r="B60" s="111" t="s">
        <v>317</v>
      </c>
      <c r="C60" s="607">
        <v>3</v>
      </c>
      <c r="D60" s="112"/>
      <c r="E60" s="136">
        <v>12000</v>
      </c>
      <c r="F60" s="112">
        <v>0</v>
      </c>
      <c r="G60" s="112">
        <f t="shared" ref="G60:G63" si="9">E60*20%</f>
        <v>2400</v>
      </c>
      <c r="H60" s="113">
        <v>50</v>
      </c>
      <c r="I60" s="607">
        <v>1.7</v>
      </c>
      <c r="J60" s="114">
        <f t="shared" ref="J60:J63" si="10">((C60*D60*(H60/100+I60))*12)*1.13</f>
        <v>0</v>
      </c>
    </row>
    <row r="61" spans="1:11" hidden="1" x14ac:dyDescent="0.3">
      <c r="A61" s="607">
        <v>5</v>
      </c>
      <c r="B61" s="111" t="s">
        <v>508</v>
      </c>
      <c r="C61" s="607">
        <v>2</v>
      </c>
      <c r="D61" s="112"/>
      <c r="E61" s="136">
        <v>8000</v>
      </c>
      <c r="F61" s="112">
        <v>0</v>
      </c>
      <c r="G61" s="112">
        <f t="shared" si="9"/>
        <v>1600</v>
      </c>
      <c r="H61" s="113">
        <v>50</v>
      </c>
      <c r="I61" s="607">
        <v>1.7</v>
      </c>
      <c r="J61" s="114">
        <f t="shared" si="10"/>
        <v>0</v>
      </c>
    </row>
    <row r="62" spans="1:11" hidden="1" x14ac:dyDescent="0.3">
      <c r="A62" s="607">
        <v>6</v>
      </c>
      <c r="B62" s="111" t="s">
        <v>315</v>
      </c>
      <c r="C62" s="607">
        <v>1</v>
      </c>
      <c r="D62" s="112"/>
      <c r="E62" s="136">
        <v>10000</v>
      </c>
      <c r="F62" s="112">
        <v>0</v>
      </c>
      <c r="G62" s="112">
        <f t="shared" si="9"/>
        <v>2000</v>
      </c>
      <c r="H62" s="113">
        <v>50</v>
      </c>
      <c r="I62" s="607">
        <v>1.7</v>
      </c>
      <c r="J62" s="114">
        <f t="shared" si="10"/>
        <v>0</v>
      </c>
    </row>
    <row r="63" spans="1:11" hidden="1" x14ac:dyDescent="0.3">
      <c r="A63" s="607">
        <v>7</v>
      </c>
      <c r="B63" s="111" t="s">
        <v>318</v>
      </c>
      <c r="C63" s="607">
        <v>2</v>
      </c>
      <c r="D63" s="112"/>
      <c r="E63" s="136">
        <v>10000</v>
      </c>
      <c r="F63" s="112">
        <v>0</v>
      </c>
      <c r="G63" s="112">
        <f t="shared" si="9"/>
        <v>2000</v>
      </c>
      <c r="H63" s="113">
        <v>50</v>
      </c>
      <c r="I63" s="607">
        <v>1.7</v>
      </c>
      <c r="J63" s="114">
        <f t="shared" si="10"/>
        <v>0</v>
      </c>
    </row>
    <row r="64" spans="1:11" ht="27.6" hidden="1" x14ac:dyDescent="0.3">
      <c r="A64" s="115"/>
      <c r="B64" s="116" t="s">
        <v>509</v>
      </c>
      <c r="C64" s="117">
        <f>SUM(C57:C63)</f>
        <v>24.5</v>
      </c>
      <c r="D64" s="119">
        <f>SUM(D57:D63)</f>
        <v>0</v>
      </c>
      <c r="E64" s="117" t="s">
        <v>14</v>
      </c>
      <c r="F64" s="117" t="s">
        <v>14</v>
      </c>
      <c r="G64" s="117" t="s">
        <v>14</v>
      </c>
      <c r="H64" s="117" t="s">
        <v>14</v>
      </c>
      <c r="I64" s="117" t="s">
        <v>14</v>
      </c>
      <c r="J64" s="120">
        <f>SUM(J57:J63)</f>
        <v>0</v>
      </c>
      <c r="K64" s="138"/>
    </row>
    <row r="65" spans="1:12" s="41" customFormat="1" ht="13.8" hidden="1" x14ac:dyDescent="0.3">
      <c r="A65" s="1359" t="s">
        <v>320</v>
      </c>
      <c r="B65" s="1360"/>
      <c r="C65" s="1360"/>
      <c r="D65" s="1360"/>
      <c r="E65" s="1360"/>
      <c r="F65" s="1360"/>
      <c r="G65" s="1360"/>
      <c r="H65" s="1360"/>
      <c r="I65" s="1360"/>
      <c r="J65" s="129"/>
    </row>
    <row r="66" spans="1:12" hidden="1" x14ac:dyDescent="0.3">
      <c r="A66" s="1361" t="s">
        <v>331</v>
      </c>
      <c r="B66" s="1361"/>
      <c r="C66" s="87">
        <f>C21+C50+C55+C64</f>
        <v>153.82999999999998</v>
      </c>
      <c r="D66" s="88">
        <f>D21+D50+D55+D64</f>
        <v>0</v>
      </c>
      <c r="E66" s="87" t="s">
        <v>14</v>
      </c>
      <c r="F66" s="87" t="s">
        <v>14</v>
      </c>
      <c r="G66" s="87" t="s">
        <v>14</v>
      </c>
      <c r="H66" s="87" t="s">
        <v>14</v>
      </c>
      <c r="I66" s="87" t="s">
        <v>14</v>
      </c>
      <c r="J66" s="153">
        <f>J21+J50+J55+J64</f>
        <v>0</v>
      </c>
      <c r="L66" s="86"/>
    </row>
    <row r="67" spans="1:12" ht="45.75" customHeight="1" x14ac:dyDescent="0.3">
      <c r="A67" s="1345" t="s">
        <v>634</v>
      </c>
      <c r="B67" s="1345"/>
      <c r="C67" s="611">
        <v>35</v>
      </c>
      <c r="D67" s="611">
        <f>E67</f>
        <v>5000</v>
      </c>
      <c r="E67" s="611">
        <v>5000</v>
      </c>
      <c r="F67" s="611"/>
      <c r="G67" s="611">
        <v>0</v>
      </c>
      <c r="H67" s="611">
        <v>0.5</v>
      </c>
      <c r="I67" s="611">
        <v>1.5</v>
      </c>
      <c r="J67" s="114">
        <v>4220000</v>
      </c>
      <c r="L67" s="86"/>
    </row>
    <row r="68" spans="1:12" ht="21.75" customHeight="1" x14ac:dyDescent="0.3">
      <c r="A68" s="1362" t="s">
        <v>722</v>
      </c>
      <c r="B68" s="1363"/>
      <c r="C68" s="1363"/>
      <c r="D68" s="1363"/>
      <c r="E68" s="1363"/>
      <c r="F68" s="1363"/>
      <c r="G68" s="1363"/>
      <c r="H68" s="1363"/>
      <c r="I68" s="1364"/>
      <c r="J68" s="221">
        <f>J66+J67</f>
        <v>4220000</v>
      </c>
      <c r="L68" s="86"/>
    </row>
    <row r="69" spans="1:12" ht="39.75" hidden="1" customHeight="1" x14ac:dyDescent="0.3">
      <c r="A69" s="613"/>
      <c r="B69" s="640"/>
      <c r="C69" s="640"/>
      <c r="D69" s="640"/>
      <c r="E69" s="640"/>
      <c r="F69" s="640"/>
      <c r="G69" s="640"/>
      <c r="H69" s="640"/>
      <c r="I69" s="641"/>
      <c r="J69" s="152"/>
      <c r="L69" s="86"/>
    </row>
    <row r="70" spans="1:12" ht="15.6" hidden="1" x14ac:dyDescent="0.3">
      <c r="A70" s="121"/>
      <c r="B70" s="121"/>
      <c r="C70" s="614"/>
      <c r="D70" s="122"/>
      <c r="E70" s="614"/>
      <c r="F70" s="614"/>
      <c r="G70" s="614"/>
      <c r="H70" s="614"/>
      <c r="I70" s="614"/>
      <c r="J70" s="123"/>
    </row>
    <row r="71" spans="1:12" hidden="1" x14ac:dyDescent="0.3">
      <c r="A71" s="1346" t="s">
        <v>1</v>
      </c>
      <c r="B71" s="1346" t="s">
        <v>2</v>
      </c>
      <c r="C71" s="1346" t="s">
        <v>3</v>
      </c>
      <c r="D71" s="1345" t="s">
        <v>4</v>
      </c>
      <c r="E71" s="1345"/>
      <c r="F71" s="1345"/>
      <c r="G71" s="1345"/>
      <c r="H71" s="1346" t="s">
        <v>5</v>
      </c>
      <c r="I71" s="1346" t="s">
        <v>6</v>
      </c>
      <c r="J71" s="1346" t="s">
        <v>312</v>
      </c>
    </row>
    <row r="72" spans="1:12" hidden="1" x14ac:dyDescent="0.3">
      <c r="A72" s="1346"/>
      <c r="B72" s="1346"/>
      <c r="C72" s="1346"/>
      <c r="D72" s="1346" t="s">
        <v>8</v>
      </c>
      <c r="E72" s="1345" t="s">
        <v>9</v>
      </c>
      <c r="F72" s="1345"/>
      <c r="G72" s="1345"/>
      <c r="H72" s="1346"/>
      <c r="I72" s="1346"/>
      <c r="J72" s="1346"/>
    </row>
    <row r="73" spans="1:12" ht="69" hidden="1" x14ac:dyDescent="0.3">
      <c r="A73" s="1346"/>
      <c r="B73" s="1346"/>
      <c r="C73" s="1346"/>
      <c r="D73" s="1346"/>
      <c r="E73" s="612" t="s">
        <v>10</v>
      </c>
      <c r="F73" s="612" t="s">
        <v>11</v>
      </c>
      <c r="G73" s="612" t="s">
        <v>12</v>
      </c>
      <c r="H73" s="1346"/>
      <c r="I73" s="1346"/>
      <c r="J73" s="1346"/>
    </row>
    <row r="74" spans="1:12" hidden="1" x14ac:dyDescent="0.3">
      <c r="A74" s="607">
        <v>1</v>
      </c>
      <c r="B74" s="607">
        <v>2</v>
      </c>
      <c r="C74" s="607">
        <v>3</v>
      </c>
      <c r="D74" s="607">
        <v>4</v>
      </c>
      <c r="E74" s="607">
        <v>5</v>
      </c>
      <c r="F74" s="607">
        <v>6</v>
      </c>
      <c r="G74" s="607">
        <v>7</v>
      </c>
      <c r="H74" s="607">
        <v>8</v>
      </c>
      <c r="I74" s="607">
        <v>9</v>
      </c>
      <c r="J74" s="607">
        <v>10</v>
      </c>
    </row>
    <row r="75" spans="1:12" hidden="1" x14ac:dyDescent="0.3">
      <c r="A75" s="1347" t="s">
        <v>313</v>
      </c>
      <c r="B75" s="1354"/>
      <c r="C75" s="1354"/>
      <c r="D75" s="1354"/>
      <c r="E75" s="1354"/>
      <c r="F75" s="1354"/>
      <c r="G75" s="1354"/>
      <c r="H75" s="1354"/>
      <c r="I75" s="1354"/>
      <c r="J75" s="1354"/>
    </row>
    <row r="76" spans="1:12" ht="41.4" hidden="1" x14ac:dyDescent="0.3">
      <c r="A76" s="607">
        <v>1</v>
      </c>
      <c r="B76" s="111" t="s">
        <v>314</v>
      </c>
      <c r="C76" s="607"/>
      <c r="D76" s="124">
        <f>E76+F76+G76</f>
        <v>0</v>
      </c>
      <c r="E76" s="139"/>
      <c r="F76" s="124"/>
      <c r="G76" s="124">
        <f>(E76+F76)*20%</f>
        <v>0</v>
      </c>
      <c r="H76" s="113">
        <v>50</v>
      </c>
      <c r="I76" s="607">
        <v>1.7</v>
      </c>
      <c r="J76" s="125">
        <f>(C76*D76*(H76/100+I76))*12.5</f>
        <v>0</v>
      </c>
      <c r="L76" s="86"/>
    </row>
    <row r="77" spans="1:12" ht="15.75" hidden="1" customHeight="1" x14ac:dyDescent="0.3">
      <c r="A77" s="607">
        <v>2</v>
      </c>
      <c r="B77" s="111" t="s">
        <v>315</v>
      </c>
      <c r="C77" s="607"/>
      <c r="D77" s="124">
        <f t="shared" ref="D77:D78" si="11">E77+F77+G77</f>
        <v>0</v>
      </c>
      <c r="E77" s="139"/>
      <c r="F77" s="124"/>
      <c r="G77" s="124">
        <f>(E77+F77)*20%</f>
        <v>0</v>
      </c>
      <c r="H77" s="113">
        <v>50</v>
      </c>
      <c r="I77" s="607">
        <v>1.7</v>
      </c>
      <c r="J77" s="125">
        <f>(C77*D77*(H77/100+I77))*12.5</f>
        <v>0</v>
      </c>
    </row>
    <row r="78" spans="1:12" ht="27.6" hidden="1" x14ac:dyDescent="0.3">
      <c r="A78" s="607">
        <v>3</v>
      </c>
      <c r="B78" s="111" t="s">
        <v>316</v>
      </c>
      <c r="C78" s="607"/>
      <c r="D78" s="124">
        <f t="shared" si="11"/>
        <v>0</v>
      </c>
      <c r="E78" s="124"/>
      <c r="F78" s="124"/>
      <c r="G78" s="124">
        <f>(E78+F78)*20%</f>
        <v>0</v>
      </c>
      <c r="H78" s="113">
        <v>50</v>
      </c>
      <c r="I78" s="607">
        <v>1.7</v>
      </c>
      <c r="J78" s="125">
        <f>(C78*D78*(H78/100+I78))*12.5</f>
        <v>0</v>
      </c>
    </row>
    <row r="79" spans="1:12" hidden="1" x14ac:dyDescent="0.3">
      <c r="A79" s="607">
        <v>4</v>
      </c>
      <c r="B79" s="111" t="s">
        <v>317</v>
      </c>
      <c r="C79" s="607"/>
      <c r="D79" s="124">
        <f>E79+F79+G79</f>
        <v>0</v>
      </c>
      <c r="E79" s="124"/>
      <c r="F79" s="124"/>
      <c r="G79" s="124">
        <f>(E79+F79)*20%</f>
        <v>0</v>
      </c>
      <c r="H79" s="113">
        <v>50</v>
      </c>
      <c r="I79" s="607">
        <v>1.7</v>
      </c>
      <c r="J79" s="125">
        <f>(C79*D79*(H79/100+I79))*12.5</f>
        <v>0</v>
      </c>
    </row>
    <row r="80" spans="1:12" ht="21.75" hidden="1" customHeight="1" x14ac:dyDescent="0.3">
      <c r="A80" s="607">
        <v>5</v>
      </c>
      <c r="B80" s="111" t="s">
        <v>318</v>
      </c>
      <c r="C80" s="607"/>
      <c r="D80" s="124">
        <f t="shared" ref="D80" si="12">E80+F80+G80</f>
        <v>0</v>
      </c>
      <c r="E80" s="124"/>
      <c r="F80" s="124"/>
      <c r="G80" s="124">
        <f t="shared" ref="G80" si="13">(E80+F80)*20%</f>
        <v>0</v>
      </c>
      <c r="H80" s="113">
        <v>50</v>
      </c>
      <c r="I80" s="607">
        <v>1.7</v>
      </c>
      <c r="J80" s="125">
        <f>(C80*D80*(H80/100+I80))*12.5</f>
        <v>0</v>
      </c>
      <c r="K80" s="86"/>
    </row>
    <row r="81" spans="1:12" ht="16.5" hidden="1" customHeight="1" x14ac:dyDescent="0.3">
      <c r="A81" s="115"/>
      <c r="B81" s="126" t="s">
        <v>319</v>
      </c>
      <c r="C81" s="127">
        <f>SUM(C76:C80)</f>
        <v>0</v>
      </c>
      <c r="D81" s="128">
        <f>SUM(D76:D80)</f>
        <v>0</v>
      </c>
      <c r="E81" s="127" t="s">
        <v>14</v>
      </c>
      <c r="F81" s="127" t="s">
        <v>14</v>
      </c>
      <c r="G81" s="127" t="s">
        <v>14</v>
      </c>
      <c r="H81" s="127" t="s">
        <v>14</v>
      </c>
      <c r="I81" s="127" t="s">
        <v>14</v>
      </c>
      <c r="J81" s="129">
        <f>SUM(J76:J80)</f>
        <v>0</v>
      </c>
    </row>
    <row r="82" spans="1:12" ht="15.75" hidden="1" customHeight="1" x14ac:dyDescent="0.3">
      <c r="A82" s="1365" t="s">
        <v>343</v>
      </c>
      <c r="B82" s="1366"/>
      <c r="C82" s="1366"/>
      <c r="D82" s="1366"/>
      <c r="E82" s="1366"/>
      <c r="F82" s="1366"/>
      <c r="G82" s="1366"/>
      <c r="H82" s="1366"/>
      <c r="I82" s="1367"/>
      <c r="J82" s="129"/>
    </row>
    <row r="83" spans="1:12" s="41" customFormat="1" ht="13.8" hidden="1" x14ac:dyDescent="0.3">
      <c r="A83" s="1365" t="s">
        <v>467</v>
      </c>
      <c r="B83" s="1366"/>
      <c r="C83" s="1366"/>
      <c r="D83" s="1366"/>
      <c r="E83" s="1366"/>
      <c r="F83" s="1366"/>
      <c r="G83" s="1366"/>
      <c r="H83" s="1366"/>
      <c r="I83" s="1367"/>
      <c r="J83" s="143"/>
    </row>
    <row r="84" spans="1:12" s="41" customFormat="1" hidden="1" x14ac:dyDescent="0.3">
      <c r="A84" s="218" t="s">
        <v>379</v>
      </c>
      <c r="B84" s="219"/>
      <c r="C84" s="220"/>
      <c r="D84" s="220"/>
      <c r="E84" s="220"/>
      <c r="F84" s="220"/>
      <c r="G84" s="220"/>
      <c r="H84" s="220"/>
      <c r="I84" s="220"/>
      <c r="J84" s="143"/>
    </row>
    <row r="85" spans="1:12" s="41" customFormat="1" ht="15.6" hidden="1" x14ac:dyDescent="0.3">
      <c r="A85" s="1368" t="s">
        <v>511</v>
      </c>
      <c r="B85" s="1369"/>
      <c r="C85" s="1369"/>
      <c r="D85" s="1369"/>
      <c r="E85" s="1369"/>
      <c r="F85" s="1369"/>
      <c r="G85" s="1369"/>
      <c r="H85" s="1369"/>
      <c r="I85" s="1369"/>
      <c r="J85" s="1370"/>
    </row>
    <row r="86" spans="1:12" ht="21" hidden="1" customHeight="1" x14ac:dyDescent="0.3">
      <c r="A86" s="1371" t="s">
        <v>512</v>
      </c>
      <c r="B86" s="1372"/>
      <c r="C86" s="130">
        <v>2.4</v>
      </c>
      <c r="D86" s="131">
        <f>D81</f>
        <v>0</v>
      </c>
      <c r="E86" s="132" t="s">
        <v>14</v>
      </c>
      <c r="F86" s="132" t="s">
        <v>14</v>
      </c>
      <c r="G86" s="132" t="s">
        <v>14</v>
      </c>
      <c r="H86" s="132" t="s">
        <v>14</v>
      </c>
      <c r="I86" s="132" t="s">
        <v>14</v>
      </c>
      <c r="J86" s="228">
        <v>0</v>
      </c>
      <c r="K86" s="86"/>
      <c r="L86" s="86"/>
    </row>
    <row r="87" spans="1:12" ht="21" customHeight="1" x14ac:dyDescent="0.3">
      <c r="A87" s="1373" t="s">
        <v>921</v>
      </c>
      <c r="B87" s="1374"/>
      <c r="C87" s="1374"/>
      <c r="D87" s="1374"/>
      <c r="E87" s="1374"/>
      <c r="F87" s="1374"/>
      <c r="G87" s="1374"/>
      <c r="H87" s="1374"/>
      <c r="I87" s="1374"/>
      <c r="J87" s="229">
        <f>J86+J68</f>
        <v>4220000</v>
      </c>
      <c r="K87" s="86"/>
      <c r="L87" s="86"/>
    </row>
    <row r="88" spans="1:12" ht="21" hidden="1" customHeight="1" x14ac:dyDescent="0.3">
      <c r="A88" s="599"/>
      <c r="B88" s="223"/>
      <c r="C88" s="593"/>
      <c r="D88" s="225"/>
      <c r="E88" s="601"/>
      <c r="F88" s="601"/>
      <c r="G88" s="601"/>
      <c r="H88" s="601"/>
      <c r="I88" s="601"/>
      <c r="J88" s="600"/>
      <c r="K88" s="86"/>
      <c r="L88" s="86"/>
    </row>
    <row r="89" spans="1:12" ht="20.25" hidden="1" customHeight="1" x14ac:dyDescent="0.3">
      <c r="A89" s="1325" t="s">
        <v>359</v>
      </c>
      <c r="B89" s="1326"/>
      <c r="C89" s="1326"/>
      <c r="D89" s="1326"/>
      <c r="E89" s="1326"/>
      <c r="F89" s="1326"/>
      <c r="G89" s="1326"/>
      <c r="H89" s="1326"/>
      <c r="I89" s="1326"/>
      <c r="J89" s="1327"/>
    </row>
    <row r="90" spans="1:12" ht="30" hidden="1" customHeight="1" x14ac:dyDescent="0.3">
      <c r="A90" s="610" t="s">
        <v>1</v>
      </c>
      <c r="B90" s="1335" t="s">
        <v>44</v>
      </c>
      <c r="C90" s="1335"/>
      <c r="D90" s="1335"/>
      <c r="E90" s="1335" t="s">
        <v>45</v>
      </c>
      <c r="F90" s="1335"/>
      <c r="G90" s="1335" t="s">
        <v>46</v>
      </c>
      <c r="H90" s="1335"/>
      <c r="I90" s="1335" t="s">
        <v>102</v>
      </c>
      <c r="J90" s="1335"/>
    </row>
    <row r="91" spans="1:12" ht="16.5" hidden="1" customHeight="1" x14ac:dyDescent="0.3">
      <c r="A91" s="615">
        <v>1</v>
      </c>
      <c r="B91" s="1302">
        <v>2</v>
      </c>
      <c r="C91" s="1302"/>
      <c r="D91" s="1302"/>
      <c r="E91" s="1302">
        <v>3</v>
      </c>
      <c r="F91" s="1302"/>
      <c r="G91" s="1302">
        <v>4</v>
      </c>
      <c r="H91" s="1302"/>
      <c r="I91" s="1302">
        <v>5</v>
      </c>
      <c r="J91" s="1302"/>
    </row>
    <row r="92" spans="1:12" ht="47.25" hidden="1" customHeight="1" x14ac:dyDescent="0.3">
      <c r="A92" s="159">
        <v>1</v>
      </c>
      <c r="B92" s="1226" t="s">
        <v>370</v>
      </c>
      <c r="C92" s="1227"/>
      <c r="D92" s="1228"/>
      <c r="E92" s="1336">
        <f>I92/G92</f>
        <v>0</v>
      </c>
      <c r="F92" s="1336"/>
      <c r="G92" s="1307">
        <v>12</v>
      </c>
      <c r="H92" s="1307"/>
      <c r="I92" s="1340">
        <v>0</v>
      </c>
      <c r="J92" s="1340"/>
    </row>
    <row r="93" spans="1:12" ht="51.75" hidden="1" customHeight="1" x14ac:dyDescent="0.3">
      <c r="A93" s="159" t="s">
        <v>75</v>
      </c>
      <c r="B93" s="1226" t="s">
        <v>723</v>
      </c>
      <c r="C93" s="1227"/>
      <c r="D93" s="1228"/>
      <c r="E93" s="1336">
        <v>0</v>
      </c>
      <c r="F93" s="1336"/>
      <c r="G93" s="1307"/>
      <c r="H93" s="1307"/>
      <c r="I93" s="1340">
        <v>0</v>
      </c>
      <c r="J93" s="1340"/>
      <c r="K93" s="1">
        <v>0</v>
      </c>
    </row>
    <row r="94" spans="1:12" ht="33.75" hidden="1" customHeight="1" x14ac:dyDescent="0.3">
      <c r="A94" s="248"/>
      <c r="B94" s="1341" t="s">
        <v>331</v>
      </c>
      <c r="C94" s="1342"/>
      <c r="D94" s="1343"/>
      <c r="E94" s="1337" t="s">
        <v>14</v>
      </c>
      <c r="F94" s="1338"/>
      <c r="G94" s="1337" t="s">
        <v>14</v>
      </c>
      <c r="H94" s="1339"/>
      <c r="I94" s="616"/>
      <c r="J94" s="367">
        <f>I93</f>
        <v>0</v>
      </c>
    </row>
    <row r="95" spans="1:12" s="41" customFormat="1" ht="40.5" customHeight="1" x14ac:dyDescent="0.3">
      <c r="A95" s="1275" t="s">
        <v>596</v>
      </c>
      <c r="B95" s="1275"/>
      <c r="C95" s="1275"/>
      <c r="D95" s="1275"/>
      <c r="E95" s="1275"/>
      <c r="F95" s="1275"/>
      <c r="G95" s="1275"/>
      <c r="H95" s="1275"/>
      <c r="I95" s="1275"/>
      <c r="J95" s="1275"/>
    </row>
    <row r="96" spans="1:12" ht="39.6" x14ac:dyDescent="0.3">
      <c r="A96" s="615" t="s">
        <v>1</v>
      </c>
      <c r="B96" s="1302" t="s">
        <v>15</v>
      </c>
      <c r="C96" s="1302"/>
      <c r="D96" s="1302"/>
      <c r="E96" s="1302" t="s">
        <v>16</v>
      </c>
      <c r="F96" s="1302"/>
      <c r="G96" s="615" t="s">
        <v>17</v>
      </c>
      <c r="H96" s="615" t="s">
        <v>18</v>
      </c>
      <c r="I96" s="1302" t="s">
        <v>104</v>
      </c>
      <c r="J96" s="1302"/>
    </row>
    <row r="97" spans="1:10" x14ac:dyDescent="0.3">
      <c r="A97" s="615">
        <v>1</v>
      </c>
      <c r="B97" s="1302">
        <v>2</v>
      </c>
      <c r="C97" s="1302"/>
      <c r="D97" s="1302"/>
      <c r="E97" s="1302">
        <v>3</v>
      </c>
      <c r="F97" s="1302"/>
      <c r="G97" s="615">
        <v>4</v>
      </c>
      <c r="H97" s="615">
        <v>5</v>
      </c>
      <c r="I97" s="1302">
        <v>6</v>
      </c>
      <c r="J97" s="1302"/>
    </row>
    <row r="98" spans="1:10" ht="16.5" customHeight="1" x14ac:dyDescent="0.3">
      <c r="A98" s="1330" t="s">
        <v>361</v>
      </c>
      <c r="B98" s="1331"/>
      <c r="C98" s="1331"/>
      <c r="D98" s="1331"/>
      <c r="E98" s="1331"/>
      <c r="F98" s="1331"/>
      <c r="G98" s="1331"/>
      <c r="H98" s="1331"/>
      <c r="I98" s="1331"/>
      <c r="J98" s="1332"/>
    </row>
    <row r="99" spans="1:10" ht="59.25" hidden="1" customHeight="1" x14ac:dyDescent="0.3">
      <c r="A99" s="1112" t="s">
        <v>570</v>
      </c>
      <c r="B99" s="1113"/>
      <c r="C99" s="1113"/>
      <c r="D99" s="1113"/>
      <c r="E99" s="1113"/>
      <c r="F99" s="1113"/>
      <c r="G99" s="1113"/>
      <c r="H99" s="1113"/>
      <c r="I99" s="1113"/>
      <c r="J99" s="1114"/>
    </row>
    <row r="100" spans="1:10" ht="49.5" hidden="1" customHeight="1" x14ac:dyDescent="0.3">
      <c r="A100" s="449">
        <v>1</v>
      </c>
      <c r="B100" s="1095" t="s">
        <v>571</v>
      </c>
      <c r="C100" s="1096"/>
      <c r="D100" s="1097"/>
      <c r="E100" s="1159">
        <v>0</v>
      </c>
      <c r="F100" s="1160"/>
      <c r="G100" s="1159">
        <v>300</v>
      </c>
      <c r="H100" s="1160"/>
      <c r="I100" s="1153">
        <f>E100*G100</f>
        <v>0</v>
      </c>
      <c r="J100" s="1154"/>
    </row>
    <row r="101" spans="1:10" ht="16.5" hidden="1" customHeight="1" x14ac:dyDescent="0.3">
      <c r="A101" s="578"/>
      <c r="B101" s="1155"/>
      <c r="C101" s="1158"/>
      <c r="D101" s="1156"/>
      <c r="E101" s="1155"/>
      <c r="F101" s="1156"/>
      <c r="G101" s="1155"/>
      <c r="H101" s="1156"/>
      <c r="I101" s="1155"/>
      <c r="J101" s="1156"/>
    </row>
    <row r="102" spans="1:10" ht="42.75" customHeight="1" x14ac:dyDescent="0.3">
      <c r="A102" s="1118" t="s">
        <v>995</v>
      </c>
      <c r="B102" s="1119"/>
      <c r="C102" s="1119"/>
      <c r="D102" s="1119"/>
      <c r="E102" s="1119"/>
      <c r="F102" s="1119"/>
      <c r="G102" s="1119"/>
      <c r="H102" s="1119"/>
      <c r="I102" s="1119"/>
      <c r="J102" s="1120"/>
    </row>
    <row r="103" spans="1:10" ht="36.75" customHeight="1" x14ac:dyDescent="0.3">
      <c r="A103" s="448">
        <v>1</v>
      </c>
      <c r="B103" s="1151" t="s">
        <v>573</v>
      </c>
      <c r="C103" s="1151"/>
      <c r="D103" s="1151"/>
      <c r="E103" s="1328" t="s">
        <v>574</v>
      </c>
      <c r="F103" s="1328"/>
      <c r="G103" s="1161">
        <v>300</v>
      </c>
      <c r="H103" s="1162"/>
      <c r="I103" s="1157">
        <v>16200</v>
      </c>
      <c r="J103" s="1157"/>
    </row>
    <row r="104" spans="1:10" ht="16.5" customHeight="1" x14ac:dyDescent="0.3">
      <c r="A104" s="582"/>
      <c r="B104" s="1329"/>
      <c r="C104" s="1329"/>
      <c r="D104" s="1329"/>
      <c r="E104" s="1158"/>
      <c r="F104" s="1158"/>
      <c r="G104" s="1158"/>
      <c r="H104" s="1158"/>
      <c r="I104" s="1158"/>
      <c r="J104" s="1156"/>
    </row>
    <row r="105" spans="1:10" ht="16.5" hidden="1" customHeight="1" x14ac:dyDescent="0.3">
      <c r="A105" s="609"/>
      <c r="B105" s="1158"/>
      <c r="C105" s="1158"/>
      <c r="D105" s="1158"/>
      <c r="E105" s="1158"/>
      <c r="F105" s="1158"/>
      <c r="G105" s="1158"/>
      <c r="H105" s="1158"/>
      <c r="I105" s="1158"/>
      <c r="J105" s="1156"/>
    </row>
    <row r="106" spans="1:10" ht="16.5" hidden="1" customHeight="1" x14ac:dyDescent="0.3">
      <c r="A106" s="609"/>
      <c r="B106" s="1158"/>
      <c r="C106" s="1158"/>
      <c r="D106" s="1158"/>
      <c r="E106" s="1158"/>
      <c r="F106" s="1158"/>
      <c r="G106" s="1158"/>
      <c r="H106" s="1158"/>
      <c r="I106" s="1158"/>
      <c r="J106" s="1156"/>
    </row>
    <row r="107" spans="1:10" ht="15" hidden="1" customHeight="1" x14ac:dyDescent="0.3">
      <c r="A107" s="1325" t="s">
        <v>363</v>
      </c>
      <c r="B107" s="1326"/>
      <c r="C107" s="1326"/>
      <c r="D107" s="1326"/>
      <c r="E107" s="1326"/>
      <c r="F107" s="1326"/>
      <c r="G107" s="1326"/>
      <c r="H107" s="1326"/>
      <c r="I107" s="1326"/>
      <c r="J107" s="1327"/>
    </row>
    <row r="108" spans="1:10" ht="53.25" hidden="1" customHeight="1" x14ac:dyDescent="0.3">
      <c r="A108" s="561" t="s">
        <v>70</v>
      </c>
      <c r="B108" s="1320" t="s">
        <v>513</v>
      </c>
      <c r="C108" s="1321"/>
      <c r="D108" s="1322"/>
      <c r="E108" s="1329"/>
      <c r="F108" s="1329"/>
      <c r="G108" s="617"/>
      <c r="H108" s="617">
        <v>1</v>
      </c>
      <c r="I108" s="1333">
        <v>0</v>
      </c>
      <c r="J108" s="1334"/>
    </row>
    <row r="109" spans="1:10" ht="48.75" hidden="1" customHeight="1" x14ac:dyDescent="0.3">
      <c r="A109" s="608" t="s">
        <v>75</v>
      </c>
      <c r="B109" s="1320" t="s">
        <v>514</v>
      </c>
      <c r="C109" s="1321"/>
      <c r="D109" s="1322"/>
      <c r="E109" s="1323"/>
      <c r="F109" s="1323"/>
      <c r="G109" s="140"/>
      <c r="H109" s="160">
        <v>1</v>
      </c>
      <c r="I109" s="1324">
        <f>E109*G109</f>
        <v>0</v>
      </c>
      <c r="J109" s="1324"/>
    </row>
    <row r="110" spans="1:10" x14ac:dyDescent="0.3">
      <c r="A110" s="1325" t="s">
        <v>364</v>
      </c>
      <c r="B110" s="1326"/>
      <c r="C110" s="1326"/>
      <c r="D110" s="1326"/>
      <c r="E110" s="1326"/>
      <c r="F110" s="1326"/>
      <c r="G110" s="1326"/>
      <c r="H110" s="1326"/>
      <c r="I110" s="1326"/>
      <c r="J110" s="1327"/>
    </row>
    <row r="111" spans="1:10" ht="51.75" hidden="1" customHeight="1" x14ac:dyDescent="0.3">
      <c r="A111" s="1112" t="s">
        <v>570</v>
      </c>
      <c r="B111" s="1113"/>
      <c r="C111" s="1113"/>
      <c r="D111" s="1113"/>
      <c r="E111" s="1113"/>
      <c r="F111" s="1113"/>
      <c r="G111" s="1113"/>
      <c r="H111" s="1113"/>
      <c r="I111" s="1113"/>
      <c r="J111" s="1114"/>
    </row>
    <row r="112" spans="1:10" ht="47.25" hidden="1" customHeight="1" x14ac:dyDescent="0.3">
      <c r="A112" s="624">
        <v>1</v>
      </c>
      <c r="B112" s="1115" t="s">
        <v>575</v>
      </c>
      <c r="C112" s="1115"/>
      <c r="D112" s="1115"/>
      <c r="E112" s="1116">
        <v>0</v>
      </c>
      <c r="F112" s="1117"/>
      <c r="G112" s="624"/>
      <c r="H112" s="624">
        <v>1</v>
      </c>
      <c r="I112" s="1121">
        <v>0</v>
      </c>
      <c r="J112" s="1122"/>
    </row>
    <row r="113" spans="1:10" ht="47.25" hidden="1" customHeight="1" x14ac:dyDescent="0.3">
      <c r="A113" s="353">
        <v>2</v>
      </c>
      <c r="B113" s="1115" t="s">
        <v>576</v>
      </c>
      <c r="C113" s="1115"/>
      <c r="D113" s="1115"/>
      <c r="E113" s="1355">
        <v>0</v>
      </c>
      <c r="F113" s="1356"/>
      <c r="G113" s="624"/>
      <c r="H113" s="624">
        <v>1</v>
      </c>
      <c r="I113" s="1121">
        <v>0</v>
      </c>
      <c r="J113" s="1122"/>
    </row>
    <row r="114" spans="1:10" ht="35.25" customHeight="1" x14ac:dyDescent="0.3">
      <c r="A114" s="1118" t="s">
        <v>993</v>
      </c>
      <c r="B114" s="1119"/>
      <c r="C114" s="1119"/>
      <c r="D114" s="1119"/>
      <c r="E114" s="1119"/>
      <c r="F114" s="1119"/>
      <c r="G114" s="1119"/>
      <c r="H114" s="1119"/>
      <c r="I114" s="1119"/>
      <c r="J114" s="1120"/>
    </row>
    <row r="115" spans="1:10" ht="35.25" customHeight="1" x14ac:dyDescent="0.3">
      <c r="A115" s="624">
        <v>2</v>
      </c>
      <c r="B115" s="1151" t="s">
        <v>581</v>
      </c>
      <c r="C115" s="1151"/>
      <c r="D115" s="1151"/>
      <c r="E115" s="1116">
        <v>0</v>
      </c>
      <c r="F115" s="1117"/>
      <c r="G115" s="624"/>
      <c r="H115" s="624">
        <v>0</v>
      </c>
      <c r="I115" s="1308">
        <v>76680</v>
      </c>
      <c r="J115" s="1309"/>
    </row>
    <row r="116" spans="1:10" ht="35.25" customHeight="1" x14ac:dyDescent="0.3">
      <c r="A116" s="624">
        <v>3</v>
      </c>
      <c r="B116" s="1151" t="s">
        <v>920</v>
      </c>
      <c r="C116" s="1151"/>
      <c r="D116" s="1151"/>
      <c r="E116" s="1116">
        <v>0</v>
      </c>
      <c r="F116" s="1117"/>
      <c r="G116" s="624"/>
      <c r="H116" s="624">
        <v>0</v>
      </c>
      <c r="I116" s="1357">
        <v>57120</v>
      </c>
      <c r="J116" s="1358"/>
    </row>
    <row r="117" spans="1:10" x14ac:dyDescent="0.3">
      <c r="A117" s="608"/>
      <c r="B117" s="1306" t="s">
        <v>13</v>
      </c>
      <c r="C117" s="1306"/>
      <c r="D117" s="1306"/>
      <c r="E117" s="1307" t="s">
        <v>14</v>
      </c>
      <c r="F117" s="1307"/>
      <c r="G117" s="608" t="s">
        <v>14</v>
      </c>
      <c r="H117" s="608" t="s">
        <v>14</v>
      </c>
      <c r="I117" s="1310">
        <f>I100+I103+I112+I115+I113+I116</f>
        <v>150000</v>
      </c>
      <c r="J117" s="1310"/>
    </row>
    <row r="118" spans="1:10" ht="19.5" hidden="1" customHeight="1" x14ac:dyDescent="0.3">
      <c r="A118" s="1243" t="s">
        <v>366</v>
      </c>
      <c r="B118" s="1243"/>
      <c r="C118" s="1243"/>
      <c r="D118" s="1243"/>
      <c r="E118" s="1243"/>
      <c r="F118" s="1243"/>
      <c r="G118" s="1243"/>
      <c r="H118" s="1243"/>
      <c r="I118" s="1243"/>
      <c r="J118" s="1243"/>
    </row>
    <row r="119" spans="1:10" ht="52.8" hidden="1" x14ac:dyDescent="0.3">
      <c r="A119" s="615" t="s">
        <v>1</v>
      </c>
      <c r="B119" s="1302" t="s">
        <v>15</v>
      </c>
      <c r="C119" s="1302"/>
      <c r="D119" s="1302"/>
      <c r="E119" s="1311" t="s">
        <v>20</v>
      </c>
      <c r="F119" s="1312"/>
      <c r="G119" s="615" t="s">
        <v>21</v>
      </c>
      <c r="H119" s="615" t="s">
        <v>22</v>
      </c>
      <c r="I119" s="1302" t="s">
        <v>19</v>
      </c>
      <c r="J119" s="1302"/>
    </row>
    <row r="120" spans="1:10" hidden="1" x14ac:dyDescent="0.3">
      <c r="A120" s="615">
        <v>1</v>
      </c>
      <c r="B120" s="1302">
        <v>2</v>
      </c>
      <c r="C120" s="1302"/>
      <c r="D120" s="1302"/>
      <c r="E120" s="1311">
        <v>3</v>
      </c>
      <c r="F120" s="1312"/>
      <c r="G120" s="615">
        <v>4</v>
      </c>
      <c r="H120" s="615">
        <v>5</v>
      </c>
      <c r="I120" s="1302">
        <v>6</v>
      </c>
      <c r="J120" s="1302"/>
    </row>
    <row r="121" spans="1:10" ht="47.25" hidden="1" customHeight="1" x14ac:dyDescent="0.3">
      <c r="A121" s="607" t="s">
        <v>70</v>
      </c>
      <c r="B121" s="1313" t="s">
        <v>79</v>
      </c>
      <c r="C121" s="1314"/>
      <c r="D121" s="1315"/>
      <c r="E121" s="1316"/>
      <c r="F121" s="1317"/>
      <c r="G121" s="163">
        <v>12</v>
      </c>
      <c r="H121" s="163">
        <v>85</v>
      </c>
      <c r="I121" s="1318">
        <f>E121*G121*H121</f>
        <v>0</v>
      </c>
      <c r="J121" s="1318"/>
    </row>
    <row r="122" spans="1:10" ht="17.25" hidden="1" customHeight="1" x14ac:dyDescent="0.3">
      <c r="A122" s="162"/>
      <c r="B122" s="1303" t="s">
        <v>13</v>
      </c>
      <c r="C122" s="1303"/>
      <c r="D122" s="1303"/>
      <c r="E122" s="1304" t="s">
        <v>14</v>
      </c>
      <c r="F122" s="1305"/>
      <c r="G122" s="608" t="s">
        <v>14</v>
      </c>
      <c r="H122" s="608" t="s">
        <v>14</v>
      </c>
      <c r="I122" s="1310">
        <f>SUM(I121)</f>
        <v>0</v>
      </c>
      <c r="J122" s="1319"/>
    </row>
    <row r="123" spans="1:10" s="41" customFormat="1" ht="54" customHeight="1" x14ac:dyDescent="0.3">
      <c r="A123" s="1275" t="s">
        <v>295</v>
      </c>
      <c r="B123" s="1275"/>
      <c r="C123" s="1275"/>
      <c r="D123" s="1275"/>
      <c r="E123" s="1275"/>
      <c r="F123" s="1275"/>
      <c r="G123" s="1275"/>
      <c r="H123" s="1275"/>
      <c r="I123" s="1275"/>
      <c r="J123" s="1275"/>
    </row>
    <row r="124" spans="1:10" ht="25.5" customHeight="1" x14ac:dyDescent="0.3">
      <c r="A124" s="627" t="s">
        <v>1</v>
      </c>
      <c r="B124" s="1276" t="s">
        <v>23</v>
      </c>
      <c r="C124" s="1276"/>
      <c r="D124" s="1276"/>
      <c r="E124" s="1276"/>
      <c r="F124" s="1276"/>
      <c r="G124" s="1276" t="s">
        <v>24</v>
      </c>
      <c r="H124" s="1276"/>
      <c r="I124" s="1276" t="s">
        <v>25</v>
      </c>
      <c r="J124" s="1276"/>
    </row>
    <row r="125" spans="1:10" ht="12" customHeight="1" x14ac:dyDescent="0.3">
      <c r="A125" s="623">
        <v>1</v>
      </c>
      <c r="B125" s="1110">
        <v>2</v>
      </c>
      <c r="C125" s="1110"/>
      <c r="D125" s="1110"/>
      <c r="E125" s="1110"/>
      <c r="F125" s="1110"/>
      <c r="G125" s="1110">
        <v>3</v>
      </c>
      <c r="H125" s="1110"/>
      <c r="I125" s="1110">
        <v>4</v>
      </c>
      <c r="J125" s="1110"/>
    </row>
    <row r="126" spans="1:10" ht="17.25" customHeight="1" x14ac:dyDescent="0.3">
      <c r="A126" s="618" t="s">
        <v>70</v>
      </c>
      <c r="B126" s="1295" t="s">
        <v>26</v>
      </c>
      <c r="C126" s="1295"/>
      <c r="D126" s="1295"/>
      <c r="E126" s="1295"/>
      <c r="F126" s="1295"/>
      <c r="G126" s="1300" t="s">
        <v>14</v>
      </c>
      <c r="H126" s="1300"/>
      <c r="I126" s="1299">
        <f>SUM(I128:J130)</f>
        <v>928400</v>
      </c>
      <c r="J126" s="1299"/>
    </row>
    <row r="127" spans="1:10" ht="16.5" customHeight="1" x14ac:dyDescent="0.3">
      <c r="A127" s="98"/>
      <c r="B127" s="1116" t="s">
        <v>9</v>
      </c>
      <c r="C127" s="1212"/>
      <c r="D127" s="1212"/>
      <c r="E127" s="1212"/>
      <c r="F127" s="1117"/>
      <c r="G127" s="1273"/>
      <c r="H127" s="1273"/>
      <c r="I127" s="1272"/>
      <c r="J127" s="1272"/>
    </row>
    <row r="128" spans="1:10" ht="17.25" customHeight="1" x14ac:dyDescent="0.3">
      <c r="A128" s="624" t="s">
        <v>27</v>
      </c>
      <c r="B128" s="1301" t="s">
        <v>28</v>
      </c>
      <c r="C128" s="1301"/>
      <c r="D128" s="1301"/>
      <c r="E128" s="1301"/>
      <c r="F128" s="1301"/>
      <c r="G128" s="1271">
        <f>J68</f>
        <v>4220000</v>
      </c>
      <c r="H128" s="1271"/>
      <c r="I128" s="1272">
        <f>G128*22%</f>
        <v>928400</v>
      </c>
      <c r="J128" s="1272"/>
    </row>
    <row r="129" spans="1:10" ht="15" customHeight="1" x14ac:dyDescent="0.3">
      <c r="A129" s="624" t="s">
        <v>29</v>
      </c>
      <c r="B129" s="1143" t="s">
        <v>30</v>
      </c>
      <c r="C129" s="1143"/>
      <c r="D129" s="1143"/>
      <c r="E129" s="1143"/>
      <c r="F129" s="1143"/>
      <c r="G129" s="1273"/>
      <c r="H129" s="1273"/>
      <c r="I129" s="1272">
        <f>G129*10%</f>
        <v>0</v>
      </c>
      <c r="J129" s="1272"/>
    </row>
    <row r="130" spans="1:10" ht="29.4" customHeight="1" x14ac:dyDescent="0.3">
      <c r="A130" s="624" t="s">
        <v>31</v>
      </c>
      <c r="B130" s="1274" t="s">
        <v>32</v>
      </c>
      <c r="C130" s="1274"/>
      <c r="D130" s="1274"/>
      <c r="E130" s="1274"/>
      <c r="F130" s="1274"/>
      <c r="G130" s="1273"/>
      <c r="H130" s="1273"/>
      <c r="I130" s="1272"/>
      <c r="J130" s="1272"/>
    </row>
    <row r="131" spans="1:10" ht="29.25" customHeight="1" x14ac:dyDescent="0.3">
      <c r="A131" s="618" t="s">
        <v>75</v>
      </c>
      <c r="B131" s="1295" t="s">
        <v>33</v>
      </c>
      <c r="C131" s="1295"/>
      <c r="D131" s="1295"/>
      <c r="E131" s="1295"/>
      <c r="F131" s="1295"/>
      <c r="G131" s="1300" t="s">
        <v>14</v>
      </c>
      <c r="H131" s="1300"/>
      <c r="I131" s="1299">
        <f>SUM(I133:J137)</f>
        <v>130819.99999999999</v>
      </c>
      <c r="J131" s="1299"/>
    </row>
    <row r="132" spans="1:10" ht="15.75" customHeight="1" x14ac:dyDescent="0.3">
      <c r="A132" s="98"/>
      <c r="B132" s="1116" t="s">
        <v>9</v>
      </c>
      <c r="C132" s="1212"/>
      <c r="D132" s="1212"/>
      <c r="E132" s="1212"/>
      <c r="F132" s="1117"/>
      <c r="G132" s="1273"/>
      <c r="H132" s="1273"/>
      <c r="I132" s="1272"/>
      <c r="J132" s="1272"/>
    </row>
    <row r="133" spans="1:10" ht="27.75" customHeight="1" x14ac:dyDescent="0.3">
      <c r="A133" s="624" t="s">
        <v>34</v>
      </c>
      <c r="B133" s="1274" t="s">
        <v>35</v>
      </c>
      <c r="C133" s="1274"/>
      <c r="D133" s="1274"/>
      <c r="E133" s="1274"/>
      <c r="F133" s="1274"/>
      <c r="G133" s="1271">
        <f>G128+G129</f>
        <v>4220000</v>
      </c>
      <c r="H133" s="1271"/>
      <c r="I133" s="1272">
        <f>G133*2.9%</f>
        <v>122379.99999999999</v>
      </c>
      <c r="J133" s="1272"/>
    </row>
    <row r="134" spans="1:10" ht="15" customHeight="1" x14ac:dyDescent="0.3">
      <c r="A134" s="624" t="s">
        <v>36</v>
      </c>
      <c r="B134" s="1274" t="s">
        <v>37</v>
      </c>
      <c r="C134" s="1274"/>
      <c r="D134" s="1274"/>
      <c r="E134" s="1274"/>
      <c r="F134" s="1274"/>
      <c r="G134" s="1273"/>
      <c r="H134" s="1273"/>
      <c r="I134" s="1272"/>
      <c r="J134" s="1272"/>
    </row>
    <row r="135" spans="1:10" ht="35.25" customHeight="1" x14ac:dyDescent="0.3">
      <c r="A135" s="624" t="s">
        <v>38</v>
      </c>
      <c r="B135" s="1274" t="s">
        <v>39</v>
      </c>
      <c r="C135" s="1274"/>
      <c r="D135" s="1274"/>
      <c r="E135" s="1274"/>
      <c r="F135" s="1274"/>
      <c r="G135" s="1271">
        <f>G128+G129</f>
        <v>4220000</v>
      </c>
      <c r="H135" s="1271"/>
      <c r="I135" s="1272">
        <f>G135*0.2%</f>
        <v>8440</v>
      </c>
      <c r="J135" s="1272"/>
    </row>
    <row r="136" spans="1:10" s="41" customFormat="1" ht="15" customHeight="1" x14ac:dyDescent="0.3">
      <c r="A136" s="624" t="s">
        <v>40</v>
      </c>
      <c r="B136" s="1274" t="s">
        <v>41</v>
      </c>
      <c r="C136" s="1274"/>
      <c r="D136" s="1274"/>
      <c r="E136" s="1274"/>
      <c r="F136" s="1274"/>
      <c r="G136" s="1273"/>
      <c r="H136" s="1273"/>
      <c r="I136" s="1272"/>
      <c r="J136" s="1272"/>
    </row>
    <row r="137" spans="1:10" ht="15" customHeight="1" x14ac:dyDescent="0.3">
      <c r="A137" s="624" t="s">
        <v>42</v>
      </c>
      <c r="B137" s="1274" t="s">
        <v>41</v>
      </c>
      <c r="C137" s="1274"/>
      <c r="D137" s="1274"/>
      <c r="E137" s="1274"/>
      <c r="F137" s="1274"/>
      <c r="G137" s="1273"/>
      <c r="H137" s="1273"/>
      <c r="I137" s="1272"/>
      <c r="J137" s="1272"/>
    </row>
    <row r="138" spans="1:10" ht="30" customHeight="1" x14ac:dyDescent="0.3">
      <c r="A138" s="618" t="s">
        <v>77</v>
      </c>
      <c r="B138" s="1295" t="s">
        <v>43</v>
      </c>
      <c r="C138" s="1295"/>
      <c r="D138" s="1295"/>
      <c r="E138" s="1295"/>
      <c r="F138" s="1295"/>
      <c r="G138" s="1298">
        <f>G128+G129</f>
        <v>4220000</v>
      </c>
      <c r="H138" s="1298"/>
      <c r="I138" s="1299">
        <f>G138*5.1%-51440+400</f>
        <v>164180</v>
      </c>
      <c r="J138" s="1299"/>
    </row>
    <row r="139" spans="1:10" ht="19.5" customHeight="1" x14ac:dyDescent="0.3">
      <c r="A139" s="624"/>
      <c r="B139" s="1098" t="s">
        <v>722</v>
      </c>
      <c r="C139" s="1098"/>
      <c r="D139" s="1098"/>
      <c r="E139" s="1098"/>
      <c r="F139" s="1098"/>
      <c r="G139" s="1090" t="s">
        <v>14</v>
      </c>
      <c r="H139" s="1090"/>
      <c r="I139" s="1297">
        <f>I126+I131+I138</f>
        <v>1223400</v>
      </c>
      <c r="J139" s="1297"/>
    </row>
    <row r="140" spans="1:10" ht="36" hidden="1" customHeight="1" x14ac:dyDescent="0.3">
      <c r="A140" s="627" t="s">
        <v>1</v>
      </c>
      <c r="B140" s="1269" t="s">
        <v>23</v>
      </c>
      <c r="C140" s="1296"/>
      <c r="D140" s="1296"/>
      <c r="E140" s="1296"/>
      <c r="F140" s="1270"/>
      <c r="G140" s="1269" t="s">
        <v>24</v>
      </c>
      <c r="H140" s="1270"/>
      <c r="I140" s="1269" t="s">
        <v>25</v>
      </c>
      <c r="J140" s="1270"/>
    </row>
    <row r="141" spans="1:10" ht="11.25" hidden="1" customHeight="1" x14ac:dyDescent="0.3">
      <c r="A141" s="623">
        <v>1</v>
      </c>
      <c r="B141" s="1139">
        <v>2</v>
      </c>
      <c r="C141" s="1210"/>
      <c r="D141" s="1210"/>
      <c r="E141" s="1210"/>
      <c r="F141" s="1140"/>
      <c r="G141" s="1139">
        <v>3</v>
      </c>
      <c r="H141" s="1140"/>
      <c r="I141" s="1139">
        <v>4</v>
      </c>
      <c r="J141" s="1140"/>
    </row>
    <row r="142" spans="1:10" ht="20.25" hidden="1" customHeight="1" x14ac:dyDescent="0.3">
      <c r="A142" s="618" t="s">
        <v>70</v>
      </c>
      <c r="B142" s="1252" t="s">
        <v>26</v>
      </c>
      <c r="C142" s="1253"/>
      <c r="D142" s="1253"/>
      <c r="E142" s="1253"/>
      <c r="F142" s="1254"/>
      <c r="G142" s="1187" t="s">
        <v>14</v>
      </c>
      <c r="H142" s="1188"/>
      <c r="I142" s="1255">
        <f>SUM(I144:J146)</f>
        <v>0</v>
      </c>
      <c r="J142" s="1256"/>
    </row>
    <row r="143" spans="1:10" ht="18" hidden="1" customHeight="1" x14ac:dyDescent="0.3">
      <c r="A143" s="98"/>
      <c r="B143" s="1116" t="s">
        <v>9</v>
      </c>
      <c r="C143" s="1212"/>
      <c r="D143" s="1212"/>
      <c r="E143" s="1212"/>
      <c r="F143" s="1117"/>
      <c r="G143" s="1257"/>
      <c r="H143" s="1258"/>
      <c r="I143" s="1259"/>
      <c r="J143" s="1260"/>
    </row>
    <row r="144" spans="1:10" s="41" customFormat="1" ht="20.25" hidden="1" customHeight="1" x14ac:dyDescent="0.3">
      <c r="A144" s="624" t="s">
        <v>27</v>
      </c>
      <c r="B144" s="1263" t="s">
        <v>28</v>
      </c>
      <c r="C144" s="1264"/>
      <c r="D144" s="1264"/>
      <c r="E144" s="1264"/>
      <c r="F144" s="1265"/>
      <c r="G144" s="1261">
        <f>J86</f>
        <v>0</v>
      </c>
      <c r="H144" s="1262"/>
      <c r="I144" s="1259">
        <f>G144*22%</f>
        <v>0</v>
      </c>
      <c r="J144" s="1260"/>
    </row>
    <row r="145" spans="1:12" hidden="1" x14ac:dyDescent="0.3">
      <c r="A145" s="624" t="s">
        <v>29</v>
      </c>
      <c r="B145" s="1197" t="s">
        <v>30</v>
      </c>
      <c r="C145" s="1198"/>
      <c r="D145" s="1198"/>
      <c r="E145" s="1198"/>
      <c r="F145" s="1199"/>
      <c r="G145" s="1257"/>
      <c r="H145" s="1258"/>
      <c r="I145" s="1259"/>
      <c r="J145" s="1260"/>
    </row>
    <row r="146" spans="1:12" ht="15" hidden="1" customHeight="1" x14ac:dyDescent="0.3">
      <c r="A146" s="624" t="s">
        <v>31</v>
      </c>
      <c r="B146" s="1266" t="s">
        <v>32</v>
      </c>
      <c r="C146" s="1267"/>
      <c r="D146" s="1267"/>
      <c r="E146" s="1267"/>
      <c r="F146" s="1268"/>
      <c r="G146" s="1257"/>
      <c r="H146" s="1258"/>
      <c r="I146" s="1259"/>
      <c r="J146" s="1260"/>
    </row>
    <row r="147" spans="1:12" ht="15" hidden="1" customHeight="1" x14ac:dyDescent="0.3">
      <c r="A147" s="618" t="s">
        <v>75</v>
      </c>
      <c r="B147" s="1252" t="s">
        <v>33</v>
      </c>
      <c r="C147" s="1253"/>
      <c r="D147" s="1253"/>
      <c r="E147" s="1253"/>
      <c r="F147" s="1254"/>
      <c r="G147" s="1187" t="s">
        <v>14</v>
      </c>
      <c r="H147" s="1188"/>
      <c r="I147" s="1255">
        <f>SUM(I149:J153)</f>
        <v>-4.0000000000000001E-3</v>
      </c>
      <c r="J147" s="1256"/>
    </row>
    <row r="148" spans="1:12" ht="15" hidden="1" customHeight="1" x14ac:dyDescent="0.3">
      <c r="A148" s="98"/>
      <c r="B148" s="1116" t="s">
        <v>9</v>
      </c>
      <c r="C148" s="1212"/>
      <c r="D148" s="1212"/>
      <c r="E148" s="1212"/>
      <c r="F148" s="1117"/>
      <c r="G148" s="1257"/>
      <c r="H148" s="1258"/>
      <c r="I148" s="1259"/>
      <c r="J148" s="1260"/>
    </row>
    <row r="149" spans="1:12" ht="26.25" hidden="1" customHeight="1" x14ac:dyDescent="0.3">
      <c r="A149" s="624" t="s">
        <v>34</v>
      </c>
      <c r="B149" s="1266" t="s">
        <v>35</v>
      </c>
      <c r="C149" s="1267"/>
      <c r="D149" s="1267"/>
      <c r="E149" s="1267"/>
      <c r="F149" s="1268"/>
      <c r="G149" s="1261">
        <f>G144</f>
        <v>0</v>
      </c>
      <c r="H149" s="1262"/>
      <c r="I149" s="1259">
        <f>G149*2.9%</f>
        <v>0</v>
      </c>
      <c r="J149" s="1260"/>
    </row>
    <row r="150" spans="1:12" hidden="1" x14ac:dyDescent="0.3">
      <c r="A150" s="624" t="s">
        <v>36</v>
      </c>
      <c r="B150" s="1266" t="s">
        <v>37</v>
      </c>
      <c r="C150" s="1267"/>
      <c r="D150" s="1267"/>
      <c r="E150" s="1267"/>
      <c r="F150" s="1268"/>
      <c r="G150" s="1257"/>
      <c r="H150" s="1258"/>
      <c r="I150" s="1259"/>
      <c r="J150" s="1260"/>
    </row>
    <row r="151" spans="1:12" ht="26.25" hidden="1" customHeight="1" x14ac:dyDescent="0.3">
      <c r="A151" s="624" t="s">
        <v>38</v>
      </c>
      <c r="B151" s="1266" t="s">
        <v>39</v>
      </c>
      <c r="C151" s="1267"/>
      <c r="D151" s="1267"/>
      <c r="E151" s="1267"/>
      <c r="F151" s="1268"/>
      <c r="G151" s="1261">
        <f>G144</f>
        <v>0</v>
      </c>
      <c r="H151" s="1262"/>
      <c r="I151" s="1259">
        <f>G151*0.2%-0.004</f>
        <v>-4.0000000000000001E-3</v>
      </c>
      <c r="J151" s="1260"/>
    </row>
    <row r="152" spans="1:12" s="41" customFormat="1" ht="14.25" hidden="1" customHeight="1" x14ac:dyDescent="0.3">
      <c r="A152" s="624" t="s">
        <v>40</v>
      </c>
      <c r="B152" s="1266" t="s">
        <v>41</v>
      </c>
      <c r="C152" s="1267"/>
      <c r="D152" s="1267"/>
      <c r="E152" s="1267"/>
      <c r="F152" s="1268"/>
      <c r="G152" s="1257"/>
      <c r="H152" s="1258"/>
      <c r="I152" s="1259"/>
      <c r="J152" s="1260"/>
    </row>
    <row r="153" spans="1:12" ht="15" hidden="1" customHeight="1" x14ac:dyDescent="0.3">
      <c r="A153" s="624" t="s">
        <v>42</v>
      </c>
      <c r="B153" s="1266" t="s">
        <v>41</v>
      </c>
      <c r="C153" s="1267"/>
      <c r="D153" s="1267"/>
      <c r="E153" s="1267"/>
      <c r="F153" s="1268"/>
      <c r="G153" s="1257"/>
      <c r="H153" s="1258"/>
      <c r="I153" s="1259"/>
      <c r="J153" s="1260"/>
    </row>
    <row r="154" spans="1:12" hidden="1" x14ac:dyDescent="0.3">
      <c r="A154" s="618" t="s">
        <v>77</v>
      </c>
      <c r="B154" s="1252" t="s">
        <v>43</v>
      </c>
      <c r="C154" s="1253"/>
      <c r="D154" s="1253"/>
      <c r="E154" s="1253"/>
      <c r="F154" s="1254"/>
      <c r="G154" s="1292">
        <f>G144</f>
        <v>0</v>
      </c>
      <c r="H154" s="1293"/>
      <c r="I154" s="1255">
        <f>G154*5.1%</f>
        <v>0</v>
      </c>
      <c r="J154" s="1256"/>
    </row>
    <row r="155" spans="1:12" hidden="1" x14ac:dyDescent="0.3">
      <c r="A155" s="624"/>
      <c r="B155" s="1249" t="s">
        <v>380</v>
      </c>
      <c r="C155" s="1250"/>
      <c r="D155" s="1250"/>
      <c r="E155" s="1250"/>
      <c r="F155" s="1251"/>
      <c r="G155" s="1244" t="s">
        <v>14</v>
      </c>
      <c r="H155" s="1245"/>
      <c r="I155" s="1288">
        <f>I142+I147+I154</f>
        <v>-4.0000000000000001E-3</v>
      </c>
      <c r="J155" s="1289"/>
    </row>
    <row r="156" spans="1:12" hidden="1" x14ac:dyDescent="0.3">
      <c r="A156" s="624"/>
      <c r="B156" s="1249" t="s">
        <v>567</v>
      </c>
      <c r="C156" s="1250"/>
      <c r="D156" s="1250"/>
      <c r="E156" s="1250"/>
      <c r="F156" s="1251"/>
      <c r="G156" s="621"/>
      <c r="H156" s="622"/>
      <c r="I156" s="1288">
        <v>0</v>
      </c>
      <c r="J156" s="1289"/>
    </row>
    <row r="157" spans="1:12" s="41" customFormat="1" ht="18.75" customHeight="1" x14ac:dyDescent="0.3">
      <c r="A157" s="109"/>
      <c r="B157" s="1294" t="s">
        <v>922</v>
      </c>
      <c r="C157" s="1294"/>
      <c r="D157" s="1294"/>
      <c r="E157" s="1294"/>
      <c r="F157" s="1294"/>
      <c r="G157" s="1290" t="s">
        <v>14</v>
      </c>
      <c r="H157" s="1290"/>
      <c r="I157" s="1291">
        <f>I139+I155+I156</f>
        <v>1223399.996</v>
      </c>
      <c r="J157" s="1291"/>
      <c r="K157" s="1237"/>
      <c r="L157" s="1237"/>
    </row>
    <row r="158" spans="1:12" s="41" customFormat="1" ht="38.25" hidden="1" customHeight="1" x14ac:dyDescent="0.3">
      <c r="A158" s="1240" t="s">
        <v>468</v>
      </c>
      <c r="B158" s="1240"/>
      <c r="C158" s="1240"/>
      <c r="D158" s="1240"/>
      <c r="E158" s="1240"/>
      <c r="F158" s="1240"/>
      <c r="G158" s="1240"/>
      <c r="H158" s="1240"/>
      <c r="I158" s="1240"/>
      <c r="J158" s="1240"/>
    </row>
    <row r="159" spans="1:12" ht="19.5" hidden="1" customHeight="1" x14ac:dyDescent="0.3">
      <c r="A159" s="1243" t="s">
        <v>609</v>
      </c>
      <c r="B159" s="1243"/>
      <c r="C159" s="1243"/>
      <c r="D159" s="1243"/>
      <c r="E159" s="1243"/>
      <c r="F159" s="1243"/>
      <c r="G159" s="1243"/>
      <c r="H159" s="1243"/>
      <c r="I159" s="1243"/>
      <c r="J159" s="1243"/>
      <c r="K159" s="11"/>
      <c r="L159" s="11"/>
    </row>
    <row r="160" spans="1:12" ht="15" hidden="1" customHeight="1" x14ac:dyDescent="0.3">
      <c r="A160" s="89" t="s">
        <v>80</v>
      </c>
      <c r="B160" s="90"/>
      <c r="C160" s="349">
        <v>350</v>
      </c>
      <c r="D160" s="349"/>
      <c r="E160" s="349"/>
      <c r="F160" s="94"/>
      <c r="G160" s="94"/>
      <c r="H160" s="94"/>
      <c r="I160" s="94"/>
      <c r="J160" s="94"/>
      <c r="K160" s="11"/>
      <c r="L160" s="11"/>
    </row>
    <row r="161" spans="1:12" ht="16.5" hidden="1" customHeight="1" x14ac:dyDescent="0.3">
      <c r="A161" s="89" t="s">
        <v>81</v>
      </c>
      <c r="B161" s="90"/>
      <c r="C161" s="90"/>
      <c r="D161" s="90"/>
      <c r="E161" s="95"/>
      <c r="F161" s="96"/>
      <c r="G161" s="96"/>
      <c r="H161" s="96"/>
      <c r="I161" s="96"/>
      <c r="J161" s="96"/>
      <c r="K161" s="11"/>
      <c r="L161" s="11"/>
    </row>
    <row r="162" spans="1:12" ht="36" hidden="1" customHeight="1" x14ac:dyDescent="0.3">
      <c r="A162" s="623" t="s">
        <v>1</v>
      </c>
      <c r="B162" s="1139" t="s">
        <v>44</v>
      </c>
      <c r="C162" s="1210"/>
      <c r="D162" s="1140"/>
      <c r="E162" s="1139" t="s">
        <v>45</v>
      </c>
      <c r="F162" s="1140"/>
      <c r="G162" s="1139" t="s">
        <v>46</v>
      </c>
      <c r="H162" s="1140"/>
      <c r="I162" s="1139" t="s">
        <v>102</v>
      </c>
      <c r="J162" s="1140"/>
      <c r="K162" s="11"/>
      <c r="L162" s="11"/>
    </row>
    <row r="163" spans="1:12" ht="16.5" hidden="1" customHeight="1" x14ac:dyDescent="0.3">
      <c r="A163" s="623">
        <v>1</v>
      </c>
      <c r="B163" s="1139">
        <v>2</v>
      </c>
      <c r="C163" s="1210"/>
      <c r="D163" s="1140"/>
      <c r="E163" s="1139">
        <v>3</v>
      </c>
      <c r="F163" s="1140"/>
      <c r="G163" s="1139">
        <v>4</v>
      </c>
      <c r="H163" s="1140"/>
      <c r="I163" s="1139">
        <v>5</v>
      </c>
      <c r="J163" s="1140"/>
      <c r="K163" s="11"/>
      <c r="L163" s="11"/>
    </row>
    <row r="164" spans="1:12" ht="132" hidden="1" customHeight="1" x14ac:dyDescent="0.3">
      <c r="A164" s="1148" t="s">
        <v>612</v>
      </c>
      <c r="B164" s="1149"/>
      <c r="C164" s="1149"/>
      <c r="D164" s="1149"/>
      <c r="E164" s="1149"/>
      <c r="F164" s="1149"/>
      <c r="G164" s="1149"/>
      <c r="H164" s="1149"/>
      <c r="I164" s="1149"/>
      <c r="J164" s="1150"/>
    </row>
    <row r="165" spans="1:12" ht="40.5" hidden="1" customHeight="1" x14ac:dyDescent="0.3">
      <c r="A165" s="624">
        <v>1</v>
      </c>
      <c r="B165" s="1115" t="s">
        <v>610</v>
      </c>
      <c r="C165" s="1115"/>
      <c r="D165" s="1115"/>
      <c r="E165" s="1116"/>
      <c r="F165" s="1117"/>
      <c r="G165" s="1241"/>
      <c r="H165" s="1242"/>
      <c r="I165" s="1241"/>
      <c r="J165" s="1242"/>
    </row>
    <row r="166" spans="1:12" ht="33.75" hidden="1" customHeight="1" x14ac:dyDescent="0.3">
      <c r="A166" s="624">
        <v>2</v>
      </c>
      <c r="B166" s="1215" t="s">
        <v>611</v>
      </c>
      <c r="C166" s="1216"/>
      <c r="D166" s="1217"/>
      <c r="E166" s="1116"/>
      <c r="F166" s="1156"/>
      <c r="G166" s="1116"/>
      <c r="H166" s="1156"/>
      <c r="I166" s="1241"/>
      <c r="J166" s="1248"/>
    </row>
    <row r="167" spans="1:12" hidden="1" x14ac:dyDescent="0.3">
      <c r="A167" s="620"/>
      <c r="B167" s="1249" t="s">
        <v>13</v>
      </c>
      <c r="C167" s="1250"/>
      <c r="D167" s="1251"/>
      <c r="E167" s="1244" t="s">
        <v>14</v>
      </c>
      <c r="F167" s="1245"/>
      <c r="G167" s="1244" t="s">
        <v>14</v>
      </c>
      <c r="H167" s="1245"/>
      <c r="I167" s="1246">
        <f>SUM(I165:J166)</f>
        <v>0</v>
      </c>
      <c r="J167" s="1247"/>
    </row>
    <row r="168" spans="1:12" s="41" customFormat="1" ht="21" hidden="1" customHeight="1" x14ac:dyDescent="0.3">
      <c r="A168" s="1243" t="s">
        <v>369</v>
      </c>
      <c r="B168" s="1243"/>
      <c r="C168" s="1243"/>
      <c r="D168" s="1243"/>
      <c r="E168" s="1243"/>
      <c r="F168" s="1243"/>
      <c r="G168" s="1243"/>
      <c r="H168" s="1243"/>
      <c r="I168" s="1243"/>
      <c r="J168" s="1243"/>
    </row>
    <row r="169" spans="1:12" s="41" customFormat="1" ht="21" hidden="1" customHeight="1" x14ac:dyDescent="0.3">
      <c r="A169" s="89" t="s">
        <v>80</v>
      </c>
      <c r="B169" s="90"/>
      <c r="C169" s="349">
        <v>851</v>
      </c>
      <c r="D169" s="349">
        <v>852</v>
      </c>
      <c r="E169" s="349">
        <v>853</v>
      </c>
      <c r="F169" s="94"/>
      <c r="G169" s="94"/>
      <c r="H169" s="94"/>
      <c r="I169" s="94"/>
      <c r="J169" s="94"/>
      <c r="K169" s="42"/>
      <c r="L169" s="43"/>
    </row>
    <row r="170" spans="1:12" s="41" customFormat="1" ht="15.6" hidden="1" x14ac:dyDescent="0.3">
      <c r="A170" s="89" t="s">
        <v>81</v>
      </c>
      <c r="B170" s="90"/>
      <c r="C170" s="90"/>
      <c r="D170" s="90"/>
      <c r="E170" s="95"/>
      <c r="F170" s="96"/>
      <c r="G170" s="96"/>
      <c r="H170" s="96"/>
      <c r="I170" s="96"/>
      <c r="J170" s="96"/>
    </row>
    <row r="171" spans="1:12" ht="39.75" hidden="1" customHeight="1" x14ac:dyDescent="0.3">
      <c r="A171" s="623" t="s">
        <v>1</v>
      </c>
      <c r="B171" s="1110" t="s">
        <v>15</v>
      </c>
      <c r="C171" s="1110"/>
      <c r="D171" s="1110"/>
      <c r="E171" s="1110" t="s">
        <v>47</v>
      </c>
      <c r="F171" s="1110"/>
      <c r="G171" s="1110" t="s">
        <v>48</v>
      </c>
      <c r="H171" s="1110"/>
      <c r="I171" s="1110" t="s">
        <v>103</v>
      </c>
      <c r="J171" s="1110"/>
    </row>
    <row r="172" spans="1:12" ht="15" hidden="1" customHeight="1" x14ac:dyDescent="0.3">
      <c r="A172" s="623">
        <v>1</v>
      </c>
      <c r="B172" s="1110">
        <v>2</v>
      </c>
      <c r="C172" s="1110"/>
      <c r="D172" s="1110"/>
      <c r="E172" s="1110">
        <v>3</v>
      </c>
      <c r="F172" s="1110"/>
      <c r="G172" s="1110">
        <v>4</v>
      </c>
      <c r="H172" s="1110"/>
      <c r="I172" s="1110">
        <v>5</v>
      </c>
      <c r="J172" s="1110"/>
    </row>
    <row r="173" spans="1:12" ht="20.25" hidden="1" customHeight="1" x14ac:dyDescent="0.3">
      <c r="A173" s="1280" t="s">
        <v>70</v>
      </c>
      <c r="B173" s="1285" t="s">
        <v>296</v>
      </c>
      <c r="C173" s="1286"/>
      <c r="D173" s="625" t="s">
        <v>515</v>
      </c>
      <c r="E173" s="1287"/>
      <c r="F173" s="1287"/>
      <c r="G173" s="1284">
        <v>2.1999999999999999E-2</v>
      </c>
      <c r="H173" s="1284"/>
      <c r="I173" s="1231">
        <v>0</v>
      </c>
      <c r="J173" s="1231"/>
    </row>
    <row r="174" spans="1:12" ht="17.25" hidden="1" customHeight="1" x14ac:dyDescent="0.3">
      <c r="A174" s="1281"/>
      <c r="B174" s="1286"/>
      <c r="C174" s="1286"/>
      <c r="D174" s="626" t="s">
        <v>516</v>
      </c>
      <c r="E174" s="1287"/>
      <c r="F174" s="1287"/>
      <c r="G174" s="1284">
        <v>2.1999999999999999E-2</v>
      </c>
      <c r="H174" s="1284"/>
      <c r="I174" s="1231">
        <v>0</v>
      </c>
      <c r="J174" s="1231"/>
    </row>
    <row r="175" spans="1:12" ht="18" hidden="1" customHeight="1" x14ac:dyDescent="0.3">
      <c r="A175" s="624" t="s">
        <v>75</v>
      </c>
      <c r="B175" s="1197" t="s">
        <v>298</v>
      </c>
      <c r="C175" s="1198"/>
      <c r="D175" s="1199"/>
      <c r="E175" s="1213">
        <v>0</v>
      </c>
      <c r="F175" s="1213"/>
      <c r="G175" s="1213">
        <v>0</v>
      </c>
      <c r="H175" s="1213"/>
      <c r="I175" s="1231">
        <v>0</v>
      </c>
      <c r="J175" s="1231"/>
    </row>
    <row r="176" spans="1:12" ht="31.5" hidden="1" customHeight="1" x14ac:dyDescent="0.3">
      <c r="A176" s="624" t="s">
        <v>77</v>
      </c>
      <c r="B176" s="1197" t="s">
        <v>299</v>
      </c>
      <c r="C176" s="1198"/>
      <c r="D176" s="1199"/>
      <c r="E176" s="1213">
        <v>0</v>
      </c>
      <c r="F176" s="1213"/>
      <c r="G176" s="1213">
        <v>0</v>
      </c>
      <c r="H176" s="1213"/>
      <c r="I176" s="1231">
        <v>0</v>
      </c>
      <c r="J176" s="1231"/>
    </row>
    <row r="177" spans="1:12" ht="31.5" hidden="1" customHeight="1" x14ac:dyDescent="0.3">
      <c r="A177" s="624" t="s">
        <v>86</v>
      </c>
      <c r="B177" s="1197" t="s">
        <v>297</v>
      </c>
      <c r="C177" s="1198"/>
      <c r="D177" s="1199"/>
      <c r="E177" s="1116">
        <v>0</v>
      </c>
      <c r="F177" s="1117"/>
      <c r="G177" s="1116">
        <v>0</v>
      </c>
      <c r="H177" s="1117"/>
      <c r="I177" s="1282">
        <v>0</v>
      </c>
      <c r="J177" s="1283"/>
    </row>
    <row r="178" spans="1:12" ht="15.75" hidden="1" customHeight="1" x14ac:dyDescent="0.3">
      <c r="A178" s="620"/>
      <c r="B178" s="1098" t="s">
        <v>13</v>
      </c>
      <c r="C178" s="1098"/>
      <c r="D178" s="1098"/>
      <c r="E178" s="1090" t="s">
        <v>74</v>
      </c>
      <c r="F178" s="1090"/>
      <c r="G178" s="1090" t="s">
        <v>14</v>
      </c>
      <c r="H178" s="1090"/>
      <c r="I178" s="1101">
        <f>SUM(I173:J177)</f>
        <v>0</v>
      </c>
      <c r="J178" s="1090"/>
    </row>
    <row r="179" spans="1:12" ht="27" hidden="1" customHeight="1" x14ac:dyDescent="0.3">
      <c r="A179" s="1243" t="s">
        <v>85</v>
      </c>
      <c r="B179" s="1243"/>
      <c r="C179" s="1243"/>
      <c r="D179" s="1243"/>
      <c r="E179" s="1243"/>
      <c r="F179" s="1243"/>
      <c r="G179" s="1243"/>
      <c r="H179" s="1243"/>
      <c r="I179" s="1243"/>
      <c r="J179" s="1243"/>
      <c r="K179" s="1237"/>
      <c r="L179" s="1237"/>
    </row>
    <row r="180" spans="1:12" s="41" customFormat="1" ht="15.75" hidden="1" customHeight="1" x14ac:dyDescent="0.3">
      <c r="A180" s="89" t="s">
        <v>80</v>
      </c>
      <c r="B180" s="90"/>
      <c r="C180" s="349"/>
      <c r="D180" s="349"/>
      <c r="E180" s="349"/>
      <c r="F180" s="94"/>
      <c r="G180" s="94"/>
      <c r="H180" s="94"/>
      <c r="I180" s="94"/>
      <c r="J180" s="94"/>
      <c r="K180" s="42"/>
      <c r="L180" s="43"/>
    </row>
    <row r="181" spans="1:12" s="41" customFormat="1" ht="15.6" hidden="1" x14ac:dyDescent="0.3">
      <c r="A181" s="89" t="s">
        <v>81</v>
      </c>
      <c r="B181" s="90"/>
      <c r="C181" s="90"/>
      <c r="D181" s="90"/>
      <c r="E181" s="95"/>
      <c r="F181" s="96"/>
      <c r="G181" s="96"/>
      <c r="H181" s="96"/>
      <c r="I181" s="96"/>
      <c r="J181" s="96"/>
    </row>
    <row r="182" spans="1:12" ht="24.75" hidden="1" customHeight="1" x14ac:dyDescent="0.3">
      <c r="A182" s="623" t="s">
        <v>1</v>
      </c>
      <c r="B182" s="1110" t="s">
        <v>44</v>
      </c>
      <c r="C182" s="1110"/>
      <c r="D182" s="1110"/>
      <c r="E182" s="1110" t="s">
        <v>45</v>
      </c>
      <c r="F182" s="1110"/>
      <c r="G182" s="1110" t="s">
        <v>46</v>
      </c>
      <c r="H182" s="1110"/>
      <c r="I182" s="1110" t="s">
        <v>102</v>
      </c>
      <c r="J182" s="1110"/>
      <c r="K182" s="11"/>
      <c r="L182" s="11"/>
    </row>
    <row r="183" spans="1:12" ht="14.25" hidden="1" customHeight="1" x14ac:dyDescent="0.3">
      <c r="A183" s="623">
        <v>1</v>
      </c>
      <c r="B183" s="1110">
        <v>2</v>
      </c>
      <c r="C183" s="1110"/>
      <c r="D183" s="1110"/>
      <c r="E183" s="1110">
        <v>3</v>
      </c>
      <c r="F183" s="1110"/>
      <c r="G183" s="1110">
        <v>4</v>
      </c>
      <c r="H183" s="1110"/>
      <c r="I183" s="1110">
        <v>5</v>
      </c>
      <c r="J183" s="1110"/>
      <c r="K183" s="650"/>
      <c r="L183" s="651"/>
    </row>
    <row r="184" spans="1:12" ht="15" hidden="1" customHeight="1" x14ac:dyDescent="0.3">
      <c r="A184" s="624"/>
      <c r="B184" s="1116"/>
      <c r="C184" s="1212"/>
      <c r="D184" s="1117"/>
      <c r="E184" s="1116"/>
      <c r="F184" s="1117"/>
      <c r="G184" s="1116"/>
      <c r="H184" s="1117"/>
      <c r="I184" s="1116"/>
      <c r="J184" s="1117"/>
      <c r="K184" s="11"/>
      <c r="L184" s="11"/>
    </row>
    <row r="185" spans="1:12" ht="17.25" hidden="1" customHeight="1" x14ac:dyDescent="0.3">
      <c r="A185" s="620"/>
      <c r="B185" s="1098" t="s">
        <v>13</v>
      </c>
      <c r="C185" s="1098"/>
      <c r="D185" s="1098"/>
      <c r="E185" s="1090" t="s">
        <v>14</v>
      </c>
      <c r="F185" s="1090"/>
      <c r="G185" s="1090" t="s">
        <v>14</v>
      </c>
      <c r="H185" s="1090"/>
      <c r="I185" s="1090"/>
      <c r="J185" s="1090"/>
      <c r="K185" s="11"/>
      <c r="L185" s="11"/>
    </row>
    <row r="186" spans="1:12" ht="16.5" hidden="1" customHeight="1" x14ac:dyDescent="0.3">
      <c r="A186" s="1218" t="s">
        <v>91</v>
      </c>
      <c r="B186" s="1218"/>
      <c r="C186" s="1218"/>
      <c r="D186" s="1218"/>
      <c r="E186" s="1218"/>
      <c r="F186" s="1218"/>
      <c r="G186" s="1218"/>
      <c r="H186" s="1218"/>
      <c r="I186" s="1218"/>
      <c r="J186" s="1218"/>
      <c r="K186" s="11"/>
      <c r="L186" s="11"/>
    </row>
    <row r="187" spans="1:12" ht="18" hidden="1" customHeight="1" x14ac:dyDescent="0.3">
      <c r="A187" s="89" t="s">
        <v>80</v>
      </c>
      <c r="B187" s="90"/>
      <c r="C187" s="349">
        <v>244</v>
      </c>
      <c r="D187" s="349"/>
      <c r="E187" s="349"/>
      <c r="F187" s="94"/>
      <c r="G187" s="94"/>
      <c r="H187" s="94"/>
      <c r="I187" s="94"/>
      <c r="J187" s="94"/>
      <c r="K187" s="11"/>
      <c r="L187" s="11"/>
    </row>
    <row r="188" spans="1:12" ht="18" hidden="1" customHeight="1" x14ac:dyDescent="0.3">
      <c r="A188" s="89" t="s">
        <v>81</v>
      </c>
      <c r="B188" s="90"/>
      <c r="C188" s="90"/>
      <c r="D188" s="90"/>
      <c r="E188" s="95" t="s">
        <v>82</v>
      </c>
      <c r="F188" s="96"/>
      <c r="G188" s="95"/>
      <c r="H188" s="96"/>
      <c r="I188" s="96"/>
      <c r="J188" s="96"/>
      <c r="K188" s="11"/>
      <c r="L188" s="11"/>
    </row>
    <row r="189" spans="1:12" ht="18" hidden="1" customHeight="1" x14ac:dyDescent="0.3">
      <c r="A189" s="1214" t="s">
        <v>568</v>
      </c>
      <c r="B189" s="1214"/>
      <c r="C189" s="1214"/>
      <c r="D189" s="1214"/>
      <c r="E189" s="1214"/>
      <c r="F189" s="1214"/>
      <c r="G189" s="1214"/>
      <c r="H189" s="1214"/>
      <c r="I189" s="1214"/>
      <c r="J189" s="1214"/>
      <c r="K189" s="11"/>
      <c r="L189" s="11"/>
    </row>
    <row r="190" spans="1:12" ht="30" hidden="1" customHeight="1" x14ac:dyDescent="0.3">
      <c r="A190" s="623" t="s">
        <v>1</v>
      </c>
      <c r="B190" s="1110" t="s">
        <v>44</v>
      </c>
      <c r="C190" s="1110"/>
      <c r="D190" s="1110"/>
      <c r="E190" s="1110" t="s">
        <v>45</v>
      </c>
      <c r="F190" s="1110"/>
      <c r="G190" s="1110" t="s">
        <v>46</v>
      </c>
      <c r="H190" s="1110"/>
      <c r="I190" s="1110" t="s">
        <v>102</v>
      </c>
      <c r="J190" s="1110"/>
      <c r="K190" s="144"/>
      <c r="L190" s="11"/>
    </row>
    <row r="191" spans="1:12" ht="17.25" hidden="1" customHeight="1" x14ac:dyDescent="0.3">
      <c r="A191" s="623">
        <v>1</v>
      </c>
      <c r="B191" s="1110">
        <v>2</v>
      </c>
      <c r="C191" s="1110"/>
      <c r="D191" s="1110"/>
      <c r="E191" s="1110">
        <v>3</v>
      </c>
      <c r="F191" s="1110"/>
      <c r="G191" s="1110">
        <v>4</v>
      </c>
      <c r="H191" s="1110"/>
      <c r="I191" s="1110">
        <v>5</v>
      </c>
      <c r="J191" s="1110"/>
      <c r="K191" s="11"/>
      <c r="L191" s="11"/>
    </row>
    <row r="192" spans="1:12" ht="21.75" hidden="1" customHeight="1" x14ac:dyDescent="0.3">
      <c r="A192" s="624" t="s">
        <v>70</v>
      </c>
      <c r="B192" s="1197" t="s">
        <v>569</v>
      </c>
      <c r="C192" s="1198"/>
      <c r="D192" s="1199"/>
      <c r="E192" s="1116">
        <v>0</v>
      </c>
      <c r="F192" s="1117"/>
      <c r="G192" s="1116">
        <v>1</v>
      </c>
      <c r="H192" s="1117"/>
      <c r="I192" s="1238">
        <f>E192*G192</f>
        <v>0</v>
      </c>
      <c r="J192" s="1239"/>
      <c r="K192" s="11"/>
      <c r="L192" s="145"/>
    </row>
    <row r="193" spans="1:14" ht="38.25" hidden="1" customHeight="1" x14ac:dyDescent="0.3">
      <c r="A193" s="624" t="s">
        <v>75</v>
      </c>
      <c r="B193" s="1215" t="s">
        <v>542</v>
      </c>
      <c r="C193" s="1216"/>
      <c r="D193" s="1217"/>
      <c r="E193" s="1116">
        <v>0</v>
      </c>
      <c r="F193" s="1117"/>
      <c r="G193" s="1116">
        <v>2</v>
      </c>
      <c r="H193" s="1117"/>
      <c r="I193" s="1238">
        <f>E193*G193</f>
        <v>0</v>
      </c>
      <c r="J193" s="1239"/>
      <c r="K193" s="11"/>
      <c r="L193" s="145"/>
    </row>
    <row r="194" spans="1:14" ht="15" hidden="1" customHeight="1" x14ac:dyDescent="0.3">
      <c r="A194" s="251"/>
      <c r="B194" s="1277" t="s">
        <v>13</v>
      </c>
      <c r="C194" s="1277"/>
      <c r="D194" s="1277"/>
      <c r="E194" s="1278" t="s">
        <v>14</v>
      </c>
      <c r="F194" s="1278"/>
      <c r="G194" s="1278" t="s">
        <v>14</v>
      </c>
      <c r="H194" s="1278"/>
      <c r="I194" s="1279">
        <f>I192+I193</f>
        <v>0</v>
      </c>
      <c r="J194" s="1279"/>
      <c r="K194" s="11"/>
      <c r="L194" s="11"/>
      <c r="M194" s="14"/>
    </row>
    <row r="195" spans="1:14" ht="22.5" customHeight="1" x14ac:dyDescent="0.3">
      <c r="A195" s="1218" t="s">
        <v>49</v>
      </c>
      <c r="B195" s="1218"/>
      <c r="C195" s="1218"/>
      <c r="D195" s="1218"/>
      <c r="E195" s="1218"/>
      <c r="F195" s="1218"/>
      <c r="G195" s="1218"/>
      <c r="H195" s="1218"/>
      <c r="I195" s="1218"/>
      <c r="J195" s="1218"/>
      <c r="K195" s="11"/>
      <c r="L195" s="11"/>
      <c r="M195" s="14"/>
    </row>
    <row r="196" spans="1:14" ht="19.5" customHeight="1" x14ac:dyDescent="0.3">
      <c r="A196" s="89" t="s">
        <v>80</v>
      </c>
      <c r="B196" s="90"/>
      <c r="C196" s="349">
        <v>244</v>
      </c>
      <c r="D196" s="349"/>
      <c r="E196" s="349"/>
      <c r="F196" s="94"/>
      <c r="G196" s="94"/>
      <c r="H196" s="94"/>
      <c r="I196" s="94"/>
      <c r="J196" s="94"/>
      <c r="K196" s="11"/>
      <c r="L196" s="11"/>
      <c r="M196" s="14"/>
    </row>
    <row r="197" spans="1:14" ht="17.25" customHeight="1" x14ac:dyDescent="0.3">
      <c r="A197" s="89" t="s">
        <v>81</v>
      </c>
      <c r="B197" s="90"/>
      <c r="C197" s="90"/>
      <c r="D197" s="90"/>
      <c r="E197" s="95" t="s">
        <v>82</v>
      </c>
      <c r="F197" s="96"/>
      <c r="G197" s="95" t="s">
        <v>195</v>
      </c>
      <c r="H197" s="96"/>
      <c r="I197" s="96"/>
      <c r="J197" s="96"/>
      <c r="K197" s="11"/>
      <c r="L197" s="11"/>
      <c r="M197" s="14"/>
    </row>
    <row r="198" spans="1:14" ht="17.25" hidden="1" customHeight="1" x14ac:dyDescent="0.3">
      <c r="A198" s="1218" t="s">
        <v>301</v>
      </c>
      <c r="B198" s="1218"/>
      <c r="C198" s="1218"/>
      <c r="D198" s="1218"/>
      <c r="E198" s="1218"/>
      <c r="F198" s="1218"/>
      <c r="G198" s="1218"/>
      <c r="H198" s="1218"/>
      <c r="I198" s="1218"/>
      <c r="J198" s="1218"/>
      <c r="K198" s="11"/>
      <c r="L198" s="11"/>
      <c r="M198" s="14"/>
    </row>
    <row r="199" spans="1:14" ht="39.75" hidden="1" customHeight="1" x14ac:dyDescent="0.3">
      <c r="A199" s="623" t="s">
        <v>1</v>
      </c>
      <c r="B199" s="1110" t="s">
        <v>15</v>
      </c>
      <c r="C199" s="1110"/>
      <c r="D199" s="1110"/>
      <c r="E199" s="623" t="s">
        <v>50</v>
      </c>
      <c r="F199" s="623" t="s">
        <v>51</v>
      </c>
      <c r="G199" s="1110" t="s">
        <v>52</v>
      </c>
      <c r="H199" s="1110"/>
      <c r="I199" s="1110" t="s">
        <v>104</v>
      </c>
      <c r="J199" s="1110"/>
      <c r="K199" s="11"/>
      <c r="L199" s="11"/>
      <c r="M199" s="14"/>
    </row>
    <row r="200" spans="1:14" ht="15" hidden="1" customHeight="1" x14ac:dyDescent="0.3">
      <c r="A200" s="623">
        <v>1</v>
      </c>
      <c r="B200" s="1110">
        <v>2</v>
      </c>
      <c r="C200" s="1110"/>
      <c r="D200" s="1110"/>
      <c r="E200" s="623">
        <v>3</v>
      </c>
      <c r="F200" s="623">
        <v>4</v>
      </c>
      <c r="G200" s="1110">
        <v>5</v>
      </c>
      <c r="H200" s="1110"/>
      <c r="I200" s="1110">
        <v>6</v>
      </c>
      <c r="J200" s="1110"/>
      <c r="K200" s="11"/>
      <c r="L200" s="11"/>
      <c r="M200" s="14"/>
    </row>
    <row r="201" spans="1:14" ht="14.25" hidden="1" customHeight="1" x14ac:dyDescent="0.3">
      <c r="A201" s="618">
        <v>1</v>
      </c>
      <c r="B201" s="1125" t="s">
        <v>348</v>
      </c>
      <c r="C201" s="1126"/>
      <c r="D201" s="1127"/>
      <c r="E201" s="155" t="s">
        <v>74</v>
      </c>
      <c r="F201" s="155" t="s">
        <v>74</v>
      </c>
      <c r="G201" s="1232" t="s">
        <v>74</v>
      </c>
      <c r="H201" s="1232"/>
      <c r="I201" s="1233">
        <f>I202+I203+I204+I205</f>
        <v>0</v>
      </c>
      <c r="J201" s="1233"/>
      <c r="K201" s="11"/>
      <c r="L201" s="11"/>
      <c r="M201" s="14"/>
    </row>
    <row r="202" spans="1:14" ht="15" hidden="1" customHeight="1" x14ac:dyDescent="0.3">
      <c r="A202" s="624" t="s">
        <v>349</v>
      </c>
      <c r="B202" s="1143" t="s">
        <v>93</v>
      </c>
      <c r="C202" s="1143"/>
      <c r="D202" s="1143"/>
      <c r="E202" s="624">
        <v>6</v>
      </c>
      <c r="F202" s="624">
        <v>12</v>
      </c>
      <c r="G202" s="1234">
        <v>0</v>
      </c>
      <c r="H202" s="1234"/>
      <c r="I202" s="1231">
        <v>0</v>
      </c>
      <c r="J202" s="1231"/>
      <c r="K202" s="13"/>
      <c r="L202" s="13"/>
      <c r="M202" s="14"/>
    </row>
    <row r="203" spans="1:14" hidden="1" x14ac:dyDescent="0.3">
      <c r="A203" s="624" t="s">
        <v>350</v>
      </c>
      <c r="B203" s="1143" t="s">
        <v>95</v>
      </c>
      <c r="C203" s="1143"/>
      <c r="D203" s="1143"/>
      <c r="E203" s="624"/>
      <c r="F203" s="624"/>
      <c r="G203" s="1235"/>
      <c r="H203" s="1235"/>
      <c r="I203" s="1231"/>
      <c r="J203" s="1231"/>
      <c r="M203" s="14"/>
    </row>
    <row r="204" spans="1:14" hidden="1" x14ac:dyDescent="0.3">
      <c r="A204" s="624" t="s">
        <v>351</v>
      </c>
      <c r="B204" s="1143" t="s">
        <v>96</v>
      </c>
      <c r="C204" s="1143"/>
      <c r="D204" s="1143"/>
      <c r="E204" s="624"/>
      <c r="F204" s="624"/>
      <c r="G204" s="1230"/>
      <c r="H204" s="1230"/>
      <c r="I204" s="1236"/>
      <c r="J204" s="1236"/>
      <c r="M204" s="14"/>
    </row>
    <row r="205" spans="1:14" hidden="1" x14ac:dyDescent="0.3">
      <c r="A205" s="624" t="s">
        <v>268</v>
      </c>
      <c r="B205" s="1143" t="s">
        <v>199</v>
      </c>
      <c r="C205" s="1143"/>
      <c r="D205" s="1143"/>
      <c r="E205" s="624"/>
      <c r="F205" s="624"/>
      <c r="G205" s="1230"/>
      <c r="H205" s="1230"/>
      <c r="I205" s="1231"/>
      <c r="J205" s="1231"/>
      <c r="M205" s="14"/>
    </row>
    <row r="206" spans="1:14" hidden="1" x14ac:dyDescent="0.3">
      <c r="A206" s="618">
        <v>2</v>
      </c>
      <c r="B206" s="1125" t="s">
        <v>352</v>
      </c>
      <c r="C206" s="1126"/>
      <c r="D206" s="1127"/>
      <c r="E206" s="155" t="s">
        <v>74</v>
      </c>
      <c r="F206" s="155" t="s">
        <v>74</v>
      </c>
      <c r="G206" s="1232" t="s">
        <v>74</v>
      </c>
      <c r="H206" s="1232"/>
      <c r="I206" s="1233">
        <f>I207</f>
        <v>0</v>
      </c>
      <c r="J206" s="1233"/>
      <c r="M206" s="14"/>
    </row>
    <row r="207" spans="1:14" s="41" customFormat="1" ht="19.5" hidden="1" customHeight="1" x14ac:dyDescent="0.3">
      <c r="A207" s="624" t="s">
        <v>353</v>
      </c>
      <c r="B207" s="1143" t="s">
        <v>199</v>
      </c>
      <c r="C207" s="1143"/>
      <c r="D207" s="1143"/>
      <c r="E207" s="624">
        <v>1</v>
      </c>
      <c r="F207" s="624">
        <v>10</v>
      </c>
      <c r="G207" s="1230">
        <v>25000</v>
      </c>
      <c r="H207" s="1230"/>
      <c r="I207" s="1231">
        <v>0</v>
      </c>
      <c r="J207" s="1231"/>
    </row>
    <row r="208" spans="1:14" ht="16.5" hidden="1" customHeight="1" x14ac:dyDescent="0.3">
      <c r="A208" s="624"/>
      <c r="B208" s="1098" t="s">
        <v>332</v>
      </c>
      <c r="C208" s="1098"/>
      <c r="D208" s="1098"/>
      <c r="E208" s="620" t="s">
        <v>14</v>
      </c>
      <c r="F208" s="620" t="s">
        <v>14</v>
      </c>
      <c r="G208" s="1090" t="s">
        <v>14</v>
      </c>
      <c r="H208" s="1090"/>
      <c r="I208" s="1101">
        <f>I201+I206</f>
        <v>0</v>
      </c>
      <c r="J208" s="1090"/>
      <c r="K208" s="133"/>
      <c r="N208" s="135"/>
    </row>
    <row r="209" spans="1:13" ht="12" hidden="1" customHeight="1" x14ac:dyDescent="0.3">
      <c r="A209" s="97"/>
      <c r="B209" s="90"/>
      <c r="C209" s="90"/>
      <c r="D209" s="90"/>
      <c r="E209" s="90"/>
      <c r="F209" s="90"/>
      <c r="G209" s="90"/>
      <c r="H209" s="90"/>
      <c r="I209" s="90"/>
      <c r="J209" s="90"/>
      <c r="K209" s="14"/>
      <c r="M209" s="82"/>
    </row>
    <row r="210" spans="1:13" ht="18.75" hidden="1" customHeight="1" x14ac:dyDescent="0.3">
      <c r="A210" s="1218" t="s">
        <v>285</v>
      </c>
      <c r="B210" s="1218"/>
      <c r="C210" s="1218"/>
      <c r="D210" s="1218"/>
      <c r="E210" s="1218"/>
      <c r="F210" s="1218"/>
      <c r="G210" s="1218"/>
      <c r="H210" s="1218"/>
      <c r="I210" s="1218"/>
      <c r="J210" s="1218"/>
      <c r="K210" s="14"/>
      <c r="M210" s="82"/>
    </row>
    <row r="211" spans="1:13" ht="12.75" hidden="1" customHeight="1" x14ac:dyDescent="0.3">
      <c r="A211" s="623" t="s">
        <v>1</v>
      </c>
      <c r="B211" s="1110" t="s">
        <v>15</v>
      </c>
      <c r="C211" s="1110"/>
      <c r="D211" s="1110"/>
      <c r="E211" s="1110" t="s">
        <v>53</v>
      </c>
      <c r="F211" s="1110"/>
      <c r="G211" s="1110" t="s">
        <v>54</v>
      </c>
      <c r="H211" s="1110"/>
      <c r="I211" s="1110" t="s">
        <v>264</v>
      </c>
      <c r="J211" s="1110"/>
      <c r="K211" s="14"/>
      <c r="M211" s="82"/>
    </row>
    <row r="212" spans="1:13" ht="15" hidden="1" customHeight="1" x14ac:dyDescent="0.3">
      <c r="A212" s="623">
        <v>1</v>
      </c>
      <c r="B212" s="1110">
        <v>2</v>
      </c>
      <c r="C212" s="1110"/>
      <c r="D212" s="1110"/>
      <c r="E212" s="1110">
        <v>3</v>
      </c>
      <c r="F212" s="1110"/>
      <c r="G212" s="1110">
        <v>4</v>
      </c>
      <c r="H212" s="1110"/>
      <c r="I212" s="1110">
        <v>5</v>
      </c>
      <c r="J212" s="1110"/>
      <c r="K212" s="14"/>
      <c r="M212" s="82"/>
    </row>
    <row r="213" spans="1:13" ht="17.25" hidden="1" customHeight="1" x14ac:dyDescent="0.3">
      <c r="A213" s="624">
        <v>1</v>
      </c>
      <c r="B213" s="1226" t="s">
        <v>329</v>
      </c>
      <c r="C213" s="1227"/>
      <c r="D213" s="1228"/>
      <c r="E213" s="1213"/>
      <c r="F213" s="1213"/>
      <c r="G213" s="1229"/>
      <c r="H213" s="1229"/>
      <c r="I213" s="1229">
        <f>E213*G213</f>
        <v>0</v>
      </c>
      <c r="J213" s="1229"/>
      <c r="K213" s="14"/>
      <c r="M213" s="82"/>
    </row>
    <row r="214" spans="1:13" hidden="1" x14ac:dyDescent="0.3">
      <c r="A214" s="624"/>
      <c r="B214" s="1098" t="s">
        <v>13</v>
      </c>
      <c r="C214" s="1098"/>
      <c r="D214" s="1098"/>
      <c r="E214" s="1090" t="s">
        <v>74</v>
      </c>
      <c r="F214" s="1090"/>
      <c r="G214" s="1090" t="s">
        <v>74</v>
      </c>
      <c r="H214" s="1090"/>
      <c r="I214" s="1203">
        <f>I213</f>
        <v>0</v>
      </c>
      <c r="J214" s="1090"/>
    </row>
    <row r="215" spans="1:13" ht="24" hidden="1" customHeight="1" x14ac:dyDescent="0.3">
      <c r="A215" s="1218" t="s">
        <v>281</v>
      </c>
      <c r="B215" s="1218"/>
      <c r="C215" s="1218"/>
      <c r="D215" s="1218"/>
      <c r="E215" s="1218"/>
      <c r="F215" s="1218"/>
      <c r="G215" s="1218"/>
      <c r="H215" s="1218"/>
      <c r="I215" s="1218"/>
      <c r="J215" s="1218"/>
    </row>
    <row r="216" spans="1:13" s="41" customFormat="1" ht="25.5" hidden="1" customHeight="1" x14ac:dyDescent="0.3">
      <c r="A216" s="623" t="s">
        <v>1</v>
      </c>
      <c r="B216" s="1110" t="s">
        <v>44</v>
      </c>
      <c r="C216" s="1110"/>
      <c r="D216" s="1110"/>
      <c r="E216" s="623" t="s">
        <v>55</v>
      </c>
      <c r="F216" s="1110" t="s">
        <v>56</v>
      </c>
      <c r="G216" s="1110"/>
      <c r="H216" s="623" t="s">
        <v>57</v>
      </c>
      <c r="I216" s="1110" t="s">
        <v>104</v>
      </c>
      <c r="J216" s="1110"/>
    </row>
    <row r="217" spans="1:13" s="41" customFormat="1" ht="13.8" hidden="1" x14ac:dyDescent="0.3">
      <c r="A217" s="623">
        <v>1</v>
      </c>
      <c r="B217" s="1110">
        <v>2</v>
      </c>
      <c r="C217" s="1110"/>
      <c r="D217" s="1110"/>
      <c r="E217" s="623">
        <v>3</v>
      </c>
      <c r="F217" s="1110">
        <v>4</v>
      </c>
      <c r="G217" s="1110"/>
      <c r="H217" s="623">
        <v>5</v>
      </c>
      <c r="I217" s="1110">
        <v>6</v>
      </c>
      <c r="J217" s="1110"/>
    </row>
    <row r="218" spans="1:13" ht="15" hidden="1" customHeight="1" x14ac:dyDescent="0.3">
      <c r="A218" s="618" t="s">
        <v>70</v>
      </c>
      <c r="B218" s="1125" t="s">
        <v>151</v>
      </c>
      <c r="C218" s="1126"/>
      <c r="D218" s="1127"/>
      <c r="E218" s="99">
        <f>E219+E220</f>
        <v>1242.06</v>
      </c>
      <c r="F218" s="1223"/>
      <c r="G218" s="1224"/>
      <c r="H218" s="100">
        <f>F220/F219-100%</f>
        <v>3.5000412984224072E-2</v>
      </c>
      <c r="I218" s="1225"/>
      <c r="J218" s="1225"/>
      <c r="K218" s="14"/>
    </row>
    <row r="219" spans="1:13" ht="15" hidden="1" customHeight="1" x14ac:dyDescent="0.3">
      <c r="A219" s="624"/>
      <c r="B219" s="1213" t="s">
        <v>100</v>
      </c>
      <c r="C219" s="1213"/>
      <c r="D219" s="1213"/>
      <c r="E219" s="628">
        <f>679+21.16</f>
        <v>700.16</v>
      </c>
      <c r="F219" s="1192">
        <v>1937.12</v>
      </c>
      <c r="G219" s="1193"/>
      <c r="H219" s="624"/>
      <c r="I219" s="1222"/>
      <c r="J219" s="1222"/>
      <c r="K219" s="14"/>
    </row>
    <row r="220" spans="1:13" ht="15" hidden="1" customHeight="1" x14ac:dyDescent="0.3">
      <c r="A220" s="624"/>
      <c r="B220" s="1213" t="s">
        <v>101</v>
      </c>
      <c r="C220" s="1213"/>
      <c r="D220" s="1213"/>
      <c r="E220" s="628">
        <f>318+203+14.4+4.5+2</f>
        <v>541.9</v>
      </c>
      <c r="F220" s="1192">
        <v>2004.92</v>
      </c>
      <c r="G220" s="1193"/>
      <c r="H220" s="624"/>
      <c r="I220" s="1222"/>
      <c r="J220" s="1222"/>
      <c r="K220" s="14"/>
    </row>
    <row r="221" spans="1:13" ht="15" hidden="1" customHeight="1" x14ac:dyDescent="0.3">
      <c r="A221" s="618" t="s">
        <v>75</v>
      </c>
      <c r="B221" s="1125" t="s">
        <v>152</v>
      </c>
      <c r="C221" s="1126"/>
      <c r="D221" s="1127"/>
      <c r="E221" s="99">
        <f>E222+E223</f>
        <v>854</v>
      </c>
      <c r="F221" s="1223"/>
      <c r="G221" s="1224"/>
      <c r="H221" s="100">
        <f>F223/F222-100%</f>
        <v>3.5040944581984368E-2</v>
      </c>
      <c r="I221" s="1225"/>
      <c r="J221" s="1225"/>
      <c r="K221" s="14"/>
    </row>
    <row r="222" spans="1:13" ht="15" hidden="1" customHeight="1" x14ac:dyDescent="0.3">
      <c r="A222" s="624"/>
      <c r="B222" s="1213" t="s">
        <v>100</v>
      </c>
      <c r="C222" s="1213"/>
      <c r="D222" s="1213"/>
      <c r="E222" s="628">
        <v>460</v>
      </c>
      <c r="F222" s="1192">
        <v>52.51</v>
      </c>
      <c r="G222" s="1193"/>
      <c r="H222" s="624"/>
      <c r="I222" s="1222"/>
      <c r="J222" s="1222"/>
      <c r="K222" s="14"/>
    </row>
    <row r="223" spans="1:13" ht="15" hidden="1" customHeight="1" x14ac:dyDescent="0.3">
      <c r="A223" s="624"/>
      <c r="B223" s="1213" t="s">
        <v>101</v>
      </c>
      <c r="C223" s="1213"/>
      <c r="D223" s="1213"/>
      <c r="E223" s="628">
        <f>313+81</f>
        <v>394</v>
      </c>
      <c r="F223" s="1192">
        <v>54.35</v>
      </c>
      <c r="G223" s="1193"/>
      <c r="H223" s="624"/>
      <c r="I223" s="1222"/>
      <c r="J223" s="1222"/>
      <c r="K223" s="108"/>
    </row>
    <row r="224" spans="1:13" ht="15" hidden="1" customHeight="1" x14ac:dyDescent="0.3">
      <c r="A224" s="618" t="s">
        <v>77</v>
      </c>
      <c r="B224" s="1125" t="s">
        <v>153</v>
      </c>
      <c r="C224" s="1126"/>
      <c r="D224" s="1127"/>
      <c r="E224" s="99">
        <f>E225+E226</f>
        <v>1517</v>
      </c>
      <c r="F224" s="1223"/>
      <c r="G224" s="1224"/>
      <c r="H224" s="100">
        <f>F226/F225-100%</f>
        <v>3.5040944581984368E-2</v>
      </c>
      <c r="I224" s="1225"/>
      <c r="J224" s="1225"/>
      <c r="K224" s="14"/>
    </row>
    <row r="225" spans="1:11" ht="15" hidden="1" customHeight="1" x14ac:dyDescent="0.3">
      <c r="A225" s="624"/>
      <c r="B225" s="1213" t="s">
        <v>100</v>
      </c>
      <c r="C225" s="1213"/>
      <c r="D225" s="1213"/>
      <c r="E225" s="628">
        <f>722</f>
        <v>722</v>
      </c>
      <c r="F225" s="1192">
        <v>52.51</v>
      </c>
      <c r="G225" s="1193"/>
      <c r="H225" s="624"/>
      <c r="I225" s="1222"/>
      <c r="J225" s="1222"/>
      <c r="K225" s="14"/>
    </row>
    <row r="226" spans="1:11" ht="15" hidden="1" customHeight="1" x14ac:dyDescent="0.3">
      <c r="A226" s="624"/>
      <c r="B226" s="1213" t="s">
        <v>101</v>
      </c>
      <c r="C226" s="1213"/>
      <c r="D226" s="1213"/>
      <c r="E226" s="628">
        <f>559+236</f>
        <v>795</v>
      </c>
      <c r="F226" s="1192">
        <v>54.35</v>
      </c>
      <c r="G226" s="1193"/>
      <c r="H226" s="624"/>
      <c r="I226" s="1222"/>
      <c r="J226" s="1222"/>
      <c r="K226" s="14"/>
    </row>
    <row r="227" spans="1:11" ht="15" hidden="1" customHeight="1" x14ac:dyDescent="0.3">
      <c r="A227" s="618" t="s">
        <v>86</v>
      </c>
      <c r="B227" s="1125" t="s">
        <v>154</v>
      </c>
      <c r="C227" s="1126"/>
      <c r="D227" s="1127"/>
      <c r="E227" s="99">
        <f>E228+E229</f>
        <v>2426</v>
      </c>
      <c r="F227" s="1223"/>
      <c r="G227" s="1224"/>
      <c r="H227" s="100">
        <f>F229/F228-100%</f>
        <v>3.461841070023608E-2</v>
      </c>
      <c r="I227" s="1225"/>
      <c r="J227" s="1225"/>
      <c r="K227" s="176">
        <f>I227+I224</f>
        <v>0</v>
      </c>
    </row>
    <row r="228" spans="1:11" ht="15" hidden="1" customHeight="1" x14ac:dyDescent="0.4">
      <c r="A228" s="624"/>
      <c r="B228" s="1213" t="s">
        <v>100</v>
      </c>
      <c r="C228" s="1213"/>
      <c r="D228" s="1213"/>
      <c r="E228" s="628">
        <v>1249</v>
      </c>
      <c r="F228" s="1192">
        <v>63.55</v>
      </c>
      <c r="G228" s="1193"/>
      <c r="H228" s="624"/>
      <c r="I228" s="1222"/>
      <c r="J228" s="1222"/>
      <c r="K228" s="146"/>
    </row>
    <row r="229" spans="1:11" ht="15" hidden="1" customHeight="1" x14ac:dyDescent="0.3">
      <c r="A229" s="624"/>
      <c r="B229" s="1213" t="s">
        <v>101</v>
      </c>
      <c r="C229" s="1213"/>
      <c r="D229" s="1213"/>
      <c r="E229" s="628">
        <f>860+317</f>
        <v>1177</v>
      </c>
      <c r="F229" s="1192">
        <v>65.75</v>
      </c>
      <c r="G229" s="1193"/>
      <c r="H229" s="624"/>
      <c r="I229" s="1222"/>
      <c r="J229" s="1222"/>
      <c r="K229" s="15"/>
    </row>
    <row r="230" spans="1:11" ht="15" hidden="1" customHeight="1" x14ac:dyDescent="0.3">
      <c r="A230" s="618" t="s">
        <v>87</v>
      </c>
      <c r="B230" s="1125" t="s">
        <v>155</v>
      </c>
      <c r="C230" s="1126"/>
      <c r="D230" s="1127"/>
      <c r="E230" s="643">
        <f>E231+E232</f>
        <v>149022</v>
      </c>
      <c r="F230" s="1223"/>
      <c r="G230" s="1224"/>
      <c r="H230" s="100">
        <f>F232/F231-100%</f>
        <v>3.7676609105180559E-2</v>
      </c>
      <c r="I230" s="1225"/>
      <c r="J230" s="1225"/>
      <c r="K230" s="14"/>
    </row>
    <row r="231" spans="1:11" ht="15" hidden="1" customHeight="1" x14ac:dyDescent="0.3">
      <c r="A231" s="624"/>
      <c r="B231" s="1213" t="s">
        <v>100</v>
      </c>
      <c r="C231" s="1213"/>
      <c r="D231" s="1213"/>
      <c r="E231" s="603">
        <v>75960</v>
      </c>
      <c r="F231" s="1192">
        <v>6.37</v>
      </c>
      <c r="G231" s="1193"/>
      <c r="H231" s="624"/>
      <c r="I231" s="1222"/>
      <c r="J231" s="1222"/>
      <c r="K231" s="14"/>
    </row>
    <row r="232" spans="1:11" ht="15" hidden="1" customHeight="1" x14ac:dyDescent="0.3">
      <c r="A232" s="624"/>
      <c r="B232" s="1213" t="s">
        <v>101</v>
      </c>
      <c r="C232" s="1213"/>
      <c r="D232" s="1213"/>
      <c r="E232" s="603">
        <f>53108+19954</f>
        <v>73062</v>
      </c>
      <c r="F232" s="1192">
        <v>6.61</v>
      </c>
      <c r="G232" s="1193"/>
      <c r="H232" s="624"/>
      <c r="I232" s="1222"/>
      <c r="J232" s="1222"/>
    </row>
    <row r="233" spans="1:11" ht="15" hidden="1" customHeight="1" x14ac:dyDescent="0.3">
      <c r="A233" s="618" t="s">
        <v>97</v>
      </c>
      <c r="B233" s="1125" t="s">
        <v>378</v>
      </c>
      <c r="C233" s="1126"/>
      <c r="D233" s="1127"/>
      <c r="E233" s="643">
        <f>E234+E235</f>
        <v>147.19999999999999</v>
      </c>
      <c r="F233" s="1223"/>
      <c r="G233" s="1224"/>
      <c r="H233" s="100">
        <v>0</v>
      </c>
      <c r="I233" s="1225"/>
      <c r="J233" s="1225"/>
      <c r="K233" s="135"/>
    </row>
    <row r="234" spans="1:11" ht="15" hidden="1" customHeight="1" x14ac:dyDescent="0.3">
      <c r="A234" s="624"/>
      <c r="B234" s="1213" t="s">
        <v>100</v>
      </c>
      <c r="C234" s="1213"/>
      <c r="D234" s="1213"/>
      <c r="E234" s="603">
        <v>73.599999999999994</v>
      </c>
      <c r="F234" s="1192">
        <v>747.07</v>
      </c>
      <c r="G234" s="1193"/>
      <c r="H234" s="624"/>
      <c r="I234" s="1222"/>
      <c r="J234" s="1222"/>
    </row>
    <row r="235" spans="1:11" ht="15" hidden="1" customHeight="1" x14ac:dyDescent="0.3">
      <c r="A235" s="624"/>
      <c r="B235" s="1213" t="s">
        <v>101</v>
      </c>
      <c r="C235" s="1213"/>
      <c r="D235" s="1213"/>
      <c r="E235" s="603">
        <v>73.599999999999994</v>
      </c>
      <c r="F235" s="1192">
        <v>747.07</v>
      </c>
      <c r="G235" s="1193"/>
      <c r="H235" s="624"/>
      <c r="I235" s="1222"/>
      <c r="J235" s="1222"/>
    </row>
    <row r="236" spans="1:11" ht="15" hidden="1" customHeight="1" x14ac:dyDescent="0.3">
      <c r="A236" s="624"/>
      <c r="B236" s="1098" t="s">
        <v>13</v>
      </c>
      <c r="C236" s="1098"/>
      <c r="D236" s="1098"/>
      <c r="E236" s="620" t="s">
        <v>14</v>
      </c>
      <c r="F236" s="1090" t="s">
        <v>14</v>
      </c>
      <c r="G236" s="1090"/>
      <c r="H236" s="620" t="s">
        <v>14</v>
      </c>
      <c r="I236" s="1101">
        <f>I218+I221+I224+I227+I230+I233</f>
        <v>0</v>
      </c>
      <c r="J236" s="1101"/>
    </row>
    <row r="237" spans="1:11" s="41" customFormat="1" ht="19.5" hidden="1" customHeight="1" x14ac:dyDescent="0.3">
      <c r="A237" s="1218" t="s">
        <v>286</v>
      </c>
      <c r="B237" s="1218"/>
      <c r="C237" s="1218"/>
      <c r="D237" s="1218"/>
      <c r="E237" s="1218"/>
      <c r="F237" s="1218"/>
      <c r="G237" s="1218"/>
      <c r="H237" s="1218"/>
      <c r="I237" s="1218"/>
      <c r="J237" s="1218"/>
    </row>
    <row r="238" spans="1:11" s="41" customFormat="1" ht="15" hidden="1" customHeight="1" x14ac:dyDescent="0.3">
      <c r="A238" s="623" t="s">
        <v>1</v>
      </c>
      <c r="B238" s="1110" t="s">
        <v>44</v>
      </c>
      <c r="C238" s="1110"/>
      <c r="D238" s="1110"/>
      <c r="E238" s="1110" t="s">
        <v>58</v>
      </c>
      <c r="F238" s="1110"/>
      <c r="G238" s="1110" t="s">
        <v>59</v>
      </c>
      <c r="H238" s="1110"/>
      <c r="I238" s="1110" t="s">
        <v>60</v>
      </c>
      <c r="J238" s="1110"/>
    </row>
    <row r="239" spans="1:11" ht="15" hidden="1" customHeight="1" x14ac:dyDescent="0.3">
      <c r="A239" s="623">
        <v>1</v>
      </c>
      <c r="B239" s="1110">
        <v>2</v>
      </c>
      <c r="C239" s="1110"/>
      <c r="D239" s="1110"/>
      <c r="E239" s="1110">
        <v>3</v>
      </c>
      <c r="F239" s="1110"/>
      <c r="G239" s="1110">
        <v>4</v>
      </c>
      <c r="H239" s="1110"/>
      <c r="I239" s="1110">
        <v>5</v>
      </c>
      <c r="J239" s="1110"/>
      <c r="K239" s="15"/>
    </row>
    <row r="240" spans="1:11" ht="15" hidden="1" customHeight="1" x14ac:dyDescent="0.3">
      <c r="A240" s="624"/>
      <c r="B240" s="1116"/>
      <c r="C240" s="1212"/>
      <c r="D240" s="1117"/>
      <c r="E240" s="1213"/>
      <c r="F240" s="1213"/>
      <c r="G240" s="1213"/>
      <c r="H240" s="1213"/>
      <c r="I240" s="1213"/>
      <c r="J240" s="1213"/>
      <c r="K240" s="14"/>
    </row>
    <row r="241" spans="1:12" ht="15" hidden="1" customHeight="1" x14ac:dyDescent="0.3">
      <c r="A241" s="620"/>
      <c r="B241" s="1098" t="s">
        <v>13</v>
      </c>
      <c r="C241" s="1098"/>
      <c r="D241" s="1098"/>
      <c r="E241" s="1090" t="s">
        <v>14</v>
      </c>
      <c r="F241" s="1090"/>
      <c r="G241" s="1090" t="s">
        <v>14</v>
      </c>
      <c r="H241" s="1090"/>
      <c r="I241" s="1090"/>
      <c r="J241" s="1090"/>
    </row>
    <row r="242" spans="1:12" ht="16.5" hidden="1" customHeight="1" x14ac:dyDescent="0.3">
      <c r="A242" s="1218" t="s">
        <v>282</v>
      </c>
      <c r="B242" s="1218"/>
      <c r="C242" s="1218"/>
      <c r="D242" s="1218"/>
      <c r="E242" s="1218"/>
      <c r="F242" s="1218"/>
      <c r="G242" s="1218"/>
      <c r="H242" s="1218"/>
      <c r="I242" s="1218"/>
      <c r="J242" s="1218"/>
    </row>
    <row r="243" spans="1:12" ht="15" hidden="1" customHeight="1" x14ac:dyDescent="0.3">
      <c r="A243" s="1174" t="s">
        <v>1</v>
      </c>
      <c r="B243" s="1176" t="s">
        <v>15</v>
      </c>
      <c r="C243" s="1177"/>
      <c r="D243" s="1178"/>
      <c r="E243" s="1174" t="s">
        <v>61</v>
      </c>
      <c r="F243" s="1174" t="s">
        <v>62</v>
      </c>
      <c r="G243" s="1110" t="s">
        <v>63</v>
      </c>
      <c r="H243" s="1110"/>
      <c r="I243" s="1110"/>
      <c r="J243" s="1110"/>
    </row>
    <row r="244" spans="1:12" ht="24" hidden="1" customHeight="1" x14ac:dyDescent="0.3">
      <c r="A244" s="1175"/>
      <c r="B244" s="1179"/>
      <c r="C244" s="1180"/>
      <c r="D244" s="1181"/>
      <c r="E244" s="1175"/>
      <c r="F244" s="1175"/>
      <c r="G244" s="623" t="s">
        <v>305</v>
      </c>
      <c r="H244" s="623" t="s">
        <v>302</v>
      </c>
      <c r="I244" s="619" t="s">
        <v>303</v>
      </c>
      <c r="J244" s="623" t="s">
        <v>304</v>
      </c>
    </row>
    <row r="245" spans="1:12" ht="11.25" hidden="1" customHeight="1" x14ac:dyDescent="0.3">
      <c r="A245" s="623">
        <v>1</v>
      </c>
      <c r="B245" s="1110">
        <v>2</v>
      </c>
      <c r="C245" s="1110"/>
      <c r="D245" s="1110"/>
      <c r="E245" s="623">
        <v>3</v>
      </c>
      <c r="F245" s="623">
        <v>4</v>
      </c>
      <c r="G245" s="1139">
        <v>5</v>
      </c>
      <c r="H245" s="1210"/>
      <c r="I245" s="1210"/>
      <c r="J245" s="1140"/>
    </row>
    <row r="246" spans="1:12" ht="35.25" hidden="1" customHeight="1" x14ac:dyDescent="0.3">
      <c r="A246" s="1092" t="s">
        <v>965</v>
      </c>
      <c r="B246" s="1093"/>
      <c r="C246" s="1093"/>
      <c r="D246" s="1093"/>
      <c r="E246" s="1093"/>
      <c r="F246" s="1093"/>
      <c r="G246" s="1093"/>
      <c r="H246" s="1093"/>
      <c r="I246" s="1093"/>
      <c r="J246" s="1094"/>
    </row>
    <row r="247" spans="1:12" ht="1.5" hidden="1" customHeight="1" x14ac:dyDescent="0.3">
      <c r="A247" s="624" t="s">
        <v>75</v>
      </c>
      <c r="B247" s="835"/>
      <c r="C247" s="835"/>
      <c r="D247" s="835"/>
      <c r="E247" s="708"/>
      <c r="F247" s="708"/>
      <c r="G247" s="708"/>
      <c r="H247" s="708"/>
      <c r="I247" s="172"/>
      <c r="J247" s="709"/>
    </row>
    <row r="248" spans="1:12" ht="30" hidden="1" customHeight="1" x14ac:dyDescent="0.3">
      <c r="A248" s="624">
        <v>1</v>
      </c>
      <c r="B248" s="835" t="s">
        <v>966</v>
      </c>
      <c r="C248" s="835"/>
      <c r="D248" s="835"/>
      <c r="E248" s="624" t="s">
        <v>910</v>
      </c>
      <c r="F248" s="624">
        <v>1</v>
      </c>
      <c r="G248" s="624" t="s">
        <v>306</v>
      </c>
      <c r="H248" s="624">
        <v>1</v>
      </c>
      <c r="I248" s="172">
        <v>0</v>
      </c>
      <c r="J248" s="639">
        <f>H248*I248</f>
        <v>0</v>
      </c>
      <c r="K248" s="175">
        <v>34000</v>
      </c>
    </row>
    <row r="249" spans="1:12" ht="30" hidden="1" customHeight="1" x14ac:dyDescent="0.3">
      <c r="A249" s="604">
        <v>2</v>
      </c>
      <c r="B249" s="809"/>
      <c r="C249" s="810"/>
      <c r="D249" s="811"/>
      <c r="E249" s="624"/>
      <c r="F249" s="624">
        <v>1</v>
      </c>
      <c r="G249" s="624" t="s">
        <v>306</v>
      </c>
      <c r="H249" s="624">
        <v>1</v>
      </c>
      <c r="I249" s="172">
        <v>0</v>
      </c>
      <c r="J249" s="274">
        <f>I249</f>
        <v>0</v>
      </c>
      <c r="K249" s="269"/>
    </row>
    <row r="250" spans="1:12" ht="30" hidden="1" customHeight="1" x14ac:dyDescent="0.3">
      <c r="A250" s="624"/>
      <c r="B250" s="820"/>
      <c r="C250" s="821"/>
      <c r="D250" s="822"/>
      <c r="E250" s="624"/>
      <c r="F250" s="624">
        <v>1</v>
      </c>
      <c r="G250" s="624" t="s">
        <v>306</v>
      </c>
      <c r="H250" s="624">
        <v>1</v>
      </c>
      <c r="I250" s="172">
        <v>0</v>
      </c>
      <c r="J250" s="280">
        <f>I250</f>
        <v>0</v>
      </c>
      <c r="K250" s="269"/>
    </row>
    <row r="251" spans="1:12" ht="66" hidden="1" customHeight="1" x14ac:dyDescent="0.3">
      <c r="A251" s="1136" t="s">
        <v>629</v>
      </c>
      <c r="B251" s="1137"/>
      <c r="C251" s="1137"/>
      <c r="D251" s="1137"/>
      <c r="E251" s="1137"/>
      <c r="F251" s="1137"/>
      <c r="G251" s="1137"/>
      <c r="H251" s="1137"/>
      <c r="I251" s="1137"/>
      <c r="J251" s="1138"/>
    </row>
    <row r="252" spans="1:12" ht="41.25" hidden="1" customHeight="1" x14ac:dyDescent="0.3">
      <c r="A252" s="624">
        <v>2</v>
      </c>
      <c r="B252" s="835" t="s">
        <v>620</v>
      </c>
      <c r="C252" s="835"/>
      <c r="D252" s="835"/>
      <c r="E252" s="624"/>
      <c r="F252" s="624">
        <v>1</v>
      </c>
      <c r="G252" s="624" t="s">
        <v>306</v>
      </c>
      <c r="H252" s="624">
        <v>1</v>
      </c>
      <c r="I252" s="172"/>
      <c r="J252" s="639">
        <f>I252</f>
        <v>0</v>
      </c>
    </row>
    <row r="253" spans="1:12" ht="42" hidden="1" customHeight="1" x14ac:dyDescent="0.3">
      <c r="A253" s="624"/>
      <c r="B253" s="835"/>
      <c r="C253" s="835"/>
      <c r="D253" s="835"/>
      <c r="E253" s="624"/>
      <c r="F253" s="624"/>
      <c r="G253" s="624"/>
      <c r="H253" s="624"/>
      <c r="I253" s="172"/>
      <c r="J253" s="639"/>
      <c r="K253" s="166"/>
      <c r="L253" s="142"/>
    </row>
    <row r="254" spans="1:12" ht="45.75" hidden="1" customHeight="1" x14ac:dyDescent="0.3">
      <c r="A254" s="624"/>
      <c r="B254" s="835"/>
      <c r="C254" s="835"/>
      <c r="D254" s="835"/>
      <c r="E254" s="624"/>
      <c r="F254" s="624"/>
      <c r="G254" s="624"/>
      <c r="H254" s="624"/>
      <c r="I254" s="172"/>
      <c r="J254" s="639"/>
      <c r="K254" s="166"/>
      <c r="L254" s="142"/>
    </row>
    <row r="255" spans="1:12" ht="24" hidden="1" customHeight="1" x14ac:dyDescent="0.3">
      <c r="A255" s="624"/>
      <c r="B255" s="835"/>
      <c r="C255" s="835"/>
      <c r="D255" s="835"/>
      <c r="E255" s="624"/>
      <c r="F255" s="624"/>
      <c r="G255" s="624"/>
      <c r="H255" s="624"/>
      <c r="I255" s="172"/>
      <c r="J255" s="639"/>
    </row>
    <row r="256" spans="1:12" ht="30" hidden="1" customHeight="1" x14ac:dyDescent="0.3">
      <c r="A256" s="624"/>
      <c r="B256" s="1219"/>
      <c r="C256" s="1219"/>
      <c r="D256" s="1219"/>
      <c r="E256" s="624"/>
      <c r="F256" s="624"/>
      <c r="G256" s="624"/>
      <c r="H256" s="624"/>
      <c r="I256" s="171"/>
      <c r="J256" s="563"/>
      <c r="K256" s="11"/>
      <c r="L256" s="11"/>
    </row>
    <row r="257" spans="1:12" ht="29.25" hidden="1" customHeight="1" x14ac:dyDescent="0.3">
      <c r="A257" s="624"/>
      <c r="B257" s="835"/>
      <c r="C257" s="835"/>
      <c r="D257" s="835"/>
      <c r="E257" s="624"/>
      <c r="F257" s="624"/>
      <c r="G257" s="624"/>
      <c r="H257" s="624"/>
      <c r="I257" s="172"/>
      <c r="J257" s="639"/>
      <c r="K257" s="11"/>
      <c r="L257" s="11"/>
    </row>
    <row r="258" spans="1:12" ht="23.25" hidden="1" customHeight="1" x14ac:dyDescent="0.3">
      <c r="A258" s="624"/>
      <c r="B258" s="835"/>
      <c r="C258" s="835"/>
      <c r="D258" s="835"/>
      <c r="E258" s="624"/>
      <c r="F258" s="624"/>
      <c r="G258" s="624"/>
      <c r="H258" s="624"/>
      <c r="I258" s="172"/>
      <c r="J258" s="639"/>
      <c r="K258" s="11"/>
      <c r="L258" s="11"/>
    </row>
    <row r="259" spans="1:12" ht="46.5" hidden="1" customHeight="1" x14ac:dyDescent="0.3">
      <c r="A259" s="624"/>
      <c r="B259" s="835"/>
      <c r="C259" s="835"/>
      <c r="D259" s="835"/>
      <c r="E259" s="624"/>
      <c r="F259" s="624"/>
      <c r="G259" s="624"/>
      <c r="H259" s="624"/>
      <c r="I259" s="172"/>
      <c r="J259" s="639"/>
    </row>
    <row r="260" spans="1:12" ht="25.5" hidden="1" customHeight="1" x14ac:dyDescent="0.3">
      <c r="A260" s="624"/>
      <c r="B260" s="809"/>
      <c r="C260" s="1220"/>
      <c r="D260" s="1221"/>
      <c r="E260" s="624"/>
      <c r="F260" s="624"/>
      <c r="G260" s="624"/>
      <c r="H260" s="624"/>
      <c r="I260" s="172"/>
      <c r="J260" s="639"/>
    </row>
    <row r="261" spans="1:12" ht="38.25" hidden="1" customHeight="1" x14ac:dyDescent="0.3">
      <c r="A261" s="624"/>
      <c r="B261" s="835"/>
      <c r="C261" s="835"/>
      <c r="D261" s="835"/>
      <c r="E261" s="624"/>
      <c r="F261" s="624"/>
      <c r="G261" s="624"/>
      <c r="H261" s="624"/>
      <c r="I261" s="172"/>
      <c r="J261" s="639"/>
    </row>
    <row r="262" spans="1:12" ht="38.25" hidden="1" customHeight="1" x14ac:dyDescent="0.3">
      <c r="A262" s="624"/>
      <c r="B262" s="809"/>
      <c r="C262" s="810"/>
      <c r="D262" s="811"/>
      <c r="E262" s="624"/>
      <c r="F262" s="624"/>
      <c r="G262" s="624"/>
      <c r="H262" s="624"/>
      <c r="I262" s="172"/>
      <c r="J262" s="639"/>
    </row>
    <row r="263" spans="1:12" ht="38.25" hidden="1" customHeight="1" x14ac:dyDescent="0.3">
      <c r="A263" s="624"/>
      <c r="B263" s="809"/>
      <c r="C263" s="810"/>
      <c r="D263" s="811"/>
      <c r="E263" s="624"/>
      <c r="F263" s="624"/>
      <c r="G263" s="624"/>
      <c r="H263" s="624"/>
      <c r="I263" s="172"/>
      <c r="J263" s="639"/>
    </row>
    <row r="264" spans="1:12" ht="38.25" hidden="1" customHeight="1" x14ac:dyDescent="0.3">
      <c r="A264" s="624"/>
      <c r="B264" s="820"/>
      <c r="C264" s="821"/>
      <c r="D264" s="822"/>
      <c r="E264" s="624"/>
      <c r="F264" s="624"/>
      <c r="G264" s="624"/>
      <c r="H264" s="624"/>
      <c r="I264" s="172"/>
      <c r="J264" s="639"/>
    </row>
    <row r="265" spans="1:12" ht="38.25" hidden="1" customHeight="1" x14ac:dyDescent="0.3">
      <c r="A265" s="624"/>
      <c r="B265" s="820"/>
      <c r="C265" s="821"/>
      <c r="D265" s="822"/>
      <c r="E265" s="624"/>
      <c r="F265" s="624"/>
      <c r="G265" s="624"/>
      <c r="H265" s="624"/>
      <c r="I265" s="172"/>
      <c r="J265" s="639"/>
    </row>
    <row r="266" spans="1:12" hidden="1" x14ac:dyDescent="0.3">
      <c r="A266" s="620"/>
      <c r="B266" s="1098" t="s">
        <v>13</v>
      </c>
      <c r="C266" s="1098"/>
      <c r="D266" s="1098"/>
      <c r="E266" s="620" t="s">
        <v>14</v>
      </c>
      <c r="F266" s="620" t="s">
        <v>14</v>
      </c>
      <c r="G266" s="1167">
        <f>J252+J249+J248+J250</f>
        <v>0</v>
      </c>
      <c r="H266" s="1168"/>
      <c r="I266" s="1168"/>
      <c r="J266" s="1168"/>
    </row>
    <row r="267" spans="1:12" ht="17.25" customHeight="1" x14ac:dyDescent="0.3">
      <c r="A267" s="1218" t="s">
        <v>287</v>
      </c>
      <c r="B267" s="1218"/>
      <c r="C267" s="1218"/>
      <c r="D267" s="1218"/>
      <c r="E267" s="1218"/>
      <c r="F267" s="1218"/>
      <c r="G267" s="1218"/>
      <c r="H267" s="1218"/>
      <c r="I267" s="1218"/>
      <c r="J267" s="1218"/>
    </row>
    <row r="268" spans="1:12" ht="17.25" customHeight="1" x14ac:dyDescent="0.3">
      <c r="A268" s="1174" t="s">
        <v>1</v>
      </c>
      <c r="B268" s="1176" t="s">
        <v>15</v>
      </c>
      <c r="C268" s="1177"/>
      <c r="D268" s="1178"/>
      <c r="E268" s="1176" t="s">
        <v>64</v>
      </c>
      <c r="F268" s="1178"/>
      <c r="G268" s="1110" t="s">
        <v>65</v>
      </c>
      <c r="H268" s="1110"/>
      <c r="I268" s="1110"/>
      <c r="J268" s="1110"/>
    </row>
    <row r="269" spans="1:12" ht="27.75" customHeight="1" x14ac:dyDescent="0.3">
      <c r="A269" s="1175"/>
      <c r="B269" s="1179"/>
      <c r="C269" s="1180"/>
      <c r="D269" s="1181"/>
      <c r="E269" s="1179"/>
      <c r="F269" s="1181"/>
      <c r="G269" s="623" t="s">
        <v>305</v>
      </c>
      <c r="H269" s="623" t="s">
        <v>302</v>
      </c>
      <c r="I269" s="623" t="s">
        <v>303</v>
      </c>
      <c r="J269" s="623" t="s">
        <v>304</v>
      </c>
    </row>
    <row r="270" spans="1:12" ht="14.25" customHeight="1" x14ac:dyDescent="0.3">
      <c r="A270" s="623">
        <v>1</v>
      </c>
      <c r="B270" s="1110">
        <v>2</v>
      </c>
      <c r="C270" s="1110"/>
      <c r="D270" s="1110"/>
      <c r="E270" s="1139">
        <v>3</v>
      </c>
      <c r="F270" s="1140"/>
      <c r="G270" s="1110">
        <v>4</v>
      </c>
      <c r="H270" s="1110"/>
      <c r="I270" s="1110"/>
      <c r="J270" s="1110"/>
    </row>
    <row r="271" spans="1:12" ht="51.75" hidden="1" customHeight="1" x14ac:dyDescent="0.3">
      <c r="A271" s="1112" t="s">
        <v>570</v>
      </c>
      <c r="B271" s="1113"/>
      <c r="C271" s="1113"/>
      <c r="D271" s="1113"/>
      <c r="E271" s="1113"/>
      <c r="F271" s="1113"/>
      <c r="G271" s="1113"/>
      <c r="H271" s="1113"/>
      <c r="I271" s="1113"/>
      <c r="J271" s="1114"/>
    </row>
    <row r="272" spans="1:12" ht="24" hidden="1" customHeight="1" x14ac:dyDescent="0.3">
      <c r="A272" s="624">
        <v>1</v>
      </c>
      <c r="B272" s="1115" t="s">
        <v>577</v>
      </c>
      <c r="C272" s="1115"/>
      <c r="D272" s="1115"/>
      <c r="E272" s="1116">
        <v>1</v>
      </c>
      <c r="F272" s="1117"/>
      <c r="G272" s="624"/>
      <c r="H272" s="624">
        <v>1</v>
      </c>
      <c r="I272" s="170">
        <v>0</v>
      </c>
      <c r="J272" s="639">
        <f t="shared" ref="J272" si="14">H272*I272</f>
        <v>0</v>
      </c>
    </row>
    <row r="273" spans="1:11" ht="43.5" customHeight="1" x14ac:dyDescent="0.3">
      <c r="A273" s="1118" t="s">
        <v>993</v>
      </c>
      <c r="B273" s="1119"/>
      <c r="C273" s="1119"/>
      <c r="D273" s="1119"/>
      <c r="E273" s="1119"/>
      <c r="F273" s="1119"/>
      <c r="G273" s="1119"/>
      <c r="H273" s="1119"/>
      <c r="I273" s="1119"/>
      <c r="J273" s="1120"/>
    </row>
    <row r="274" spans="1:11" ht="22.5" customHeight="1" x14ac:dyDescent="0.3">
      <c r="A274" s="624">
        <v>1</v>
      </c>
      <c r="B274" s="1215" t="s">
        <v>579</v>
      </c>
      <c r="C274" s="1216"/>
      <c r="D274" s="1217"/>
      <c r="E274" s="1116">
        <v>1</v>
      </c>
      <c r="F274" s="1117"/>
      <c r="G274" s="624"/>
      <c r="H274" s="624">
        <v>1</v>
      </c>
      <c r="I274" s="170">
        <v>20000</v>
      </c>
      <c r="J274" s="110">
        <f>H274*I274</f>
        <v>20000</v>
      </c>
    </row>
    <row r="275" spans="1:11" ht="30" customHeight="1" x14ac:dyDescent="0.3">
      <c r="A275" s="624">
        <v>2</v>
      </c>
      <c r="B275" s="1151" t="s">
        <v>580</v>
      </c>
      <c r="C275" s="1151"/>
      <c r="D275" s="1151"/>
      <c r="E275" s="1116">
        <v>1</v>
      </c>
      <c r="F275" s="1117"/>
      <c r="G275" s="624"/>
      <c r="H275" s="624">
        <v>1</v>
      </c>
      <c r="I275" s="170">
        <v>30000</v>
      </c>
      <c r="J275" s="110">
        <f t="shared" ref="J275:J277" si="15">H275*I275</f>
        <v>30000</v>
      </c>
    </row>
    <row r="276" spans="1:11" ht="30" customHeight="1" x14ac:dyDescent="0.3">
      <c r="A276" s="624">
        <v>3</v>
      </c>
      <c r="B276" s="1151" t="s">
        <v>923</v>
      </c>
      <c r="C276" s="1151"/>
      <c r="D276" s="1151"/>
      <c r="E276" s="820">
        <v>1</v>
      </c>
      <c r="F276" s="822"/>
      <c r="G276" s="576"/>
      <c r="H276" s="576">
        <v>1</v>
      </c>
      <c r="I276" s="170">
        <v>8000</v>
      </c>
      <c r="J276" s="110">
        <f t="shared" si="15"/>
        <v>8000</v>
      </c>
      <c r="K276" s="173"/>
    </row>
    <row r="277" spans="1:11" ht="51.75" hidden="1" customHeight="1" x14ac:dyDescent="0.3">
      <c r="A277" s="624">
        <v>4</v>
      </c>
      <c r="B277" s="1215"/>
      <c r="C277" s="1216"/>
      <c r="D277" s="1217"/>
      <c r="E277" s="1116">
        <v>1</v>
      </c>
      <c r="F277" s="1117"/>
      <c r="G277" s="624"/>
      <c r="H277" s="624">
        <v>1</v>
      </c>
      <c r="I277" s="170">
        <f>6000-6000</f>
        <v>0</v>
      </c>
      <c r="J277" s="110">
        <f t="shared" si="15"/>
        <v>0</v>
      </c>
    </row>
    <row r="278" spans="1:11" ht="48" hidden="1" customHeight="1" x14ac:dyDescent="0.3">
      <c r="A278" s="624"/>
      <c r="B278" s="1143"/>
      <c r="C278" s="1143"/>
      <c r="D278" s="1143"/>
      <c r="E278" s="1116"/>
      <c r="F278" s="1117"/>
      <c r="G278" s="624"/>
      <c r="H278" s="624"/>
      <c r="I278" s="170"/>
      <c r="J278" s="110"/>
    </row>
    <row r="279" spans="1:11" ht="30" hidden="1" customHeight="1" x14ac:dyDescent="0.3">
      <c r="A279" s="624"/>
      <c r="B279" s="1143"/>
      <c r="C279" s="1143"/>
      <c r="D279" s="1143"/>
      <c r="E279" s="1116"/>
      <c r="F279" s="1117"/>
      <c r="G279" s="624"/>
      <c r="H279" s="628"/>
      <c r="I279" s="170"/>
      <c r="J279" s="110"/>
    </row>
    <row r="280" spans="1:11" ht="30" hidden="1" customHeight="1" x14ac:dyDescent="0.3">
      <c r="A280" s="624"/>
      <c r="B280" s="835"/>
      <c r="C280" s="835"/>
      <c r="D280" s="835"/>
      <c r="E280" s="1116"/>
      <c r="F280" s="1117"/>
      <c r="G280" s="624"/>
      <c r="H280" s="624"/>
      <c r="I280" s="170"/>
      <c r="J280" s="110"/>
    </row>
    <row r="281" spans="1:11" ht="30" customHeight="1" x14ac:dyDescent="0.3">
      <c r="A281" s="1118" t="s">
        <v>992</v>
      </c>
      <c r="B281" s="1119"/>
      <c r="C281" s="1119"/>
      <c r="D281" s="1119"/>
      <c r="E281" s="1119"/>
      <c r="F281" s="1119"/>
      <c r="G281" s="1119"/>
      <c r="H281" s="1119"/>
      <c r="I281" s="1119"/>
      <c r="J281" s="1120"/>
    </row>
    <row r="282" spans="1:11" ht="30" customHeight="1" x14ac:dyDescent="0.3">
      <c r="A282" s="624">
        <v>4</v>
      </c>
      <c r="B282" s="1143" t="s">
        <v>924</v>
      </c>
      <c r="C282" s="1143"/>
      <c r="D282" s="1143"/>
      <c r="E282" s="1116">
        <v>1</v>
      </c>
      <c r="F282" s="1117"/>
      <c r="G282" s="624"/>
      <c r="H282" s="624">
        <v>1</v>
      </c>
      <c r="I282" s="101">
        <v>20000</v>
      </c>
      <c r="J282" s="110">
        <v>20000</v>
      </c>
    </row>
    <row r="283" spans="1:11" ht="30" hidden="1" customHeight="1" x14ac:dyDescent="0.3">
      <c r="A283" s="624">
        <v>5</v>
      </c>
      <c r="B283" s="1143"/>
      <c r="C283" s="1143"/>
      <c r="D283" s="1143"/>
      <c r="E283" s="1116"/>
      <c r="F283" s="1117"/>
      <c r="G283" s="624"/>
      <c r="H283" s="624"/>
      <c r="I283" s="101"/>
      <c r="J283" s="110"/>
    </row>
    <row r="284" spans="1:11" ht="30" hidden="1" customHeight="1" x14ac:dyDescent="0.3">
      <c r="A284" s="618" t="s">
        <v>86</v>
      </c>
      <c r="B284" s="1125" t="s">
        <v>356</v>
      </c>
      <c r="C284" s="1126"/>
      <c r="D284" s="1127"/>
      <c r="E284" s="1128" t="s">
        <v>74</v>
      </c>
      <c r="F284" s="1129"/>
      <c r="G284" s="155" t="s">
        <v>74</v>
      </c>
      <c r="H284" s="155" t="s">
        <v>74</v>
      </c>
      <c r="I284" s="359" t="s">
        <v>74</v>
      </c>
      <c r="J284" s="363">
        <f>J285+J286</f>
        <v>0</v>
      </c>
      <c r="K284" s="1" t="s">
        <v>533</v>
      </c>
    </row>
    <row r="285" spans="1:11" ht="30" hidden="1" customHeight="1" x14ac:dyDescent="0.3">
      <c r="A285" s="576" t="s">
        <v>528</v>
      </c>
      <c r="B285" s="809"/>
      <c r="C285" s="810"/>
      <c r="D285" s="811"/>
      <c r="E285" s="858"/>
      <c r="F285" s="859"/>
      <c r="G285" s="590"/>
      <c r="H285" s="590"/>
      <c r="I285" s="234"/>
      <c r="J285" s="639"/>
    </row>
    <row r="286" spans="1:11" ht="30" hidden="1" customHeight="1" x14ac:dyDescent="0.3">
      <c r="A286" s="576" t="s">
        <v>529</v>
      </c>
      <c r="B286" s="809"/>
      <c r="C286" s="810"/>
      <c r="D286" s="811"/>
      <c r="E286" s="584"/>
      <c r="F286" s="585"/>
      <c r="G286" s="590"/>
      <c r="H286" s="590"/>
      <c r="I286" s="234"/>
      <c r="J286" s="639"/>
    </row>
    <row r="287" spans="1:11" ht="55.5" hidden="1" customHeight="1" x14ac:dyDescent="0.3">
      <c r="A287" s="618" t="s">
        <v>87</v>
      </c>
      <c r="B287" s="1125" t="s">
        <v>530</v>
      </c>
      <c r="C287" s="1126"/>
      <c r="D287" s="1127"/>
      <c r="E287" s="1128" t="s">
        <v>74</v>
      </c>
      <c r="F287" s="1129"/>
      <c r="G287" s="155" t="s">
        <v>74</v>
      </c>
      <c r="H287" s="155" t="s">
        <v>74</v>
      </c>
      <c r="I287" s="359" t="s">
        <v>74</v>
      </c>
      <c r="J287" s="238">
        <f>J288</f>
        <v>0</v>
      </c>
    </row>
    <row r="288" spans="1:11" ht="30" hidden="1" customHeight="1" x14ac:dyDescent="0.3">
      <c r="A288" s="576" t="s">
        <v>531</v>
      </c>
      <c r="B288" s="809"/>
      <c r="C288" s="810"/>
      <c r="D288" s="811"/>
      <c r="E288" s="858"/>
      <c r="F288" s="859"/>
      <c r="G288" s="590"/>
      <c r="H288" s="590"/>
      <c r="I288" s="234"/>
      <c r="J288" s="237"/>
    </row>
    <row r="289" spans="1:11" ht="54.75" hidden="1" customHeight="1" x14ac:dyDescent="0.3">
      <c r="A289" s="618" t="s">
        <v>97</v>
      </c>
      <c r="B289" s="1125" t="s">
        <v>534</v>
      </c>
      <c r="C289" s="1126"/>
      <c r="D289" s="1127"/>
      <c r="E289" s="1128" t="s">
        <v>74</v>
      </c>
      <c r="F289" s="1129"/>
      <c r="G289" s="155" t="s">
        <v>74</v>
      </c>
      <c r="H289" s="155" t="s">
        <v>74</v>
      </c>
      <c r="I289" s="359" t="s">
        <v>74</v>
      </c>
      <c r="J289" s="238">
        <f>J290+J291+J292+J293</f>
        <v>0</v>
      </c>
    </row>
    <row r="290" spans="1:11" ht="30" hidden="1" customHeight="1" x14ac:dyDescent="0.3">
      <c r="A290" s="576" t="s">
        <v>535</v>
      </c>
      <c r="B290" s="999"/>
      <c r="C290" s="1000"/>
      <c r="D290" s="1001"/>
      <c r="E290" s="858"/>
      <c r="F290" s="859"/>
      <c r="G290" s="590"/>
      <c r="H290" s="590"/>
      <c r="I290" s="234"/>
      <c r="J290" s="639"/>
    </row>
    <row r="291" spans="1:11" ht="30" hidden="1" customHeight="1" x14ac:dyDescent="0.3">
      <c r="A291" s="576" t="s">
        <v>536</v>
      </c>
      <c r="B291" s="999"/>
      <c r="C291" s="1000"/>
      <c r="D291" s="1001"/>
      <c r="E291" s="858"/>
      <c r="F291" s="859"/>
      <c r="G291" s="590"/>
      <c r="H291" s="590"/>
      <c r="I291" s="234"/>
      <c r="J291" s="639"/>
    </row>
    <row r="292" spans="1:11" ht="30" hidden="1" customHeight="1" x14ac:dyDescent="0.3">
      <c r="A292" s="576" t="s">
        <v>537</v>
      </c>
      <c r="B292" s="999"/>
      <c r="C292" s="1000"/>
      <c r="D292" s="1001"/>
      <c r="E292" s="858"/>
      <c r="F292" s="859"/>
      <c r="G292" s="590"/>
      <c r="H292" s="590"/>
      <c r="I292" s="234"/>
      <c r="J292" s="639"/>
    </row>
    <row r="293" spans="1:11" ht="30" hidden="1" customHeight="1" x14ac:dyDescent="0.3">
      <c r="A293" s="576" t="s">
        <v>538</v>
      </c>
      <c r="B293" s="1151"/>
      <c r="C293" s="1151"/>
      <c r="D293" s="1151"/>
      <c r="E293" s="1116"/>
      <c r="F293" s="1117"/>
      <c r="G293" s="624"/>
      <c r="H293" s="624"/>
      <c r="I293" s="101"/>
      <c r="J293" s="110"/>
    </row>
    <row r="294" spans="1:11" ht="30" customHeight="1" x14ac:dyDescent="0.3">
      <c r="A294" s="448"/>
      <c r="B294" s="1164" t="s">
        <v>332</v>
      </c>
      <c r="C294" s="1164"/>
      <c r="D294" s="1164"/>
      <c r="E294" s="1165" t="s">
        <v>14</v>
      </c>
      <c r="F294" s="1166"/>
      <c r="G294" s="1167">
        <f>J272+J274+J275+J276+J277+J282</f>
        <v>78000</v>
      </c>
      <c r="H294" s="1168"/>
      <c r="I294" s="1168"/>
      <c r="J294" s="1168"/>
    </row>
    <row r="295" spans="1:11" ht="30" hidden="1" customHeight="1" x14ac:dyDescent="0.3">
      <c r="A295" s="893" t="s">
        <v>382</v>
      </c>
      <c r="B295" s="893"/>
      <c r="C295" s="893"/>
      <c r="D295" s="893"/>
      <c r="E295" s="893"/>
      <c r="F295" s="893"/>
      <c r="G295" s="893"/>
      <c r="H295" s="893"/>
      <c r="I295" s="893"/>
      <c r="J295" s="893"/>
    </row>
    <row r="296" spans="1:11" ht="30" hidden="1" customHeight="1" x14ac:dyDescent="0.3">
      <c r="A296" s="623" t="s">
        <v>1</v>
      </c>
      <c r="B296" s="1110" t="s">
        <v>44</v>
      </c>
      <c r="C296" s="1110"/>
      <c r="D296" s="1110"/>
      <c r="E296" s="1110" t="s">
        <v>58</v>
      </c>
      <c r="F296" s="1110"/>
      <c r="G296" s="1139" t="s">
        <v>66</v>
      </c>
      <c r="H296" s="1140"/>
      <c r="I296" s="1110" t="s">
        <v>60</v>
      </c>
      <c r="J296" s="1110"/>
    </row>
    <row r="297" spans="1:11" ht="18" hidden="1" customHeight="1" x14ac:dyDescent="0.3">
      <c r="A297" s="623">
        <v>1</v>
      </c>
      <c r="B297" s="1110">
        <v>2</v>
      </c>
      <c r="C297" s="1110"/>
      <c r="D297" s="1110"/>
      <c r="E297" s="1110">
        <v>3</v>
      </c>
      <c r="F297" s="1110"/>
      <c r="G297" s="1110">
        <v>4</v>
      </c>
      <c r="H297" s="1110"/>
      <c r="I297" s="1110">
        <v>5</v>
      </c>
      <c r="J297" s="1110"/>
    </row>
    <row r="298" spans="1:11" ht="36.75" hidden="1" customHeight="1" x14ac:dyDescent="0.3">
      <c r="A298" s="1118"/>
      <c r="B298" s="1119"/>
      <c r="C298" s="1119"/>
      <c r="D298" s="1119"/>
      <c r="E298" s="1119"/>
      <c r="F298" s="1119"/>
      <c r="G298" s="1119"/>
      <c r="H298" s="1119"/>
      <c r="I298" s="1119"/>
      <c r="J298" s="1120"/>
    </row>
    <row r="299" spans="1:11" ht="36.75" hidden="1" customHeight="1" x14ac:dyDescent="0.3">
      <c r="A299" s="602">
        <v>1</v>
      </c>
      <c r="B299" s="854"/>
      <c r="C299" s="854"/>
      <c r="D299" s="854"/>
      <c r="E299" s="1141"/>
      <c r="F299" s="1142"/>
      <c r="G299" s="1134"/>
      <c r="H299" s="1135"/>
      <c r="I299" s="1134"/>
      <c r="J299" s="1135"/>
      <c r="K299" s="1">
        <v>57077</v>
      </c>
    </row>
    <row r="300" spans="1:11" ht="36.75" hidden="1" customHeight="1" x14ac:dyDescent="0.3">
      <c r="A300" s="602">
        <v>2</v>
      </c>
      <c r="B300" s="854"/>
      <c r="C300" s="854"/>
      <c r="D300" s="854"/>
      <c r="E300" s="1141"/>
      <c r="F300" s="1142"/>
      <c r="G300" s="1134"/>
      <c r="H300" s="1135"/>
      <c r="I300" s="1134"/>
      <c r="J300" s="1135"/>
      <c r="K300" s="1">
        <v>50925</v>
      </c>
    </row>
    <row r="301" spans="1:11" s="287" customFormat="1" ht="36.75" hidden="1" customHeight="1" x14ac:dyDescent="0.3">
      <c r="A301" s="638">
        <v>3</v>
      </c>
      <c r="B301" s="999"/>
      <c r="C301" s="1000"/>
      <c r="D301" s="1001"/>
      <c r="E301" s="1132"/>
      <c r="F301" s="1133"/>
      <c r="G301" s="1146"/>
      <c r="H301" s="1147"/>
      <c r="I301" s="1144"/>
      <c r="J301" s="1145"/>
    </row>
    <row r="302" spans="1:11" ht="30" hidden="1" customHeight="1" x14ac:dyDescent="0.3">
      <c r="A302" s="624"/>
      <c r="B302" s="1116"/>
      <c r="C302" s="1212"/>
      <c r="D302" s="1117"/>
      <c r="E302" s="1213"/>
      <c r="F302" s="1213"/>
      <c r="G302" s="1213"/>
      <c r="H302" s="1213"/>
      <c r="I302" s="1134"/>
      <c r="J302" s="1135"/>
    </row>
    <row r="303" spans="1:11" ht="30" hidden="1" customHeight="1" x14ac:dyDescent="0.3">
      <c r="A303" s="620"/>
      <c r="B303" s="1098" t="s">
        <v>13</v>
      </c>
      <c r="C303" s="1098"/>
      <c r="D303" s="1098"/>
      <c r="E303" s="1090" t="s">
        <v>14</v>
      </c>
      <c r="F303" s="1090"/>
      <c r="G303" s="1090" t="s">
        <v>14</v>
      </c>
      <c r="H303" s="1090"/>
      <c r="I303" s="1203">
        <f>SUM(I299:J302)</f>
        <v>0</v>
      </c>
      <c r="J303" s="1090"/>
    </row>
    <row r="304" spans="1:11" ht="15.75" customHeight="1" x14ac:dyDescent="0.3">
      <c r="A304" s="1214" t="s">
        <v>383</v>
      </c>
      <c r="B304" s="1214"/>
      <c r="C304" s="1214"/>
      <c r="D304" s="1214"/>
      <c r="E304" s="1214"/>
      <c r="F304" s="1214"/>
      <c r="G304" s="1214"/>
      <c r="H304" s="1214"/>
      <c r="I304" s="1214"/>
      <c r="J304" s="1214"/>
    </row>
    <row r="305" spans="1:11" ht="17.25" customHeight="1" x14ac:dyDescent="0.3">
      <c r="A305" s="623" t="s">
        <v>1</v>
      </c>
      <c r="B305" s="1139" t="s">
        <v>15</v>
      </c>
      <c r="C305" s="1210"/>
      <c r="D305" s="1140"/>
      <c r="E305" s="1139" t="s">
        <v>58</v>
      </c>
      <c r="F305" s="1140"/>
      <c r="G305" s="1139" t="s">
        <v>66</v>
      </c>
      <c r="H305" s="1140"/>
      <c r="I305" s="1139" t="s">
        <v>264</v>
      </c>
      <c r="J305" s="1140"/>
    </row>
    <row r="306" spans="1:11" ht="16.5" customHeight="1" x14ac:dyDescent="0.3">
      <c r="A306" s="623">
        <v>1</v>
      </c>
      <c r="B306" s="1139">
        <v>2</v>
      </c>
      <c r="C306" s="1210"/>
      <c r="D306" s="1140"/>
      <c r="E306" s="1139">
        <v>3</v>
      </c>
      <c r="F306" s="1140"/>
      <c r="G306" s="1139">
        <v>4</v>
      </c>
      <c r="H306" s="1140"/>
      <c r="I306" s="1139">
        <v>5</v>
      </c>
      <c r="J306" s="1140"/>
    </row>
    <row r="307" spans="1:11" ht="30" hidden="1" customHeight="1" x14ac:dyDescent="0.3">
      <c r="A307" s="618" t="s">
        <v>70</v>
      </c>
      <c r="B307" s="1125" t="s">
        <v>170</v>
      </c>
      <c r="C307" s="1126"/>
      <c r="D307" s="1127"/>
      <c r="E307" s="102"/>
      <c r="F307" s="102"/>
      <c r="G307" s="1187"/>
      <c r="H307" s="1188"/>
      <c r="I307" s="1211">
        <f>I308</f>
        <v>0</v>
      </c>
      <c r="J307" s="1190"/>
    </row>
    <row r="308" spans="1:11" ht="17.25" hidden="1" customHeight="1" x14ac:dyDescent="0.3">
      <c r="A308" s="624" t="s">
        <v>27</v>
      </c>
      <c r="B308" s="1104" t="s">
        <v>334</v>
      </c>
      <c r="C308" s="1105"/>
      <c r="D308" s="1106"/>
      <c r="E308" s="356" t="s">
        <v>307</v>
      </c>
      <c r="F308" s="356">
        <v>4</v>
      </c>
      <c r="G308" s="1192" t="s">
        <v>260</v>
      </c>
      <c r="H308" s="1193"/>
      <c r="I308" s="1204"/>
      <c r="J308" s="1109"/>
    </row>
    <row r="309" spans="1:11" ht="35.25" customHeight="1" x14ac:dyDescent="0.3">
      <c r="A309" s="1118" t="s">
        <v>993</v>
      </c>
      <c r="B309" s="1119"/>
      <c r="C309" s="1119"/>
      <c r="D309" s="1119"/>
      <c r="E309" s="1119"/>
      <c r="F309" s="1119"/>
      <c r="G309" s="1119"/>
      <c r="H309" s="1119"/>
      <c r="I309" s="1119"/>
      <c r="J309" s="1120"/>
    </row>
    <row r="310" spans="1:11" ht="17.25" customHeight="1" x14ac:dyDescent="0.3">
      <c r="A310" s="624">
        <v>1</v>
      </c>
      <c r="B310" s="854" t="s">
        <v>912</v>
      </c>
      <c r="C310" s="854"/>
      <c r="D310" s="854"/>
      <c r="E310" s="1141">
        <v>1</v>
      </c>
      <c r="F310" s="1142"/>
      <c r="G310" s="1134">
        <v>12230</v>
      </c>
      <c r="H310" s="1135"/>
      <c r="I310" s="1134">
        <f>E310*G310</f>
        <v>12230</v>
      </c>
      <c r="J310" s="1135"/>
    </row>
    <row r="311" spans="1:11" ht="17.25" customHeight="1" x14ac:dyDescent="0.3">
      <c r="A311" s="604">
        <v>2</v>
      </c>
      <c r="B311" s="854" t="s">
        <v>913</v>
      </c>
      <c r="C311" s="854"/>
      <c r="D311" s="854"/>
      <c r="E311" s="1141">
        <v>1</v>
      </c>
      <c r="F311" s="1142"/>
      <c r="G311" s="1134">
        <v>2770</v>
      </c>
      <c r="H311" s="1135"/>
      <c r="I311" s="1134">
        <f t="shared" ref="I311" si="16">E311*G311</f>
        <v>2770</v>
      </c>
      <c r="J311" s="1135"/>
    </row>
    <row r="312" spans="1:11" ht="51" hidden="1" customHeight="1" x14ac:dyDescent="0.3">
      <c r="A312" s="1112" t="s">
        <v>582</v>
      </c>
      <c r="B312" s="1113"/>
      <c r="C312" s="1113"/>
      <c r="D312" s="1113"/>
      <c r="E312" s="1113"/>
      <c r="F312" s="1113"/>
      <c r="G312" s="1113"/>
      <c r="H312" s="1113"/>
      <c r="I312" s="1113"/>
      <c r="J312" s="1114"/>
    </row>
    <row r="313" spans="1:11" s="41" customFormat="1" ht="30" hidden="1" customHeight="1" x14ac:dyDescent="0.3">
      <c r="A313" s="624">
        <v>1</v>
      </c>
      <c r="B313" s="1205" t="s">
        <v>583</v>
      </c>
      <c r="C313" s="1206"/>
      <c r="D313" s="1207"/>
      <c r="E313" s="356" t="s">
        <v>543</v>
      </c>
      <c r="F313" s="628">
        <v>33</v>
      </c>
      <c r="G313" s="1192" t="s">
        <v>74</v>
      </c>
      <c r="H313" s="1193"/>
      <c r="I313" s="1208"/>
      <c r="J313" s="1209"/>
    </row>
    <row r="314" spans="1:11" s="41" customFormat="1" ht="72.75" hidden="1" customHeight="1" x14ac:dyDescent="0.3">
      <c r="A314" s="1136" t="s">
        <v>640</v>
      </c>
      <c r="B314" s="1137"/>
      <c r="C314" s="1137"/>
      <c r="D314" s="1137"/>
      <c r="E314" s="1137"/>
      <c r="F314" s="1137"/>
      <c r="G314" s="1137"/>
      <c r="H314" s="1137"/>
      <c r="I314" s="1137"/>
      <c r="J314" s="1138"/>
    </row>
    <row r="315" spans="1:11" s="41" customFormat="1" ht="62.25" hidden="1" customHeight="1" x14ac:dyDescent="0.3">
      <c r="A315" s="624">
        <v>1</v>
      </c>
      <c r="B315" s="999" t="s">
        <v>622</v>
      </c>
      <c r="C315" s="1000"/>
      <c r="D315" s="1001"/>
      <c r="E315" s="356" t="s">
        <v>543</v>
      </c>
      <c r="F315" s="157">
        <v>33</v>
      </c>
      <c r="G315" s="1192" t="s">
        <v>74</v>
      </c>
      <c r="H315" s="1193"/>
      <c r="I315" s="1375"/>
      <c r="J315" s="1376"/>
    </row>
    <row r="316" spans="1:11" ht="30" hidden="1" customHeight="1" x14ac:dyDescent="0.3">
      <c r="A316" s="624"/>
      <c r="B316" s="999"/>
      <c r="C316" s="1000"/>
      <c r="D316" s="1001"/>
      <c r="E316" s="356" t="s">
        <v>543</v>
      </c>
      <c r="F316" s="157">
        <v>33</v>
      </c>
      <c r="G316" s="1192" t="s">
        <v>74</v>
      </c>
      <c r="H316" s="1193"/>
      <c r="I316" s="1377">
        <v>0</v>
      </c>
      <c r="J316" s="1378"/>
    </row>
    <row r="317" spans="1:11" ht="77.25" hidden="1" customHeight="1" x14ac:dyDescent="0.3">
      <c r="A317" s="1092" t="s">
        <v>641</v>
      </c>
      <c r="B317" s="1093"/>
      <c r="C317" s="1093"/>
      <c r="D317" s="1093"/>
      <c r="E317" s="1093"/>
      <c r="F317" s="1093"/>
      <c r="G317" s="1093"/>
      <c r="H317" s="1093"/>
      <c r="I317" s="1093"/>
      <c r="J317" s="1094"/>
    </row>
    <row r="318" spans="1:11" s="41" customFormat="1" ht="30" hidden="1" customHeight="1" x14ac:dyDescent="0.3">
      <c r="A318" s="624">
        <v>1</v>
      </c>
      <c r="B318" s="999" t="s">
        <v>618</v>
      </c>
      <c r="C318" s="1000"/>
      <c r="D318" s="1001"/>
      <c r="E318" s="356" t="s">
        <v>308</v>
      </c>
      <c r="F318" s="628"/>
      <c r="G318" s="1107" t="s">
        <v>260</v>
      </c>
      <c r="H318" s="1107"/>
      <c r="I318" s="1102">
        <v>0</v>
      </c>
      <c r="J318" s="1103"/>
    </row>
    <row r="319" spans="1:11" ht="30" hidden="1" customHeight="1" x14ac:dyDescent="0.3">
      <c r="A319" s="624">
        <v>2</v>
      </c>
      <c r="B319" s="1143" t="s">
        <v>195</v>
      </c>
      <c r="C319" s="1143"/>
      <c r="D319" s="1143"/>
      <c r="E319" s="356" t="s">
        <v>308</v>
      </c>
      <c r="F319" s="628"/>
      <c r="G319" s="1107" t="s">
        <v>260</v>
      </c>
      <c r="H319" s="1107"/>
      <c r="I319" s="1102">
        <v>0</v>
      </c>
      <c r="J319" s="1103"/>
      <c r="K319" s="15"/>
    </row>
    <row r="320" spans="1:11" ht="30" hidden="1" customHeight="1" x14ac:dyDescent="0.3">
      <c r="A320" s="624">
        <v>3</v>
      </c>
      <c r="B320" s="1143" t="s">
        <v>82</v>
      </c>
      <c r="C320" s="1143"/>
      <c r="D320" s="1143"/>
      <c r="E320" s="356" t="s">
        <v>308</v>
      </c>
      <c r="F320" s="628"/>
      <c r="G320" s="1107" t="s">
        <v>260</v>
      </c>
      <c r="H320" s="1107"/>
      <c r="I320" s="1102">
        <v>0</v>
      </c>
      <c r="J320" s="1103"/>
      <c r="K320" s="14"/>
    </row>
    <row r="321" spans="1:12" ht="30" hidden="1" customHeight="1" x14ac:dyDescent="0.3">
      <c r="A321" s="104"/>
      <c r="B321" s="1191"/>
      <c r="C321" s="1191"/>
      <c r="D321" s="1191"/>
      <c r="E321" s="356"/>
      <c r="F321" s="628"/>
      <c r="G321" s="1107"/>
      <c r="H321" s="1107"/>
      <c r="I321" s="1102"/>
      <c r="J321" s="1103"/>
    </row>
    <row r="322" spans="1:12" ht="17.25" customHeight="1" x14ac:dyDescent="0.3">
      <c r="A322" s="624"/>
      <c r="B322" s="1098" t="s">
        <v>13</v>
      </c>
      <c r="C322" s="1098"/>
      <c r="D322" s="1098"/>
      <c r="E322" s="1201" t="s">
        <v>74</v>
      </c>
      <c r="F322" s="1202"/>
      <c r="G322" s="1090" t="s">
        <v>14</v>
      </c>
      <c r="H322" s="1090"/>
      <c r="I322" s="1203">
        <f>I313+I318+I319+I320+I315+I310+I311</f>
        <v>15000</v>
      </c>
      <c r="J322" s="1203"/>
    </row>
    <row r="323" spans="1:12" ht="21.75" customHeight="1" x14ac:dyDescent="0.3">
      <c r="A323" s="1200" t="s">
        <v>384</v>
      </c>
      <c r="B323" s="1200"/>
      <c r="C323" s="1200"/>
      <c r="D323" s="1200"/>
      <c r="E323" s="1200"/>
      <c r="F323" s="1200"/>
      <c r="G323" s="1200"/>
      <c r="H323" s="1200"/>
      <c r="I323" s="1200"/>
      <c r="J323" s="1200"/>
    </row>
    <row r="324" spans="1:12" ht="21.75" hidden="1" customHeight="1" x14ac:dyDescent="0.3">
      <c r="A324" s="1196" t="s">
        <v>545</v>
      </c>
      <c r="B324" s="1196"/>
      <c r="C324" s="1196"/>
      <c r="D324" s="1196"/>
      <c r="E324" s="1196"/>
      <c r="F324" s="1196"/>
      <c r="G324" s="1196"/>
      <c r="H324" s="1196"/>
      <c r="I324" s="1196"/>
      <c r="J324" s="1196"/>
    </row>
    <row r="325" spans="1:12" ht="21.75" hidden="1" customHeight="1" x14ac:dyDescent="0.3">
      <c r="A325" s="623" t="s">
        <v>1</v>
      </c>
      <c r="B325" s="1110" t="s">
        <v>15</v>
      </c>
      <c r="C325" s="1110"/>
      <c r="D325" s="1110"/>
      <c r="E325" s="1110" t="s">
        <v>58</v>
      </c>
      <c r="F325" s="1110"/>
      <c r="G325" s="1110" t="s">
        <v>66</v>
      </c>
      <c r="H325" s="1110"/>
      <c r="I325" s="1110" t="s">
        <v>264</v>
      </c>
      <c r="J325" s="1110"/>
    </row>
    <row r="326" spans="1:12" ht="21.75" hidden="1" customHeight="1" x14ac:dyDescent="0.3">
      <c r="A326" s="623">
        <v>1</v>
      </c>
      <c r="B326" s="1110">
        <v>2</v>
      </c>
      <c r="C326" s="1110"/>
      <c r="D326" s="1110"/>
      <c r="E326" s="1110">
        <v>3</v>
      </c>
      <c r="F326" s="1110"/>
      <c r="G326" s="1110">
        <v>4</v>
      </c>
      <c r="H326" s="1110"/>
      <c r="I326" s="1110">
        <v>5</v>
      </c>
      <c r="J326" s="1110"/>
    </row>
    <row r="327" spans="1:12" ht="63.75" hidden="1" customHeight="1" x14ac:dyDescent="0.3">
      <c r="A327" s="1092" t="s">
        <v>641</v>
      </c>
      <c r="B327" s="1093"/>
      <c r="C327" s="1093"/>
      <c r="D327" s="1093"/>
      <c r="E327" s="1093"/>
      <c r="F327" s="1093"/>
      <c r="G327" s="1093"/>
      <c r="H327" s="1093"/>
      <c r="I327" s="1093"/>
      <c r="J327" s="1094"/>
    </row>
    <row r="328" spans="1:12" ht="39.75" hidden="1" customHeight="1" x14ac:dyDescent="0.3">
      <c r="A328" s="618" t="s">
        <v>70</v>
      </c>
      <c r="B328" s="1125" t="s">
        <v>172</v>
      </c>
      <c r="C328" s="1126"/>
      <c r="D328" s="1127"/>
      <c r="E328" s="102"/>
      <c r="F328" s="102"/>
      <c r="G328" s="1187"/>
      <c r="H328" s="1188"/>
      <c r="I328" s="1189">
        <f>SUM(I329:J331)</f>
        <v>0</v>
      </c>
      <c r="J328" s="1190"/>
    </row>
    <row r="329" spans="1:12" ht="22.5" hidden="1" customHeight="1" x14ac:dyDescent="0.3">
      <c r="A329" s="624"/>
      <c r="B329" s="999" t="s">
        <v>618</v>
      </c>
      <c r="C329" s="1000"/>
      <c r="D329" s="1001"/>
      <c r="E329" s="356" t="s">
        <v>308</v>
      </c>
      <c r="F329" s="648"/>
      <c r="G329" s="1107" t="s">
        <v>260</v>
      </c>
      <c r="H329" s="1107"/>
      <c r="I329" s="1073">
        <v>0</v>
      </c>
      <c r="J329" s="1099"/>
    </row>
    <row r="330" spans="1:12" ht="22.5" hidden="1" customHeight="1" x14ac:dyDescent="0.3">
      <c r="A330" s="104"/>
      <c r="B330" s="1143" t="s">
        <v>195</v>
      </c>
      <c r="C330" s="1143"/>
      <c r="D330" s="1143"/>
      <c r="E330" s="356" t="s">
        <v>308</v>
      </c>
      <c r="F330" s="628"/>
      <c r="G330" s="1107" t="s">
        <v>260</v>
      </c>
      <c r="H330" s="1107"/>
      <c r="I330" s="1102">
        <v>0</v>
      </c>
      <c r="J330" s="1103"/>
    </row>
    <row r="331" spans="1:12" ht="21.75" hidden="1" customHeight="1" x14ac:dyDescent="0.3">
      <c r="A331" s="104"/>
      <c r="B331" s="1197" t="s">
        <v>82</v>
      </c>
      <c r="C331" s="1198"/>
      <c r="D331" s="1199"/>
      <c r="E331" s="356" t="s">
        <v>308</v>
      </c>
      <c r="F331" s="147"/>
      <c r="G331" s="1107" t="s">
        <v>260</v>
      </c>
      <c r="H331" s="1107"/>
      <c r="I331" s="1108">
        <v>0</v>
      </c>
      <c r="J331" s="1109"/>
    </row>
    <row r="332" spans="1:12" ht="21.75" hidden="1" customHeight="1" x14ac:dyDescent="0.3">
      <c r="A332" s="624"/>
      <c r="B332" s="1098" t="s">
        <v>13</v>
      </c>
      <c r="C332" s="1098"/>
      <c r="D332" s="1098"/>
      <c r="E332" s="1123" t="s">
        <v>74</v>
      </c>
      <c r="F332" s="1124"/>
      <c r="G332" s="1090" t="s">
        <v>14</v>
      </c>
      <c r="H332" s="1090"/>
      <c r="I332" s="1101">
        <f>I328</f>
        <v>0</v>
      </c>
      <c r="J332" s="1090"/>
    </row>
    <row r="333" spans="1:12" ht="15.6" hidden="1" x14ac:dyDescent="0.3">
      <c r="A333" s="1196" t="s">
        <v>546</v>
      </c>
      <c r="B333" s="1196"/>
      <c r="C333" s="1196"/>
      <c r="D333" s="1196"/>
      <c r="E333" s="1196"/>
      <c r="F333" s="1196"/>
      <c r="G333" s="1196"/>
      <c r="H333" s="1196"/>
      <c r="I333" s="1196"/>
      <c r="J333" s="1196"/>
    </row>
    <row r="334" spans="1:12" ht="15" hidden="1" customHeight="1" x14ac:dyDescent="0.3">
      <c r="A334" s="623" t="s">
        <v>1</v>
      </c>
      <c r="B334" s="1110" t="s">
        <v>15</v>
      </c>
      <c r="C334" s="1110"/>
      <c r="D334" s="1110"/>
      <c r="E334" s="1110" t="s">
        <v>58</v>
      </c>
      <c r="F334" s="1110"/>
      <c r="G334" s="1110" t="s">
        <v>66</v>
      </c>
      <c r="H334" s="1110"/>
      <c r="I334" s="1110" t="s">
        <v>264</v>
      </c>
      <c r="J334" s="1110"/>
    </row>
    <row r="335" spans="1:12" hidden="1" x14ac:dyDescent="0.3">
      <c r="A335" s="623">
        <v>1</v>
      </c>
      <c r="B335" s="1110">
        <v>2</v>
      </c>
      <c r="C335" s="1110"/>
      <c r="D335" s="1110"/>
      <c r="E335" s="1110">
        <v>3</v>
      </c>
      <c r="F335" s="1110"/>
      <c r="G335" s="1110">
        <v>4</v>
      </c>
      <c r="H335" s="1110"/>
      <c r="I335" s="1110">
        <v>5</v>
      </c>
      <c r="J335" s="1110"/>
    </row>
    <row r="336" spans="1:12" ht="47.25" hidden="1" customHeight="1" x14ac:dyDescent="0.3">
      <c r="A336" s="1118" t="s">
        <v>578</v>
      </c>
      <c r="B336" s="1119"/>
      <c r="C336" s="1119"/>
      <c r="D336" s="1119"/>
      <c r="E336" s="1119"/>
      <c r="F336" s="1119"/>
      <c r="G336" s="1119"/>
      <c r="H336" s="1119"/>
      <c r="I336" s="1119"/>
      <c r="J336" s="1120"/>
      <c r="K336" s="148"/>
      <c r="L336" s="149"/>
    </row>
    <row r="337" spans="1:12" ht="37.5" hidden="1" customHeight="1" x14ac:dyDescent="0.3">
      <c r="A337" s="624">
        <v>1</v>
      </c>
      <c r="B337" s="1115" t="s">
        <v>584</v>
      </c>
      <c r="C337" s="1115"/>
      <c r="D337" s="1115"/>
      <c r="E337" s="356" t="s">
        <v>308</v>
      </c>
      <c r="F337" s="628"/>
      <c r="G337" s="1107" t="s">
        <v>260</v>
      </c>
      <c r="H337" s="1107"/>
      <c r="I337" s="1102">
        <f>3300-3300</f>
        <v>0</v>
      </c>
      <c r="J337" s="1103"/>
      <c r="K337" s="148"/>
      <c r="L337" s="149"/>
    </row>
    <row r="338" spans="1:12" hidden="1" x14ac:dyDescent="0.3">
      <c r="A338" s="104"/>
      <c r="B338" s="1104"/>
      <c r="C338" s="1105"/>
      <c r="D338" s="1106"/>
      <c r="E338" s="356"/>
      <c r="F338" s="147"/>
      <c r="G338" s="1107"/>
      <c r="H338" s="1107"/>
      <c r="I338" s="1108"/>
      <c r="J338" s="1109"/>
    </row>
    <row r="339" spans="1:12" s="45" customFormat="1" ht="15" hidden="1" customHeight="1" x14ac:dyDescent="0.3">
      <c r="A339" s="624"/>
      <c r="B339" s="1098" t="s">
        <v>13</v>
      </c>
      <c r="C339" s="1098"/>
      <c r="D339" s="1098"/>
      <c r="E339" s="1123" t="s">
        <v>74</v>
      </c>
      <c r="F339" s="1124"/>
      <c r="G339" s="1090" t="s">
        <v>14</v>
      </c>
      <c r="H339" s="1090"/>
      <c r="I339" s="1101">
        <f>I337+I338</f>
        <v>0</v>
      </c>
      <c r="J339" s="1090"/>
    </row>
    <row r="340" spans="1:12" s="45" customFormat="1" ht="15" hidden="1" customHeight="1" x14ac:dyDescent="0.3">
      <c r="A340" s="1196" t="s">
        <v>547</v>
      </c>
      <c r="B340" s="1196"/>
      <c r="C340" s="1196"/>
      <c r="D340" s="1196"/>
      <c r="E340" s="1196"/>
      <c r="F340" s="1196"/>
      <c r="G340" s="1196"/>
      <c r="H340" s="1196"/>
      <c r="I340" s="1196"/>
      <c r="J340" s="1196"/>
    </row>
    <row r="341" spans="1:12" s="45" customFormat="1" ht="15" hidden="1" customHeight="1" x14ac:dyDescent="0.3">
      <c r="A341" s="623" t="s">
        <v>1</v>
      </c>
      <c r="B341" s="1110" t="s">
        <v>15</v>
      </c>
      <c r="C341" s="1110"/>
      <c r="D341" s="1110"/>
      <c r="E341" s="1110" t="s">
        <v>58</v>
      </c>
      <c r="F341" s="1110"/>
      <c r="G341" s="1110" t="s">
        <v>66</v>
      </c>
      <c r="H341" s="1110"/>
      <c r="I341" s="1110" t="s">
        <v>264</v>
      </c>
      <c r="J341" s="1110"/>
    </row>
    <row r="342" spans="1:12" s="45" customFormat="1" ht="15" hidden="1" customHeight="1" x14ac:dyDescent="0.3">
      <c r="A342" s="623">
        <v>1</v>
      </c>
      <c r="B342" s="1110">
        <v>2</v>
      </c>
      <c r="C342" s="1110"/>
      <c r="D342" s="1110"/>
      <c r="E342" s="1110">
        <v>3</v>
      </c>
      <c r="F342" s="1110"/>
      <c r="G342" s="1110">
        <v>4</v>
      </c>
      <c r="H342" s="1110"/>
      <c r="I342" s="1110">
        <v>5</v>
      </c>
      <c r="J342" s="1110"/>
    </row>
    <row r="343" spans="1:12" s="45" customFormat="1" ht="39.75" hidden="1" customHeight="1" x14ac:dyDescent="0.3">
      <c r="A343" s="618" t="s">
        <v>70</v>
      </c>
      <c r="B343" s="1125" t="s">
        <v>172</v>
      </c>
      <c r="C343" s="1126"/>
      <c r="D343" s="1127"/>
      <c r="E343" s="102"/>
      <c r="F343" s="102"/>
      <c r="G343" s="1187"/>
      <c r="H343" s="1188"/>
      <c r="I343" s="1189">
        <f>SUM(I344:J345)</f>
        <v>0</v>
      </c>
      <c r="J343" s="1190"/>
    </row>
    <row r="344" spans="1:12" s="45" customFormat="1" ht="15" hidden="1" customHeight="1" x14ac:dyDescent="0.3">
      <c r="A344" s="624" t="s">
        <v>27</v>
      </c>
      <c r="B344" s="1191" t="s">
        <v>549</v>
      </c>
      <c r="C344" s="1191"/>
      <c r="D344" s="1191"/>
      <c r="E344" s="356"/>
      <c r="F344" s="628"/>
      <c r="G344" s="1107" t="s">
        <v>260</v>
      </c>
      <c r="H344" s="1107"/>
      <c r="I344" s="1102">
        <v>0</v>
      </c>
      <c r="J344" s="1103"/>
    </row>
    <row r="345" spans="1:12" s="46" customFormat="1" ht="15" hidden="1" customHeight="1" x14ac:dyDescent="0.3">
      <c r="A345" s="104" t="s">
        <v>27</v>
      </c>
      <c r="B345" s="1104"/>
      <c r="C345" s="1105"/>
      <c r="D345" s="1106"/>
      <c r="E345" s="356"/>
      <c r="F345" s="147"/>
      <c r="G345" s="1107"/>
      <c r="H345" s="1107"/>
      <c r="I345" s="1108"/>
      <c r="J345" s="1109"/>
    </row>
    <row r="346" spans="1:12" s="45" customFormat="1" ht="33" hidden="1" customHeight="1" x14ac:dyDescent="0.3">
      <c r="A346" s="624"/>
      <c r="B346" s="1098" t="s">
        <v>13</v>
      </c>
      <c r="C346" s="1098"/>
      <c r="D346" s="1098"/>
      <c r="E346" s="1123" t="s">
        <v>74</v>
      </c>
      <c r="F346" s="1124"/>
      <c r="G346" s="1090" t="s">
        <v>14</v>
      </c>
      <c r="H346" s="1090"/>
      <c r="I346" s="1101">
        <f>I343</f>
        <v>0</v>
      </c>
      <c r="J346" s="1090"/>
    </row>
    <row r="347" spans="1:12" s="46" customFormat="1" ht="15" hidden="1" customHeight="1" x14ac:dyDescent="0.3">
      <c r="A347" s="1196" t="s">
        <v>548</v>
      </c>
      <c r="B347" s="1196"/>
      <c r="C347" s="1196"/>
      <c r="D347" s="1196"/>
      <c r="E347" s="1196"/>
      <c r="F347" s="1196"/>
      <c r="G347" s="1196"/>
      <c r="H347" s="1196"/>
      <c r="I347" s="1196"/>
      <c r="J347" s="1196"/>
    </row>
    <row r="348" spans="1:12" s="46" customFormat="1" ht="15" hidden="1" customHeight="1" x14ac:dyDescent="0.3">
      <c r="A348" s="623" t="s">
        <v>1</v>
      </c>
      <c r="B348" s="1110" t="s">
        <v>15</v>
      </c>
      <c r="C348" s="1110"/>
      <c r="D348" s="1110"/>
      <c r="E348" s="1110" t="s">
        <v>58</v>
      </c>
      <c r="F348" s="1110"/>
      <c r="G348" s="1110" t="s">
        <v>66</v>
      </c>
      <c r="H348" s="1110"/>
      <c r="I348" s="1110" t="s">
        <v>264</v>
      </c>
      <c r="J348" s="1110"/>
    </row>
    <row r="349" spans="1:12" s="46" customFormat="1" ht="15" hidden="1" customHeight="1" x14ac:dyDescent="0.3">
      <c r="A349" s="623">
        <v>1</v>
      </c>
      <c r="B349" s="1110">
        <v>2</v>
      </c>
      <c r="C349" s="1110"/>
      <c r="D349" s="1110"/>
      <c r="E349" s="1110">
        <v>3</v>
      </c>
      <c r="F349" s="1110"/>
      <c r="G349" s="1110">
        <v>4</v>
      </c>
      <c r="H349" s="1110"/>
      <c r="I349" s="1110">
        <v>5</v>
      </c>
      <c r="J349" s="1110"/>
    </row>
    <row r="350" spans="1:12" s="46" customFormat="1" ht="38.25" hidden="1" customHeight="1" x14ac:dyDescent="0.3">
      <c r="A350" s="618" t="s">
        <v>70</v>
      </c>
      <c r="B350" s="1125" t="s">
        <v>172</v>
      </c>
      <c r="C350" s="1126"/>
      <c r="D350" s="1127"/>
      <c r="E350" s="102"/>
      <c r="F350" s="102"/>
      <c r="G350" s="1187"/>
      <c r="H350" s="1188"/>
      <c r="I350" s="1189">
        <f>SUM(I351:J352)</f>
        <v>0</v>
      </c>
      <c r="J350" s="1190"/>
    </row>
    <row r="351" spans="1:12" s="46" customFormat="1" ht="15" hidden="1" customHeight="1" x14ac:dyDescent="0.3">
      <c r="A351" s="624" t="s">
        <v>27</v>
      </c>
      <c r="B351" s="1191"/>
      <c r="C351" s="1191"/>
      <c r="D351" s="1191"/>
      <c r="E351" s="356" t="s">
        <v>308</v>
      </c>
      <c r="F351" s="628"/>
      <c r="G351" s="1107" t="s">
        <v>260</v>
      </c>
      <c r="H351" s="1107"/>
      <c r="I351" s="1102"/>
      <c r="J351" s="1103"/>
    </row>
    <row r="352" spans="1:12" s="46" customFormat="1" ht="15" hidden="1" customHeight="1" x14ac:dyDescent="0.3">
      <c r="A352" s="104" t="s">
        <v>27</v>
      </c>
      <c r="B352" s="1104"/>
      <c r="C352" s="1105"/>
      <c r="D352" s="1106"/>
      <c r="E352" s="356"/>
      <c r="F352" s="147"/>
      <c r="G352" s="1107"/>
      <c r="H352" s="1107"/>
      <c r="I352" s="1108"/>
      <c r="J352" s="1109"/>
    </row>
    <row r="353" spans="1:10" s="46" customFormat="1" ht="15" hidden="1" customHeight="1" x14ac:dyDescent="0.3">
      <c r="A353" s="624"/>
      <c r="B353" s="1098" t="s">
        <v>13</v>
      </c>
      <c r="C353" s="1098"/>
      <c r="D353" s="1098"/>
      <c r="E353" s="1123" t="s">
        <v>74</v>
      </c>
      <c r="F353" s="1124"/>
      <c r="G353" s="1090" t="s">
        <v>14</v>
      </c>
      <c r="H353" s="1090"/>
      <c r="I353" s="1101">
        <f>I350</f>
        <v>0</v>
      </c>
      <c r="J353" s="1090"/>
    </row>
    <row r="354" spans="1:10" s="46" customFormat="1" ht="15" customHeight="1" x14ac:dyDescent="0.3">
      <c r="A354" s="1186" t="s">
        <v>551</v>
      </c>
      <c r="B354" s="1186"/>
      <c r="C354" s="1186"/>
      <c r="D354" s="1186"/>
      <c r="E354" s="1186"/>
      <c r="F354" s="1186"/>
      <c r="G354" s="1186"/>
      <c r="H354" s="1186"/>
      <c r="I354" s="1186"/>
      <c r="J354" s="1186"/>
    </row>
    <row r="355" spans="1:10" s="46" customFormat="1" ht="15" customHeight="1" x14ac:dyDescent="0.3">
      <c r="A355" s="623" t="s">
        <v>1</v>
      </c>
      <c r="B355" s="1110" t="s">
        <v>15</v>
      </c>
      <c r="C355" s="1110"/>
      <c r="D355" s="1110"/>
      <c r="E355" s="1110" t="s">
        <v>58</v>
      </c>
      <c r="F355" s="1110"/>
      <c r="G355" s="1110" t="s">
        <v>66</v>
      </c>
      <c r="H355" s="1110"/>
      <c r="I355" s="1110" t="s">
        <v>264</v>
      </c>
      <c r="J355" s="1110"/>
    </row>
    <row r="356" spans="1:10" s="46" customFormat="1" ht="15" customHeight="1" x14ac:dyDescent="0.3">
      <c r="A356" s="623">
        <v>1</v>
      </c>
      <c r="B356" s="1110">
        <v>2</v>
      </c>
      <c r="C356" s="1110"/>
      <c r="D356" s="1110"/>
      <c r="E356" s="1110">
        <v>3</v>
      </c>
      <c r="F356" s="1110"/>
      <c r="G356" s="1110">
        <v>4</v>
      </c>
      <c r="H356" s="1110"/>
      <c r="I356" s="1110">
        <v>5</v>
      </c>
      <c r="J356" s="1110"/>
    </row>
    <row r="357" spans="1:10" s="46" customFormat="1" ht="36" customHeight="1" x14ac:dyDescent="0.3">
      <c r="A357" s="1118" t="s">
        <v>993</v>
      </c>
      <c r="B357" s="1119"/>
      <c r="C357" s="1119"/>
      <c r="D357" s="1119"/>
      <c r="E357" s="1119"/>
      <c r="F357" s="1119"/>
      <c r="G357" s="1119"/>
      <c r="H357" s="1119"/>
      <c r="I357" s="1119"/>
      <c r="J357" s="1120"/>
    </row>
    <row r="358" spans="1:10" s="46" customFormat="1" ht="15" customHeight="1" x14ac:dyDescent="0.3">
      <c r="A358" s="624">
        <v>1</v>
      </c>
      <c r="B358" s="1115" t="s">
        <v>585</v>
      </c>
      <c r="C358" s="1115"/>
      <c r="D358" s="1115"/>
      <c r="E358" s="356" t="s">
        <v>308</v>
      </c>
      <c r="F358" s="628"/>
      <c r="G358" s="1107" t="s">
        <v>260</v>
      </c>
      <c r="H358" s="1107"/>
      <c r="I358" s="1102">
        <v>15000</v>
      </c>
      <c r="J358" s="1103"/>
    </row>
    <row r="359" spans="1:10" s="46" customFormat="1" ht="15" hidden="1" customHeight="1" x14ac:dyDescent="0.3">
      <c r="A359" s="624">
        <v>2</v>
      </c>
      <c r="B359" s="1095"/>
      <c r="C359" s="1096"/>
      <c r="D359" s="1097"/>
      <c r="E359" s="356" t="s">
        <v>308</v>
      </c>
      <c r="F359" s="642"/>
      <c r="G359" s="1192" t="s">
        <v>260</v>
      </c>
      <c r="H359" s="1193"/>
      <c r="I359" s="1194">
        <v>0</v>
      </c>
      <c r="J359" s="1195"/>
    </row>
    <row r="360" spans="1:10" s="46" customFormat="1" ht="15" customHeight="1" x14ac:dyDescent="0.3">
      <c r="A360" s="104"/>
      <c r="B360" s="1098" t="s">
        <v>13</v>
      </c>
      <c r="C360" s="1098"/>
      <c r="D360" s="1098"/>
      <c r="E360" s="1123" t="s">
        <v>74</v>
      </c>
      <c r="F360" s="1124"/>
      <c r="G360" s="1090" t="s">
        <v>14</v>
      </c>
      <c r="H360" s="1090"/>
      <c r="I360" s="1101">
        <f>I358+I359</f>
        <v>15000</v>
      </c>
      <c r="J360" s="1090"/>
    </row>
    <row r="361" spans="1:10" s="46" customFormat="1" ht="71.25" hidden="1" customHeight="1" x14ac:dyDescent="0.3">
      <c r="A361" s="1092" t="s">
        <v>641</v>
      </c>
      <c r="B361" s="1093"/>
      <c r="C361" s="1093"/>
      <c r="D361" s="1093"/>
      <c r="E361" s="1093"/>
      <c r="F361" s="1093"/>
      <c r="G361" s="1093"/>
      <c r="H361" s="1093"/>
      <c r="I361" s="1093"/>
      <c r="J361" s="1094"/>
    </row>
    <row r="362" spans="1:10" s="46" customFormat="1" ht="15" hidden="1" customHeight="1" x14ac:dyDescent="0.3">
      <c r="A362" s="623"/>
      <c r="B362" s="1095"/>
      <c r="C362" s="1096"/>
      <c r="D362" s="1097"/>
      <c r="E362" s="648"/>
      <c r="F362" s="577"/>
      <c r="G362" s="978"/>
      <c r="H362" s="978"/>
      <c r="I362" s="991"/>
      <c r="J362" s="992"/>
    </row>
    <row r="363" spans="1:10" s="46" customFormat="1" ht="15" hidden="1" customHeight="1" x14ac:dyDescent="0.3">
      <c r="A363" s="623"/>
      <c r="B363" s="1095"/>
      <c r="C363" s="1096"/>
      <c r="D363" s="1097"/>
      <c r="E363" s="648"/>
      <c r="F363" s="577"/>
      <c r="G363" s="568"/>
      <c r="H363" s="569"/>
      <c r="I363" s="1073"/>
      <c r="J363" s="1099"/>
    </row>
    <row r="364" spans="1:10" s="46" customFormat="1" ht="15" hidden="1" customHeight="1" x14ac:dyDescent="0.3">
      <c r="A364" s="623"/>
      <c r="B364" s="1095"/>
      <c r="C364" s="1096"/>
      <c r="D364" s="1097"/>
      <c r="E364" s="648"/>
      <c r="F364" s="577"/>
      <c r="G364" s="568"/>
      <c r="H364" s="569"/>
      <c r="I364" s="1073"/>
      <c r="J364" s="1099"/>
    </row>
    <row r="365" spans="1:10" s="46" customFormat="1" ht="15" hidden="1" customHeight="1" x14ac:dyDescent="0.3">
      <c r="A365" s="623"/>
      <c r="B365" s="1095"/>
      <c r="C365" s="1096"/>
      <c r="D365" s="1097"/>
      <c r="E365" s="648"/>
      <c r="F365" s="577"/>
      <c r="G365" s="568"/>
      <c r="H365" s="569"/>
      <c r="I365" s="1073"/>
      <c r="J365" s="1099"/>
    </row>
    <row r="366" spans="1:10" s="46" customFormat="1" ht="15" hidden="1" customHeight="1" x14ac:dyDescent="0.3">
      <c r="A366" s="104"/>
      <c r="B366" s="1098" t="s">
        <v>13</v>
      </c>
      <c r="C366" s="1098"/>
      <c r="D366" s="1098"/>
      <c r="E366" s="1100" t="s">
        <v>74</v>
      </c>
      <c r="F366" s="1100"/>
      <c r="G366" s="1090" t="s">
        <v>14</v>
      </c>
      <c r="H366" s="1090"/>
      <c r="I366" s="1101">
        <f>I362+I363+I364</f>
        <v>0</v>
      </c>
      <c r="J366" s="1090"/>
    </row>
    <row r="367" spans="1:10" s="46" customFormat="1" ht="15" customHeight="1" x14ac:dyDescent="0.3">
      <c r="A367" s="104"/>
      <c r="B367" s="1090" t="s">
        <v>633</v>
      </c>
      <c r="C367" s="1090"/>
      <c r="D367" s="1090"/>
      <c r="E367" s="1100"/>
      <c r="F367" s="1100"/>
      <c r="G367" s="1090"/>
      <c r="H367" s="1090"/>
      <c r="I367" s="1101">
        <f>I366+I360</f>
        <v>15000</v>
      </c>
      <c r="J367" s="1101"/>
    </row>
    <row r="368" spans="1:10" s="45" customFormat="1" ht="15.6" x14ac:dyDescent="0.3">
      <c r="A368" s="1184" t="s">
        <v>552</v>
      </c>
      <c r="B368" s="1184"/>
      <c r="C368" s="1184"/>
      <c r="D368" s="1184"/>
      <c r="E368" s="1184"/>
      <c r="F368" s="1184"/>
      <c r="G368" s="1184"/>
      <c r="H368" s="1184"/>
      <c r="I368" s="1184"/>
      <c r="J368" s="1184"/>
    </row>
    <row r="369" spans="1:10" s="45" customFormat="1" ht="13.8" x14ac:dyDescent="0.3">
      <c r="A369" s="623" t="s">
        <v>1</v>
      </c>
      <c r="B369" s="1110" t="s">
        <v>15</v>
      </c>
      <c r="C369" s="1110"/>
      <c r="D369" s="1110"/>
      <c r="E369" s="1110" t="s">
        <v>58</v>
      </c>
      <c r="F369" s="1110"/>
      <c r="G369" s="1110" t="s">
        <v>66</v>
      </c>
      <c r="H369" s="1110"/>
      <c r="I369" s="1110" t="s">
        <v>264</v>
      </c>
      <c r="J369" s="1110"/>
    </row>
    <row r="370" spans="1:10" s="45" customFormat="1" ht="13.8" x14ac:dyDescent="0.3">
      <c r="A370" s="623">
        <v>1</v>
      </c>
      <c r="B370" s="1110">
        <v>2</v>
      </c>
      <c r="C370" s="1110"/>
      <c r="D370" s="1110"/>
      <c r="E370" s="1110">
        <v>3</v>
      </c>
      <c r="F370" s="1110"/>
      <c r="G370" s="1110">
        <v>4</v>
      </c>
      <c r="H370" s="1110"/>
      <c r="I370" s="1110">
        <v>5</v>
      </c>
      <c r="J370" s="1110"/>
    </row>
    <row r="371" spans="1:10" s="45" customFormat="1" ht="36.75" customHeight="1" x14ac:dyDescent="0.3">
      <c r="A371" s="1118" t="s">
        <v>993</v>
      </c>
      <c r="B371" s="1119"/>
      <c r="C371" s="1119"/>
      <c r="D371" s="1119"/>
      <c r="E371" s="1119"/>
      <c r="F371" s="1119"/>
      <c r="G371" s="1119"/>
      <c r="H371" s="1119"/>
      <c r="I371" s="1119"/>
      <c r="J371" s="1120"/>
    </row>
    <row r="372" spans="1:10" s="45" customFormat="1" ht="15" customHeight="1" x14ac:dyDescent="0.3">
      <c r="A372" s="623">
        <v>1</v>
      </c>
      <c r="B372" s="1095" t="s">
        <v>914</v>
      </c>
      <c r="C372" s="1096"/>
      <c r="D372" s="1097"/>
      <c r="E372" s="648"/>
      <c r="F372" s="577"/>
      <c r="G372" s="978"/>
      <c r="H372" s="978"/>
      <c r="I372" s="991">
        <v>4000</v>
      </c>
      <c r="J372" s="992"/>
    </row>
    <row r="373" spans="1:10" s="45" customFormat="1" ht="15.6" x14ac:dyDescent="0.3">
      <c r="A373" s="623">
        <v>2</v>
      </c>
      <c r="B373" s="1095" t="s">
        <v>915</v>
      </c>
      <c r="C373" s="1096"/>
      <c r="D373" s="1097"/>
      <c r="E373" s="648"/>
      <c r="F373" s="577"/>
      <c r="G373" s="568"/>
      <c r="H373" s="569"/>
      <c r="I373" s="1073">
        <v>3000</v>
      </c>
      <c r="J373" s="1099"/>
    </row>
    <row r="374" spans="1:10" s="45" customFormat="1" ht="15.6" x14ac:dyDescent="0.3">
      <c r="A374" s="623">
        <v>3</v>
      </c>
      <c r="B374" s="1095" t="s">
        <v>916</v>
      </c>
      <c r="C374" s="1096"/>
      <c r="D374" s="1097"/>
      <c r="E374" s="648"/>
      <c r="F374" s="577"/>
      <c r="G374" s="568"/>
      <c r="H374" s="569"/>
      <c r="I374" s="1073">
        <v>520</v>
      </c>
      <c r="J374" s="1099"/>
    </row>
    <row r="375" spans="1:10" s="45" customFormat="1" ht="15.6" x14ac:dyDescent="0.3">
      <c r="A375" s="623">
        <v>4</v>
      </c>
      <c r="B375" s="1095" t="s">
        <v>917</v>
      </c>
      <c r="C375" s="1096"/>
      <c r="D375" s="1097"/>
      <c r="E375" s="648"/>
      <c r="F375" s="577"/>
      <c r="G375" s="568"/>
      <c r="H375" s="569"/>
      <c r="I375" s="1073">
        <v>1345</v>
      </c>
      <c r="J375" s="1099"/>
    </row>
    <row r="376" spans="1:10" s="45" customFormat="1" ht="15" customHeight="1" x14ac:dyDescent="0.3">
      <c r="A376" s="104"/>
      <c r="B376" s="1098" t="s">
        <v>13</v>
      </c>
      <c r="C376" s="1098"/>
      <c r="D376" s="1098"/>
      <c r="E376" s="1100" t="s">
        <v>74</v>
      </c>
      <c r="F376" s="1100"/>
      <c r="G376" s="1090" t="s">
        <v>14</v>
      </c>
      <c r="H376" s="1090"/>
      <c r="I376" s="1101">
        <f>I372+I373+I374+I375</f>
        <v>8865</v>
      </c>
      <c r="J376" s="1090"/>
    </row>
    <row r="377" spans="1:10" s="45" customFormat="1" ht="18.75" hidden="1" customHeight="1" x14ac:dyDescent="0.3">
      <c r="A377" s="104"/>
      <c r="B377" s="1090" t="s">
        <v>633</v>
      </c>
      <c r="C377" s="1090"/>
      <c r="D377" s="1090"/>
      <c r="E377" s="1100"/>
      <c r="F377" s="1100"/>
      <c r="G377" s="1090"/>
      <c r="H377" s="1090"/>
      <c r="I377" s="1101">
        <f>I376</f>
        <v>8865</v>
      </c>
      <c r="J377" s="1101"/>
    </row>
    <row r="378" spans="1:10" s="45" customFormat="1" ht="48" hidden="1" customHeight="1" x14ac:dyDescent="0.3">
      <c r="A378" s="104" t="s">
        <v>36</v>
      </c>
      <c r="B378" s="999" t="s">
        <v>556</v>
      </c>
      <c r="C378" s="1000"/>
      <c r="D378" s="1001"/>
      <c r="E378" s="648"/>
      <c r="F378" s="577"/>
      <c r="G378" s="978"/>
      <c r="H378" s="978"/>
      <c r="I378" s="991"/>
      <c r="J378" s="992"/>
    </row>
    <row r="379" spans="1:10" s="45" customFormat="1" ht="48" hidden="1" customHeight="1" x14ac:dyDescent="0.3">
      <c r="A379" s="618" t="s">
        <v>77</v>
      </c>
      <c r="B379" s="1125" t="s">
        <v>534</v>
      </c>
      <c r="C379" s="1126"/>
      <c r="D379" s="1127"/>
      <c r="E379" s="1128"/>
      <c r="F379" s="1129"/>
      <c r="G379" s="1128"/>
      <c r="H379" s="1129"/>
      <c r="I379" s="1130">
        <f>I380+I381</f>
        <v>0</v>
      </c>
      <c r="J379" s="1131"/>
    </row>
    <row r="380" spans="1:10" s="45" customFormat="1" ht="30" hidden="1" customHeight="1" x14ac:dyDescent="0.3">
      <c r="A380" s="104" t="s">
        <v>381</v>
      </c>
      <c r="B380" s="999" t="s">
        <v>560</v>
      </c>
      <c r="C380" s="1000"/>
      <c r="D380" s="1001"/>
      <c r="E380" s="648"/>
      <c r="F380" s="577"/>
      <c r="G380" s="823"/>
      <c r="H380" s="824"/>
      <c r="I380" s="1073"/>
      <c r="J380" s="1099"/>
    </row>
    <row r="381" spans="1:10" ht="16.5" hidden="1" customHeight="1" x14ac:dyDescent="0.3">
      <c r="A381" s="104" t="s">
        <v>559</v>
      </c>
      <c r="B381" s="1042"/>
      <c r="C381" s="1042"/>
      <c r="D381" s="1042"/>
      <c r="E381" s="648"/>
      <c r="F381" s="577"/>
      <c r="G381" s="978"/>
      <c r="H381" s="978"/>
      <c r="I381" s="991"/>
      <c r="J381" s="992"/>
    </row>
    <row r="382" spans="1:10" x14ac:dyDescent="0.3">
      <c r="A382" s="104"/>
      <c r="B382" s="1098" t="s">
        <v>13</v>
      </c>
      <c r="C382" s="1098"/>
      <c r="D382" s="1098"/>
      <c r="E382" s="1123" t="s">
        <v>74</v>
      </c>
      <c r="F382" s="1124"/>
      <c r="G382" s="1090" t="s">
        <v>14</v>
      </c>
      <c r="H382" s="1090"/>
      <c r="I382" s="1101">
        <f>SUM(I372:J375)</f>
        <v>8865</v>
      </c>
      <c r="J382" s="1090"/>
    </row>
    <row r="383" spans="1:10" ht="56.25" hidden="1" customHeight="1" x14ac:dyDescent="0.3">
      <c r="A383" s="1118" t="s">
        <v>644</v>
      </c>
      <c r="B383" s="1119"/>
      <c r="C383" s="1119"/>
      <c r="D383" s="1119"/>
      <c r="E383" s="1119"/>
      <c r="F383" s="1119"/>
      <c r="G383" s="1119"/>
      <c r="H383" s="1119"/>
      <c r="I383" s="1119"/>
      <c r="J383" s="1120"/>
    </row>
    <row r="384" spans="1:10" ht="15.6" hidden="1" x14ac:dyDescent="0.3">
      <c r="A384" s="624">
        <v>1</v>
      </c>
      <c r="B384" s="1151" t="s">
        <v>642</v>
      </c>
      <c r="C384" s="1151"/>
      <c r="D384" s="1151"/>
      <c r="E384" s="632"/>
      <c r="F384" s="632"/>
      <c r="G384" s="1090"/>
      <c r="H384" s="1090"/>
      <c r="I384" s="1185">
        <v>0</v>
      </c>
      <c r="J384" s="1185"/>
    </row>
    <row r="385" spans="1:11" hidden="1" x14ac:dyDescent="0.3">
      <c r="A385" s="104"/>
      <c r="B385" s="1090"/>
      <c r="C385" s="1090"/>
      <c r="D385" s="1090"/>
      <c r="E385" s="632"/>
      <c r="F385" s="632"/>
      <c r="G385" s="1090"/>
      <c r="H385" s="1090"/>
      <c r="I385" s="1101">
        <f>I384</f>
        <v>0</v>
      </c>
      <c r="J385" s="1101"/>
    </row>
    <row r="386" spans="1:11" ht="15.6" x14ac:dyDescent="0.3">
      <c r="A386" s="1184" t="s">
        <v>557</v>
      </c>
      <c r="B386" s="1184"/>
      <c r="C386" s="1184"/>
      <c r="D386" s="1184"/>
      <c r="E386" s="1184"/>
      <c r="F386" s="1184"/>
      <c r="G386" s="1184"/>
      <c r="H386" s="1184"/>
      <c r="I386" s="1184"/>
      <c r="J386" s="1184"/>
    </row>
    <row r="387" spans="1:11" x14ac:dyDescent="0.3">
      <c r="A387" s="623" t="s">
        <v>1</v>
      </c>
      <c r="B387" s="1110" t="s">
        <v>15</v>
      </c>
      <c r="C387" s="1110"/>
      <c r="D387" s="1110"/>
      <c r="E387" s="1110" t="s">
        <v>58</v>
      </c>
      <c r="F387" s="1110"/>
      <c r="G387" s="1110" t="s">
        <v>66</v>
      </c>
      <c r="H387" s="1110"/>
      <c r="I387" s="1110" t="s">
        <v>264</v>
      </c>
      <c r="J387" s="1110"/>
    </row>
    <row r="388" spans="1:11" x14ac:dyDescent="0.3">
      <c r="A388" s="623">
        <v>1</v>
      </c>
      <c r="B388" s="1110">
        <v>2</v>
      </c>
      <c r="C388" s="1110"/>
      <c r="D388" s="1110"/>
      <c r="E388" s="1110">
        <v>3</v>
      </c>
      <c r="F388" s="1110"/>
      <c r="G388" s="1110">
        <v>4</v>
      </c>
      <c r="H388" s="1110"/>
      <c r="I388" s="1110">
        <v>5</v>
      </c>
      <c r="J388" s="1110"/>
    </row>
    <row r="389" spans="1:11" ht="46.5" customHeight="1" x14ac:dyDescent="0.3">
      <c r="A389" s="1118" t="s">
        <v>993</v>
      </c>
      <c r="B389" s="1119"/>
      <c r="C389" s="1119"/>
      <c r="D389" s="1119"/>
      <c r="E389" s="1119"/>
      <c r="F389" s="1119"/>
      <c r="G389" s="1119"/>
      <c r="H389" s="1119"/>
      <c r="I389" s="1119"/>
      <c r="J389" s="1120"/>
    </row>
    <row r="390" spans="1:11" ht="21.75" customHeight="1" x14ac:dyDescent="0.3">
      <c r="A390" s="623">
        <v>1</v>
      </c>
      <c r="B390" s="1095" t="s">
        <v>918</v>
      </c>
      <c r="C390" s="1096"/>
      <c r="D390" s="1097"/>
      <c r="E390" s="648"/>
      <c r="F390" s="577"/>
      <c r="G390" s="978"/>
      <c r="H390" s="978"/>
      <c r="I390" s="991">
        <v>3300</v>
      </c>
      <c r="J390" s="992"/>
    </row>
    <row r="391" spans="1:11" ht="19.5" customHeight="1" x14ac:dyDescent="0.3">
      <c r="A391" s="623">
        <v>2</v>
      </c>
      <c r="B391" s="1095" t="s">
        <v>919</v>
      </c>
      <c r="C391" s="1096"/>
      <c r="D391" s="1097"/>
      <c r="E391" s="648"/>
      <c r="F391" s="577"/>
      <c r="G391" s="568"/>
      <c r="H391" s="569"/>
      <c r="I391" s="1073">
        <v>1835</v>
      </c>
      <c r="J391" s="1099"/>
    </row>
    <row r="392" spans="1:11" ht="37.5" customHeight="1" x14ac:dyDescent="0.3">
      <c r="A392" s="1118" t="s">
        <v>992</v>
      </c>
      <c r="B392" s="1119"/>
      <c r="C392" s="1119"/>
      <c r="D392" s="1119"/>
      <c r="E392" s="1119"/>
      <c r="F392" s="1119"/>
      <c r="G392" s="1119"/>
      <c r="H392" s="1119"/>
      <c r="I392" s="1119"/>
      <c r="J392" s="1120"/>
    </row>
    <row r="393" spans="1:11" ht="15.6" x14ac:dyDescent="0.3">
      <c r="A393" s="623">
        <v>3</v>
      </c>
      <c r="B393" s="1095" t="s">
        <v>925</v>
      </c>
      <c r="C393" s="1096"/>
      <c r="D393" s="1097"/>
      <c r="E393" s="648"/>
      <c r="F393" s="577"/>
      <c r="G393" s="568"/>
      <c r="H393" s="569"/>
      <c r="I393" s="1073">
        <v>63200</v>
      </c>
      <c r="J393" s="1099"/>
    </row>
    <row r="394" spans="1:11" ht="34.5" customHeight="1" x14ac:dyDescent="0.3">
      <c r="A394" s="1118" t="s">
        <v>994</v>
      </c>
      <c r="B394" s="1119"/>
      <c r="C394" s="1119"/>
      <c r="D394" s="1119"/>
      <c r="E394" s="1119"/>
      <c r="F394" s="1119"/>
      <c r="G394" s="1119"/>
      <c r="H394" s="1119"/>
      <c r="I394" s="1119"/>
      <c r="J394" s="1120"/>
    </row>
    <row r="395" spans="1:11" ht="31.5" customHeight="1" x14ac:dyDescent="0.3">
      <c r="A395" s="623">
        <v>4</v>
      </c>
      <c r="B395" s="1095" t="s">
        <v>926</v>
      </c>
      <c r="C395" s="1096"/>
      <c r="D395" s="1097"/>
      <c r="E395" s="565"/>
      <c r="F395" s="592"/>
      <c r="G395" s="568"/>
      <c r="H395" s="569"/>
      <c r="I395" s="1073">
        <v>106000</v>
      </c>
      <c r="J395" s="1099"/>
    </row>
    <row r="396" spans="1:11" x14ac:dyDescent="0.3">
      <c r="A396" s="104"/>
      <c r="B396" s="1098" t="s">
        <v>13</v>
      </c>
      <c r="C396" s="1098"/>
      <c r="D396" s="1098"/>
      <c r="E396" s="1123" t="s">
        <v>74</v>
      </c>
      <c r="F396" s="1124"/>
      <c r="G396" s="1090" t="s">
        <v>14</v>
      </c>
      <c r="H396" s="1090"/>
      <c r="I396" s="1101">
        <f>I390+I391+I393+I395</f>
        <v>174335</v>
      </c>
      <c r="J396" s="1090"/>
    </row>
    <row r="397" spans="1:11" ht="23.25" customHeight="1" x14ac:dyDescent="0.3">
      <c r="A397" s="104"/>
      <c r="B397" s="1098" t="s">
        <v>13</v>
      </c>
      <c r="C397" s="1098"/>
      <c r="D397" s="1098"/>
      <c r="E397" s="356"/>
      <c r="F397" s="628"/>
      <c r="G397" s="1107"/>
      <c r="H397" s="1107"/>
      <c r="I397" s="1182">
        <f>I339+I382+I396+I367+I332+I385+I346+I353</f>
        <v>198200</v>
      </c>
      <c r="J397" s="1183"/>
      <c r="K397" s="176">
        <f>I396+I382+I367+I332</f>
        <v>198200</v>
      </c>
    </row>
    <row r="398" spans="1:11" ht="15.6" hidden="1" x14ac:dyDescent="0.3">
      <c r="A398" s="1173" t="s">
        <v>385</v>
      </c>
      <c r="B398" s="1173"/>
      <c r="C398" s="1173"/>
      <c r="D398" s="1173"/>
      <c r="E398" s="1173"/>
      <c r="F398" s="1173"/>
      <c r="G398" s="1173"/>
      <c r="H398" s="1173"/>
      <c r="I398" s="1173"/>
      <c r="J398" s="1173"/>
    </row>
    <row r="399" spans="1:11" hidden="1" x14ac:dyDescent="0.3">
      <c r="A399" s="1174" t="s">
        <v>1</v>
      </c>
      <c r="B399" s="1176" t="s">
        <v>15</v>
      </c>
      <c r="C399" s="1177"/>
      <c r="D399" s="1178"/>
      <c r="E399" s="1176" t="s">
        <v>64</v>
      </c>
      <c r="F399" s="1178"/>
      <c r="G399" s="1110" t="s">
        <v>65</v>
      </c>
      <c r="H399" s="1110"/>
      <c r="I399" s="1110"/>
      <c r="J399" s="1110"/>
    </row>
    <row r="400" spans="1:11" ht="26.4" hidden="1" x14ac:dyDescent="0.3">
      <c r="A400" s="1175"/>
      <c r="B400" s="1179"/>
      <c r="C400" s="1180"/>
      <c r="D400" s="1181"/>
      <c r="E400" s="1179"/>
      <c r="F400" s="1181"/>
      <c r="G400" s="623" t="s">
        <v>305</v>
      </c>
      <c r="H400" s="623" t="s">
        <v>302</v>
      </c>
      <c r="I400" s="623" t="s">
        <v>303</v>
      </c>
      <c r="J400" s="623" t="s">
        <v>304</v>
      </c>
    </row>
    <row r="401" spans="1:10" hidden="1" x14ac:dyDescent="0.3">
      <c r="A401" s="623">
        <v>1</v>
      </c>
      <c r="B401" s="1110">
        <v>2</v>
      </c>
      <c r="C401" s="1110"/>
      <c r="D401" s="1110"/>
      <c r="E401" s="1139">
        <v>3</v>
      </c>
      <c r="F401" s="1140"/>
      <c r="G401" s="1110">
        <v>4</v>
      </c>
      <c r="H401" s="1110"/>
      <c r="I401" s="1110"/>
      <c r="J401" s="1110"/>
    </row>
    <row r="402" spans="1:10" hidden="1" x14ac:dyDescent="0.3">
      <c r="A402" s="624" t="s">
        <v>70</v>
      </c>
      <c r="B402" s="1143" t="s">
        <v>346</v>
      </c>
      <c r="C402" s="1143"/>
      <c r="D402" s="1143"/>
      <c r="E402" s="1116">
        <v>1</v>
      </c>
      <c r="F402" s="1117"/>
      <c r="G402" s="624" t="s">
        <v>306</v>
      </c>
      <c r="H402" s="624">
        <v>1</v>
      </c>
      <c r="I402" s="101"/>
      <c r="J402" s="110">
        <v>0</v>
      </c>
    </row>
    <row r="403" spans="1:10" hidden="1" x14ac:dyDescent="0.3">
      <c r="A403" s="624" t="s">
        <v>75</v>
      </c>
      <c r="B403" s="1143" t="s">
        <v>347</v>
      </c>
      <c r="C403" s="1143"/>
      <c r="D403" s="1143"/>
      <c r="E403" s="1116">
        <v>1</v>
      </c>
      <c r="F403" s="1117"/>
      <c r="G403" s="624" t="s">
        <v>306</v>
      </c>
      <c r="H403" s="624">
        <v>1</v>
      </c>
      <c r="I403" s="101"/>
      <c r="J403" s="110">
        <f t="shared" ref="J403:J404" si="17">H403*I403</f>
        <v>0</v>
      </c>
    </row>
    <row r="404" spans="1:10" hidden="1" x14ac:dyDescent="0.3">
      <c r="A404" s="624" t="s">
        <v>77</v>
      </c>
      <c r="B404" s="1143" t="s">
        <v>342</v>
      </c>
      <c r="C404" s="1143"/>
      <c r="D404" s="1143"/>
      <c r="E404" s="1116">
        <v>1</v>
      </c>
      <c r="F404" s="1117"/>
      <c r="G404" s="624" t="s">
        <v>306</v>
      </c>
      <c r="H404" s="628">
        <v>1</v>
      </c>
      <c r="I404" s="101"/>
      <c r="J404" s="110">
        <f t="shared" si="17"/>
        <v>0</v>
      </c>
    </row>
    <row r="405" spans="1:10" ht="15.6" hidden="1" x14ac:dyDescent="0.3">
      <c r="A405" s="448"/>
      <c r="B405" s="1164" t="s">
        <v>13</v>
      </c>
      <c r="C405" s="1164"/>
      <c r="D405" s="1164"/>
      <c r="E405" s="1165" t="s">
        <v>14</v>
      </c>
      <c r="F405" s="1166"/>
      <c r="G405" s="1167">
        <f>SUM(J402:J404)</f>
        <v>0</v>
      </c>
      <c r="H405" s="1168"/>
      <c r="I405" s="1168"/>
      <c r="J405" s="1168"/>
    </row>
    <row r="406" spans="1:10" hidden="1" x14ac:dyDescent="0.3">
      <c r="A406" s="90"/>
      <c r="B406" s="90"/>
      <c r="C406" s="90"/>
      <c r="D406" s="90"/>
      <c r="E406" s="90"/>
      <c r="F406" s="90"/>
      <c r="G406" s="90"/>
      <c r="H406" s="90"/>
      <c r="I406" s="90"/>
      <c r="J406" s="90"/>
    </row>
    <row r="407" spans="1:10" ht="32.25" customHeight="1" x14ac:dyDescent="0.3">
      <c r="A407" s="90"/>
      <c r="B407" s="90"/>
      <c r="C407" s="90"/>
      <c r="D407" s="90"/>
      <c r="E407" s="90"/>
      <c r="F407" s="90"/>
      <c r="G407" s="90"/>
      <c r="H407" s="105" t="s">
        <v>212</v>
      </c>
      <c r="I407" s="1172">
        <f>J87+J94+I117+I157+I178+I194+I208+I236+G266+G294+I303+I322+I397+G405+I167</f>
        <v>5884599.9960000003</v>
      </c>
      <c r="J407" s="1172"/>
    </row>
    <row r="408" spans="1:10" x14ac:dyDescent="0.3">
      <c r="A408" s="90"/>
      <c r="B408" s="90"/>
      <c r="C408" s="90"/>
      <c r="D408" s="90"/>
      <c r="E408" s="90"/>
      <c r="F408" s="90"/>
      <c r="G408" s="90"/>
      <c r="H408" s="106" t="s">
        <v>248</v>
      </c>
      <c r="I408" s="90"/>
      <c r="J408" s="90"/>
    </row>
    <row r="409" spans="1:10" x14ac:dyDescent="0.3">
      <c r="A409" s="90"/>
      <c r="B409" s="90"/>
      <c r="C409" s="90"/>
      <c r="D409" s="90"/>
      <c r="E409" s="90"/>
      <c r="F409" s="90"/>
      <c r="G409" s="90"/>
      <c r="H409" s="106" t="s">
        <v>927</v>
      </c>
      <c r="I409" s="1163">
        <f>I395</f>
        <v>106000</v>
      </c>
      <c r="J409" s="1163"/>
    </row>
    <row r="410" spans="1:10" x14ac:dyDescent="0.3">
      <c r="A410" s="90"/>
      <c r="B410" s="90"/>
      <c r="C410" s="90"/>
      <c r="D410" s="90"/>
      <c r="E410" s="90"/>
      <c r="F410" s="90"/>
      <c r="G410" s="90"/>
      <c r="H410" s="106" t="s">
        <v>586</v>
      </c>
      <c r="I410" s="1163">
        <f>I103+I115+I116+J274+J275+I310+I311+I358+I372+I373+I374+I375+I390+I391+J276</f>
        <v>252000</v>
      </c>
      <c r="J410" s="1163"/>
    </row>
    <row r="411" spans="1:10" ht="15.75" customHeight="1" x14ac:dyDescent="0.3">
      <c r="A411" s="90"/>
      <c r="B411" s="90"/>
      <c r="C411" s="90"/>
      <c r="D411" s="90"/>
      <c r="E411" s="90"/>
      <c r="F411" s="90"/>
      <c r="G411" s="90"/>
      <c r="H411" s="106" t="s">
        <v>928</v>
      </c>
      <c r="I411" s="1163">
        <f>I393+J282</f>
        <v>83200</v>
      </c>
      <c r="J411" s="1163"/>
    </row>
    <row r="412" spans="1:10" x14ac:dyDescent="0.3">
      <c r="A412" s="90"/>
      <c r="B412" s="90"/>
      <c r="C412" s="90"/>
      <c r="D412" s="90"/>
      <c r="E412" s="90"/>
      <c r="F412" s="90"/>
      <c r="G412" s="90"/>
      <c r="H412" s="106" t="s">
        <v>587</v>
      </c>
      <c r="I412" s="1163">
        <f>J248</f>
        <v>0</v>
      </c>
      <c r="J412" s="1163"/>
    </row>
    <row r="413" spans="1:10" hidden="1" x14ac:dyDescent="0.3">
      <c r="A413" s="90"/>
      <c r="B413" s="90"/>
      <c r="C413" s="90"/>
      <c r="D413" s="90"/>
      <c r="E413" s="90"/>
      <c r="F413" s="90"/>
      <c r="G413" s="90"/>
      <c r="H413" s="106" t="s">
        <v>613</v>
      </c>
      <c r="I413" s="1163">
        <f>I167</f>
        <v>0</v>
      </c>
      <c r="J413" s="1163"/>
    </row>
    <row r="414" spans="1:10" hidden="1" x14ac:dyDescent="0.3">
      <c r="A414" s="247"/>
      <c r="B414" s="247"/>
      <c r="C414" s="247"/>
      <c r="D414" s="644"/>
      <c r="E414" s="644"/>
      <c r="F414" s="645"/>
      <c r="G414" s="1111" t="s">
        <v>619</v>
      </c>
      <c r="H414" s="1111"/>
      <c r="I414" s="1091">
        <v>0</v>
      </c>
      <c r="J414" s="1171"/>
    </row>
    <row r="415" spans="1:10" ht="14.25" hidden="1" customHeight="1" x14ac:dyDescent="0.3">
      <c r="A415" s="247"/>
      <c r="B415" s="247"/>
      <c r="C415" s="247"/>
      <c r="D415" s="1111" t="s">
        <v>630</v>
      </c>
      <c r="E415" s="1111"/>
      <c r="F415" s="1111"/>
      <c r="G415" s="1111"/>
      <c r="H415" s="1111"/>
      <c r="I415" s="1091">
        <f>J252</f>
        <v>0</v>
      </c>
      <c r="J415" s="1091"/>
    </row>
    <row r="416" spans="1:10" ht="16.5" hidden="1" customHeight="1" x14ac:dyDescent="0.3">
      <c r="A416" s="247"/>
      <c r="B416" s="247"/>
      <c r="C416" s="247"/>
      <c r="D416" s="644"/>
      <c r="E416" s="644"/>
      <c r="F416" s="1111" t="s">
        <v>621</v>
      </c>
      <c r="G416" s="1111"/>
      <c r="H416" s="1111"/>
      <c r="I416" s="1091">
        <f>I315</f>
        <v>0</v>
      </c>
      <c r="J416" s="1091"/>
    </row>
    <row r="417" spans="1:10" x14ac:dyDescent="0.3">
      <c r="A417" s="247"/>
      <c r="B417" s="247"/>
      <c r="C417" s="247"/>
      <c r="D417" s="644"/>
      <c r="E417" s="644"/>
      <c r="F417" s="1170" t="s">
        <v>635</v>
      </c>
      <c r="G417" s="1170"/>
      <c r="H417" s="1170"/>
      <c r="I417" s="1091">
        <f>J68+I139+I93</f>
        <v>5443400</v>
      </c>
      <c r="J417" s="1091"/>
    </row>
    <row r="418" spans="1:10" hidden="1" x14ac:dyDescent="0.3">
      <c r="A418" s="247"/>
      <c r="B418" s="247"/>
      <c r="C418" s="247"/>
      <c r="D418" s="644"/>
      <c r="E418" s="644"/>
      <c r="F418" s="636"/>
      <c r="G418" s="636"/>
      <c r="H418" s="636" t="s">
        <v>643</v>
      </c>
      <c r="I418" s="1091">
        <f>I385</f>
        <v>0</v>
      </c>
      <c r="J418" s="1091"/>
    </row>
    <row r="419" spans="1:10" x14ac:dyDescent="0.3">
      <c r="A419" s="1169" t="s">
        <v>262</v>
      </c>
      <c r="B419" s="1169"/>
      <c r="C419" s="1169"/>
      <c r="D419" s="150"/>
      <c r="E419" s="150"/>
      <c r="F419" s="151" t="s">
        <v>471</v>
      </c>
      <c r="G419" s="151"/>
      <c r="H419" s="151"/>
      <c r="I419" s="151"/>
      <c r="J419" s="46"/>
    </row>
    <row r="420" spans="1:10" x14ac:dyDescent="0.3">
      <c r="A420" s="637"/>
      <c r="B420" s="637"/>
      <c r="C420" s="637"/>
      <c r="D420" s="1025" t="s">
        <v>279</v>
      </c>
      <c r="E420" s="1025"/>
      <c r="F420" s="1026" t="s">
        <v>280</v>
      </c>
      <c r="G420" s="1026"/>
      <c r="H420" s="1026"/>
      <c r="I420" s="1026"/>
      <c r="J420" s="45"/>
    </row>
    <row r="421" spans="1:10" x14ac:dyDescent="0.3">
      <c r="A421" s="1169" t="s">
        <v>470</v>
      </c>
      <c r="B421" s="1169"/>
      <c r="C421" s="1169"/>
      <c r="D421" s="150"/>
      <c r="E421" s="150"/>
      <c r="F421" s="151" t="s">
        <v>472</v>
      </c>
      <c r="G421" s="151"/>
      <c r="H421" s="151"/>
      <c r="I421" s="151"/>
      <c r="J421" s="46"/>
    </row>
    <row r="422" spans="1:10" x14ac:dyDescent="0.3">
      <c r="A422" s="548"/>
      <c r="B422" s="548"/>
      <c r="C422" s="548"/>
      <c r="D422" s="1025" t="s">
        <v>279</v>
      </c>
      <c r="E422" s="1025"/>
      <c r="F422" s="1026" t="s">
        <v>280</v>
      </c>
      <c r="G422" s="1026"/>
      <c r="H422" s="1026"/>
      <c r="I422" s="1026"/>
      <c r="J422" s="45"/>
    </row>
    <row r="423" spans="1:10" x14ac:dyDescent="0.3">
      <c r="A423" s="548"/>
      <c r="B423" s="548"/>
      <c r="C423" s="548"/>
      <c r="D423" s="548"/>
      <c r="E423" s="548"/>
      <c r="F423" s="548"/>
      <c r="G423" s="45"/>
      <c r="H423" s="45"/>
      <c r="I423" s="45"/>
      <c r="J423" s="45"/>
    </row>
    <row r="424" spans="1:10" x14ac:dyDescent="0.3">
      <c r="A424" s="1152" t="s">
        <v>473</v>
      </c>
      <c r="B424" s="1152"/>
      <c r="C424" s="548"/>
      <c r="D424" s="548"/>
      <c r="E424" s="548"/>
      <c r="F424" s="548"/>
      <c r="G424" s="45"/>
      <c r="H424" s="45"/>
      <c r="I424" s="45"/>
      <c r="J424" s="45"/>
    </row>
    <row r="425" spans="1:10" x14ac:dyDescent="0.3">
      <c r="A425" s="548"/>
      <c r="B425" s="548"/>
      <c r="C425" s="548"/>
      <c r="D425" s="548"/>
      <c r="E425" s="548"/>
      <c r="F425" s="548"/>
      <c r="G425" s="45"/>
      <c r="H425" s="45"/>
      <c r="I425" s="45"/>
      <c r="J425" s="45"/>
    </row>
    <row r="426" spans="1:10" x14ac:dyDescent="0.3">
      <c r="A426" s="758"/>
      <c r="B426" s="758"/>
      <c r="C426" s="548"/>
      <c r="D426" s="548"/>
      <c r="E426" s="548"/>
      <c r="F426" s="548"/>
      <c r="G426" s="45"/>
      <c r="H426" s="45"/>
      <c r="I426" s="45"/>
      <c r="J426" s="45"/>
    </row>
  </sheetData>
  <mergeCells count="874">
    <mergeCell ref="D422:E422"/>
    <mergeCell ref="F422:I422"/>
    <mergeCell ref="A426:B426"/>
    <mergeCell ref="A399:A400"/>
    <mergeCell ref="B399:D400"/>
    <mergeCell ref="E399:F400"/>
    <mergeCell ref="G401:J401"/>
    <mergeCell ref="B404:D404"/>
    <mergeCell ref="E404:F404"/>
    <mergeCell ref="B405:D405"/>
    <mergeCell ref="E405:F405"/>
    <mergeCell ref="G405:J405"/>
    <mergeCell ref="I409:J409"/>
    <mergeCell ref="I410:J410"/>
    <mergeCell ref="I411:J411"/>
    <mergeCell ref="A419:C419"/>
    <mergeCell ref="D420:E420"/>
    <mergeCell ref="F420:I420"/>
    <mergeCell ref="A424:B424"/>
    <mergeCell ref="F416:H416"/>
    <mergeCell ref="F417:H417"/>
    <mergeCell ref="I417:J417"/>
    <mergeCell ref="I418:J418"/>
    <mergeCell ref="A421:C421"/>
    <mergeCell ref="A312:J312"/>
    <mergeCell ref="B316:D316"/>
    <mergeCell ref="G316:H316"/>
    <mergeCell ref="I316:J316"/>
    <mergeCell ref="B310:D310"/>
    <mergeCell ref="G310:H310"/>
    <mergeCell ref="I310:J310"/>
    <mergeCell ref="B356:D356"/>
    <mergeCell ref="E356:F356"/>
    <mergeCell ref="G356:H356"/>
    <mergeCell ref="I356:J356"/>
    <mergeCell ref="B355:D355"/>
    <mergeCell ref="E355:F355"/>
    <mergeCell ref="G355:H355"/>
    <mergeCell ref="I355:J355"/>
    <mergeCell ref="B313:D313"/>
    <mergeCell ref="G313:H313"/>
    <mergeCell ref="I313:J313"/>
    <mergeCell ref="E310:F310"/>
    <mergeCell ref="B311:D311"/>
    <mergeCell ref="E311:F311"/>
    <mergeCell ref="G311:H311"/>
    <mergeCell ref="I311:J311"/>
    <mergeCell ref="G325:H325"/>
    <mergeCell ref="B382:D382"/>
    <mergeCell ref="E382:F382"/>
    <mergeCell ref="B384:D384"/>
    <mergeCell ref="B385:D385"/>
    <mergeCell ref="B358:D358"/>
    <mergeCell ref="G358:H358"/>
    <mergeCell ref="I358:J358"/>
    <mergeCell ref="B360:D360"/>
    <mergeCell ref="G360:H360"/>
    <mergeCell ref="I360:J360"/>
    <mergeCell ref="B362:D362"/>
    <mergeCell ref="G362:H362"/>
    <mergeCell ref="I362:J362"/>
    <mergeCell ref="B366:D366"/>
    <mergeCell ref="G366:H366"/>
    <mergeCell ref="I366:J366"/>
    <mergeCell ref="A361:J361"/>
    <mergeCell ref="B363:D363"/>
    <mergeCell ref="I363:J363"/>
    <mergeCell ref="E366:F366"/>
    <mergeCell ref="B367:D367"/>
    <mergeCell ref="G367:H367"/>
    <mergeCell ref="I367:J367"/>
    <mergeCell ref="B359:D359"/>
    <mergeCell ref="G245:J245"/>
    <mergeCell ref="A246:J246"/>
    <mergeCell ref="B260:D260"/>
    <mergeCell ref="B261:D261"/>
    <mergeCell ref="B252:D252"/>
    <mergeCell ref="B253:D253"/>
    <mergeCell ref="B254:D254"/>
    <mergeCell ref="B255:D255"/>
    <mergeCell ref="B256:D256"/>
    <mergeCell ref="B245:D245"/>
    <mergeCell ref="B247:D247"/>
    <mergeCell ref="B248:D248"/>
    <mergeCell ref="B249:D249"/>
    <mergeCell ref="B250:D250"/>
    <mergeCell ref="B257:D257"/>
    <mergeCell ref="B258:D258"/>
    <mergeCell ref="B259:D259"/>
    <mergeCell ref="A251:J251"/>
    <mergeCell ref="G241:H241"/>
    <mergeCell ref="I241:J241"/>
    <mergeCell ref="A242:J242"/>
    <mergeCell ref="B240:D240"/>
    <mergeCell ref="A243:A244"/>
    <mergeCell ref="B243:D244"/>
    <mergeCell ref="E243:E244"/>
    <mergeCell ref="F243:F244"/>
    <mergeCell ref="G243:J243"/>
    <mergeCell ref="A195:J195"/>
    <mergeCell ref="A198:J198"/>
    <mergeCell ref="B204:D204"/>
    <mergeCell ref="G204:H204"/>
    <mergeCell ref="I204:J204"/>
    <mergeCell ref="B205:D205"/>
    <mergeCell ref="G205:H205"/>
    <mergeCell ref="I205:J205"/>
    <mergeCell ref="B199:D199"/>
    <mergeCell ref="G199:H199"/>
    <mergeCell ref="I199:J199"/>
    <mergeCell ref="B202:D202"/>
    <mergeCell ref="G202:H202"/>
    <mergeCell ref="I202:J202"/>
    <mergeCell ref="B203:D203"/>
    <mergeCell ref="G203:H203"/>
    <mergeCell ref="I203:J203"/>
    <mergeCell ref="B200:D200"/>
    <mergeCell ref="G200:H200"/>
    <mergeCell ref="I200:J200"/>
    <mergeCell ref="B201:D201"/>
    <mergeCell ref="G201:H201"/>
    <mergeCell ref="I201:J201"/>
    <mergeCell ref="A179:J179"/>
    <mergeCell ref="K179:L179"/>
    <mergeCell ref="B182:D182"/>
    <mergeCell ref="E182:F182"/>
    <mergeCell ref="G182:H182"/>
    <mergeCell ref="I182:J182"/>
    <mergeCell ref="I191:J191"/>
    <mergeCell ref="B192:D192"/>
    <mergeCell ref="E192:F192"/>
    <mergeCell ref="G192:H192"/>
    <mergeCell ref="I192:J192"/>
    <mergeCell ref="B185:D185"/>
    <mergeCell ref="E185:F185"/>
    <mergeCell ref="G185:H185"/>
    <mergeCell ref="I185:J185"/>
    <mergeCell ref="B183:D183"/>
    <mergeCell ref="E183:F183"/>
    <mergeCell ref="G183:H183"/>
    <mergeCell ref="I183:J183"/>
    <mergeCell ref="B184:D184"/>
    <mergeCell ref="E184:F184"/>
    <mergeCell ref="G184:H184"/>
    <mergeCell ref="I184:J184"/>
    <mergeCell ref="A186:J186"/>
    <mergeCell ref="A168:J168"/>
    <mergeCell ref="A173:A174"/>
    <mergeCell ref="B173:C174"/>
    <mergeCell ref="E174:F174"/>
    <mergeCell ref="G174:H174"/>
    <mergeCell ref="I174:J174"/>
    <mergeCell ref="B175:D175"/>
    <mergeCell ref="E175:F175"/>
    <mergeCell ref="G175:H175"/>
    <mergeCell ref="I175:J175"/>
    <mergeCell ref="E173:F173"/>
    <mergeCell ref="G173:H173"/>
    <mergeCell ref="I173:J173"/>
    <mergeCell ref="B171:D171"/>
    <mergeCell ref="E171:F171"/>
    <mergeCell ref="G171:H171"/>
    <mergeCell ref="I171:J171"/>
    <mergeCell ref="B172:D172"/>
    <mergeCell ref="E172:F172"/>
    <mergeCell ref="G172:H172"/>
    <mergeCell ref="I172:J172"/>
    <mergeCell ref="K157:L157"/>
    <mergeCell ref="A158:J158"/>
    <mergeCell ref="A159:J159"/>
    <mergeCell ref="B163:D163"/>
    <mergeCell ref="E163:F163"/>
    <mergeCell ref="G163:H163"/>
    <mergeCell ref="I163:J163"/>
    <mergeCell ref="G157:H157"/>
    <mergeCell ref="I157:J157"/>
    <mergeCell ref="A1:J1"/>
    <mergeCell ref="A2:J2"/>
    <mergeCell ref="A3:J3"/>
    <mergeCell ref="A5:J5"/>
    <mergeCell ref="A8:J8"/>
    <mergeCell ref="A9:A11"/>
    <mergeCell ref="B9:B11"/>
    <mergeCell ref="C9:C11"/>
    <mergeCell ref="D9:G9"/>
    <mergeCell ref="H9:H11"/>
    <mergeCell ref="A22:J22"/>
    <mergeCell ref="A23:J23"/>
    <mergeCell ref="A36:J36"/>
    <mergeCell ref="A51:J51"/>
    <mergeCell ref="A56:J56"/>
    <mergeCell ref="A65:I65"/>
    <mergeCell ref="I9:I11"/>
    <mergeCell ref="J9:J11"/>
    <mergeCell ref="D10:D11"/>
    <mergeCell ref="E10:G10"/>
    <mergeCell ref="A13:J13"/>
    <mergeCell ref="A14:J14"/>
    <mergeCell ref="A66:B66"/>
    <mergeCell ref="A68:I68"/>
    <mergeCell ref="A71:A73"/>
    <mergeCell ref="B71:B73"/>
    <mergeCell ref="C71:C73"/>
    <mergeCell ref="D71:G71"/>
    <mergeCell ref="H71:H73"/>
    <mergeCell ref="I71:I73"/>
    <mergeCell ref="A67:B67"/>
    <mergeCell ref="A85:J85"/>
    <mergeCell ref="A86:B86"/>
    <mergeCell ref="A87:I87"/>
    <mergeCell ref="A89:J89"/>
    <mergeCell ref="B90:D90"/>
    <mergeCell ref="E90:F90"/>
    <mergeCell ref="G90:H90"/>
    <mergeCell ref="I90:J90"/>
    <mergeCell ref="J71:J73"/>
    <mergeCell ref="D72:D73"/>
    <mergeCell ref="E72:G72"/>
    <mergeCell ref="A75:J75"/>
    <mergeCell ref="A82:I82"/>
    <mergeCell ref="A83:I83"/>
    <mergeCell ref="B93:D93"/>
    <mergeCell ref="E93:F93"/>
    <mergeCell ref="G93:H93"/>
    <mergeCell ref="I93:J93"/>
    <mergeCell ref="B94:D94"/>
    <mergeCell ref="E94:F94"/>
    <mergeCell ref="G94:H94"/>
    <mergeCell ref="B91:D91"/>
    <mergeCell ref="E91:F91"/>
    <mergeCell ref="G91:H91"/>
    <mergeCell ref="I91:J91"/>
    <mergeCell ref="B92:D92"/>
    <mergeCell ref="E92:F92"/>
    <mergeCell ref="G92:H92"/>
    <mergeCell ref="I92:J92"/>
    <mergeCell ref="A98:J98"/>
    <mergeCell ref="A99:J99"/>
    <mergeCell ref="B100:D100"/>
    <mergeCell ref="E100:F100"/>
    <mergeCell ref="G100:H100"/>
    <mergeCell ref="I100:J100"/>
    <mergeCell ref="A95:J95"/>
    <mergeCell ref="B96:D96"/>
    <mergeCell ref="E96:F96"/>
    <mergeCell ref="I96:J96"/>
    <mergeCell ref="B97:D97"/>
    <mergeCell ref="E97:F97"/>
    <mergeCell ref="I97:J97"/>
    <mergeCell ref="B104:D104"/>
    <mergeCell ref="E104:F104"/>
    <mergeCell ref="G104:H104"/>
    <mergeCell ref="I104:J104"/>
    <mergeCell ref="B105:D105"/>
    <mergeCell ref="E105:F105"/>
    <mergeCell ref="G105:H105"/>
    <mergeCell ref="I105:J105"/>
    <mergeCell ref="B101:D101"/>
    <mergeCell ref="E101:F101"/>
    <mergeCell ref="G101:H101"/>
    <mergeCell ref="I101:J101"/>
    <mergeCell ref="A102:J102"/>
    <mergeCell ref="B103:D103"/>
    <mergeCell ref="E103:F103"/>
    <mergeCell ref="G103:H103"/>
    <mergeCell ref="I103:J103"/>
    <mergeCell ref="B109:D109"/>
    <mergeCell ref="E109:F109"/>
    <mergeCell ref="I109:J109"/>
    <mergeCell ref="A110:J110"/>
    <mergeCell ref="B106:D106"/>
    <mergeCell ref="E106:F106"/>
    <mergeCell ref="G106:H106"/>
    <mergeCell ref="I106:J106"/>
    <mergeCell ref="A107:J107"/>
    <mergeCell ref="B108:D108"/>
    <mergeCell ref="E108:F108"/>
    <mergeCell ref="I108:J108"/>
    <mergeCell ref="A111:J111"/>
    <mergeCell ref="B115:D115"/>
    <mergeCell ref="E115:F115"/>
    <mergeCell ref="I115:J115"/>
    <mergeCell ref="B116:D116"/>
    <mergeCell ref="E116:F116"/>
    <mergeCell ref="I116:J116"/>
    <mergeCell ref="B112:D112"/>
    <mergeCell ref="E112:F112"/>
    <mergeCell ref="I112:J112"/>
    <mergeCell ref="B113:D113"/>
    <mergeCell ref="E113:F113"/>
    <mergeCell ref="I113:J113"/>
    <mergeCell ref="A114:J114"/>
    <mergeCell ref="I120:J120"/>
    <mergeCell ref="I121:J121"/>
    <mergeCell ref="B117:D117"/>
    <mergeCell ref="E117:F117"/>
    <mergeCell ref="I117:J117"/>
    <mergeCell ref="A118:J118"/>
    <mergeCell ref="I119:J119"/>
    <mergeCell ref="B119:D119"/>
    <mergeCell ref="E119:F119"/>
    <mergeCell ref="B120:D120"/>
    <mergeCell ref="E120:F120"/>
    <mergeCell ref="B121:D121"/>
    <mergeCell ref="E121:F121"/>
    <mergeCell ref="B124:F124"/>
    <mergeCell ref="G124:H124"/>
    <mergeCell ref="I124:J124"/>
    <mergeCell ref="B125:F125"/>
    <mergeCell ref="G125:H125"/>
    <mergeCell ref="I125:J125"/>
    <mergeCell ref="I122:J122"/>
    <mergeCell ref="B122:D122"/>
    <mergeCell ref="E122:F122"/>
    <mergeCell ref="A123:J123"/>
    <mergeCell ref="B128:F128"/>
    <mergeCell ref="G128:H128"/>
    <mergeCell ref="I128:J128"/>
    <mergeCell ref="B129:F129"/>
    <mergeCell ref="G129:H129"/>
    <mergeCell ref="I129:J129"/>
    <mergeCell ref="B126:F126"/>
    <mergeCell ref="G126:H126"/>
    <mergeCell ref="I126:J126"/>
    <mergeCell ref="B127:F127"/>
    <mergeCell ref="G127:H127"/>
    <mergeCell ref="I127:J127"/>
    <mergeCell ref="B132:F132"/>
    <mergeCell ref="G132:H132"/>
    <mergeCell ref="I132:J132"/>
    <mergeCell ref="B133:F133"/>
    <mergeCell ref="G133:H133"/>
    <mergeCell ref="I133:J133"/>
    <mergeCell ref="B130:F130"/>
    <mergeCell ref="G130:H130"/>
    <mergeCell ref="I130:J130"/>
    <mergeCell ref="B131:F131"/>
    <mergeCell ref="G131:H131"/>
    <mergeCell ref="I131:J131"/>
    <mergeCell ref="B136:F136"/>
    <mergeCell ref="G136:H136"/>
    <mergeCell ref="I136:J136"/>
    <mergeCell ref="B137:F137"/>
    <mergeCell ref="G137:H137"/>
    <mergeCell ref="I137:J137"/>
    <mergeCell ref="B134:F134"/>
    <mergeCell ref="G134:H134"/>
    <mergeCell ref="I134:J134"/>
    <mergeCell ref="B135:F135"/>
    <mergeCell ref="G135:H135"/>
    <mergeCell ref="I135:J135"/>
    <mergeCell ref="B140:F140"/>
    <mergeCell ref="G140:H140"/>
    <mergeCell ref="I140:J140"/>
    <mergeCell ref="B141:F141"/>
    <mergeCell ref="G141:H141"/>
    <mergeCell ref="I141:J141"/>
    <mergeCell ref="B138:F138"/>
    <mergeCell ref="G138:H138"/>
    <mergeCell ref="I138:J138"/>
    <mergeCell ref="B139:F139"/>
    <mergeCell ref="G139:H139"/>
    <mergeCell ref="I139:J139"/>
    <mergeCell ref="B144:F144"/>
    <mergeCell ref="G144:H144"/>
    <mergeCell ref="I144:J144"/>
    <mergeCell ref="B145:F145"/>
    <mergeCell ref="G145:H145"/>
    <mergeCell ref="I145:J145"/>
    <mergeCell ref="B142:F142"/>
    <mergeCell ref="G142:H142"/>
    <mergeCell ref="I142:J142"/>
    <mergeCell ref="B143:F143"/>
    <mergeCell ref="G143:H143"/>
    <mergeCell ref="I143:J143"/>
    <mergeCell ref="B148:F148"/>
    <mergeCell ref="G148:H148"/>
    <mergeCell ref="I148:J148"/>
    <mergeCell ref="B149:F149"/>
    <mergeCell ref="G149:H149"/>
    <mergeCell ref="I149:J149"/>
    <mergeCell ref="B146:F146"/>
    <mergeCell ref="G146:H146"/>
    <mergeCell ref="I146:J146"/>
    <mergeCell ref="B147:F147"/>
    <mergeCell ref="G147:H147"/>
    <mergeCell ref="I147:J147"/>
    <mergeCell ref="B150:F150"/>
    <mergeCell ref="G150:H150"/>
    <mergeCell ref="I150:J150"/>
    <mergeCell ref="B151:F151"/>
    <mergeCell ref="I151:J151"/>
    <mergeCell ref="B152:F152"/>
    <mergeCell ref="G152:H152"/>
    <mergeCell ref="I152:J152"/>
    <mergeCell ref="G151:H151"/>
    <mergeCell ref="A164:J164"/>
    <mergeCell ref="B153:F153"/>
    <mergeCell ref="G153:H153"/>
    <mergeCell ref="I153:J153"/>
    <mergeCell ref="B154:F154"/>
    <mergeCell ref="G154:H154"/>
    <mergeCell ref="I154:J154"/>
    <mergeCell ref="B155:F155"/>
    <mergeCell ref="G155:H155"/>
    <mergeCell ref="B162:D162"/>
    <mergeCell ref="E162:F162"/>
    <mergeCell ref="G162:H162"/>
    <mergeCell ref="I162:J162"/>
    <mergeCell ref="I155:J155"/>
    <mergeCell ref="B156:F156"/>
    <mergeCell ref="I156:J156"/>
    <mergeCell ref="B157:F157"/>
    <mergeCell ref="B165:D165"/>
    <mergeCell ref="E165:F165"/>
    <mergeCell ref="G165:H165"/>
    <mergeCell ref="B167:D167"/>
    <mergeCell ref="E167:F167"/>
    <mergeCell ref="G167:H167"/>
    <mergeCell ref="I167:J167"/>
    <mergeCell ref="I165:J165"/>
    <mergeCell ref="B166:D166"/>
    <mergeCell ref="E166:F166"/>
    <mergeCell ref="G166:H166"/>
    <mergeCell ref="I166:J166"/>
    <mergeCell ref="B177:D177"/>
    <mergeCell ref="E177:F177"/>
    <mergeCell ref="G177:H177"/>
    <mergeCell ref="I177:J177"/>
    <mergeCell ref="B178:D178"/>
    <mergeCell ref="E178:F178"/>
    <mergeCell ref="G178:H178"/>
    <mergeCell ref="I178:J178"/>
    <mergeCell ref="B176:D176"/>
    <mergeCell ref="E176:F176"/>
    <mergeCell ref="G176:H176"/>
    <mergeCell ref="I176:J176"/>
    <mergeCell ref="B194:D194"/>
    <mergeCell ref="G194:H194"/>
    <mergeCell ref="I194:J194"/>
    <mergeCell ref="A189:J189"/>
    <mergeCell ref="B190:D190"/>
    <mergeCell ref="E190:F190"/>
    <mergeCell ref="G190:H190"/>
    <mergeCell ref="I190:J190"/>
    <mergeCell ref="B191:D191"/>
    <mergeCell ref="E191:F191"/>
    <mergeCell ref="G191:H191"/>
    <mergeCell ref="B193:D193"/>
    <mergeCell ref="E193:F193"/>
    <mergeCell ref="G193:H193"/>
    <mergeCell ref="I193:J193"/>
    <mergeCell ref="E194:F194"/>
    <mergeCell ref="B208:D208"/>
    <mergeCell ref="G208:H208"/>
    <mergeCell ref="I208:J208"/>
    <mergeCell ref="B206:D206"/>
    <mergeCell ref="G206:H206"/>
    <mergeCell ref="I206:J206"/>
    <mergeCell ref="B207:D207"/>
    <mergeCell ref="G207:H207"/>
    <mergeCell ref="I207:J207"/>
    <mergeCell ref="B213:D213"/>
    <mergeCell ref="I213:J213"/>
    <mergeCell ref="B214:D214"/>
    <mergeCell ref="I214:J214"/>
    <mergeCell ref="A210:J210"/>
    <mergeCell ref="B211:D211"/>
    <mergeCell ref="I211:J211"/>
    <mergeCell ref="B212:D212"/>
    <mergeCell ref="I212:J212"/>
    <mergeCell ref="E211:F211"/>
    <mergeCell ref="G211:H211"/>
    <mergeCell ref="E212:F212"/>
    <mergeCell ref="G212:H212"/>
    <mergeCell ref="E213:F213"/>
    <mergeCell ref="G213:H213"/>
    <mergeCell ref="E214:F214"/>
    <mergeCell ref="G214:H214"/>
    <mergeCell ref="A215:J215"/>
    <mergeCell ref="B221:D221"/>
    <mergeCell ref="F221:G221"/>
    <mergeCell ref="I221:J221"/>
    <mergeCell ref="B222:D222"/>
    <mergeCell ref="F222:G222"/>
    <mergeCell ref="I222:J222"/>
    <mergeCell ref="B219:D219"/>
    <mergeCell ref="F219:G219"/>
    <mergeCell ref="I219:J219"/>
    <mergeCell ref="B220:D220"/>
    <mergeCell ref="F220:G220"/>
    <mergeCell ref="I220:J220"/>
    <mergeCell ref="B217:D217"/>
    <mergeCell ref="F217:G217"/>
    <mergeCell ref="I217:J217"/>
    <mergeCell ref="B218:D218"/>
    <mergeCell ref="F218:G218"/>
    <mergeCell ref="I218:J218"/>
    <mergeCell ref="B216:D216"/>
    <mergeCell ref="F216:G216"/>
    <mergeCell ref="I216:J216"/>
    <mergeCell ref="B225:D225"/>
    <mergeCell ref="F225:G225"/>
    <mergeCell ref="I225:J225"/>
    <mergeCell ref="B226:D226"/>
    <mergeCell ref="F226:G226"/>
    <mergeCell ref="I226:J226"/>
    <mergeCell ref="B223:D223"/>
    <mergeCell ref="F223:G223"/>
    <mergeCell ref="I223:J223"/>
    <mergeCell ref="B224:D224"/>
    <mergeCell ref="F224:G224"/>
    <mergeCell ref="I224:J224"/>
    <mergeCell ref="B229:D229"/>
    <mergeCell ref="F229:G229"/>
    <mergeCell ref="I229:J229"/>
    <mergeCell ref="B230:D230"/>
    <mergeCell ref="F230:G230"/>
    <mergeCell ref="I230:J230"/>
    <mergeCell ref="B227:D227"/>
    <mergeCell ref="F227:G227"/>
    <mergeCell ref="I227:J227"/>
    <mergeCell ref="B228:D228"/>
    <mergeCell ref="F228:G228"/>
    <mergeCell ref="I228:J228"/>
    <mergeCell ref="B234:D234"/>
    <mergeCell ref="I234:J234"/>
    <mergeCell ref="B235:D235"/>
    <mergeCell ref="I235:J235"/>
    <mergeCell ref="B231:D231"/>
    <mergeCell ref="F231:G231"/>
    <mergeCell ref="I231:J231"/>
    <mergeCell ref="B233:D233"/>
    <mergeCell ref="I233:J233"/>
    <mergeCell ref="B232:D232"/>
    <mergeCell ref="F232:G232"/>
    <mergeCell ref="I232:J232"/>
    <mergeCell ref="F233:G233"/>
    <mergeCell ref="F234:G234"/>
    <mergeCell ref="F235:G235"/>
    <mergeCell ref="B262:D262"/>
    <mergeCell ref="B263:D263"/>
    <mergeCell ref="B264:D264"/>
    <mergeCell ref="G266:J266"/>
    <mergeCell ref="B265:D265"/>
    <mergeCell ref="B266:D266"/>
    <mergeCell ref="A267:J267"/>
    <mergeCell ref="B236:D236"/>
    <mergeCell ref="I236:J236"/>
    <mergeCell ref="A237:J237"/>
    <mergeCell ref="F236:G236"/>
    <mergeCell ref="B238:D238"/>
    <mergeCell ref="E238:F238"/>
    <mergeCell ref="G238:H238"/>
    <mergeCell ref="I238:J238"/>
    <mergeCell ref="B239:D239"/>
    <mergeCell ref="E239:F239"/>
    <mergeCell ref="G239:H239"/>
    <mergeCell ref="I239:J239"/>
    <mergeCell ref="E240:F240"/>
    <mergeCell ref="G240:H240"/>
    <mergeCell ref="I240:J240"/>
    <mergeCell ref="B241:D241"/>
    <mergeCell ref="E241:F241"/>
    <mergeCell ref="G268:J268"/>
    <mergeCell ref="B274:D274"/>
    <mergeCell ref="E274:F274"/>
    <mergeCell ref="B275:D275"/>
    <mergeCell ref="E275:F275"/>
    <mergeCell ref="B270:D270"/>
    <mergeCell ref="E270:F270"/>
    <mergeCell ref="B272:D272"/>
    <mergeCell ref="E272:F272"/>
    <mergeCell ref="A271:J271"/>
    <mergeCell ref="A268:A269"/>
    <mergeCell ref="B268:D269"/>
    <mergeCell ref="E268:F269"/>
    <mergeCell ref="G270:J270"/>
    <mergeCell ref="A273:J273"/>
    <mergeCell ref="B276:D276"/>
    <mergeCell ref="E276:F276"/>
    <mergeCell ref="B277:D277"/>
    <mergeCell ref="E277:F277"/>
    <mergeCell ref="B278:D278"/>
    <mergeCell ref="E278:F278"/>
    <mergeCell ref="B279:D279"/>
    <mergeCell ref="E279:F279"/>
    <mergeCell ref="A281:J281"/>
    <mergeCell ref="B283:D283"/>
    <mergeCell ref="E283:F283"/>
    <mergeCell ref="B284:D284"/>
    <mergeCell ref="E284:F284"/>
    <mergeCell ref="B285:D285"/>
    <mergeCell ref="B286:D286"/>
    <mergeCell ref="E285:F285"/>
    <mergeCell ref="E288:F288"/>
    <mergeCell ref="B280:D280"/>
    <mergeCell ref="E280:F280"/>
    <mergeCell ref="B282:D282"/>
    <mergeCell ref="E282:F282"/>
    <mergeCell ref="B290:D290"/>
    <mergeCell ref="E290:F290"/>
    <mergeCell ref="B291:D291"/>
    <mergeCell ref="E291:F291"/>
    <mergeCell ref="B292:D292"/>
    <mergeCell ref="E292:F292"/>
    <mergeCell ref="B294:D294"/>
    <mergeCell ref="E294:F294"/>
    <mergeCell ref="B287:D287"/>
    <mergeCell ref="E287:F287"/>
    <mergeCell ref="B288:D288"/>
    <mergeCell ref="B289:D289"/>
    <mergeCell ref="E289:F289"/>
    <mergeCell ref="I301:J301"/>
    <mergeCell ref="B302:D302"/>
    <mergeCell ref="E302:F302"/>
    <mergeCell ref="G302:H302"/>
    <mergeCell ref="I302:J302"/>
    <mergeCell ref="B293:D293"/>
    <mergeCell ref="E293:F293"/>
    <mergeCell ref="G294:J294"/>
    <mergeCell ref="A295:J295"/>
    <mergeCell ref="G296:H296"/>
    <mergeCell ref="I296:J296"/>
    <mergeCell ref="B297:D297"/>
    <mergeCell ref="E297:F297"/>
    <mergeCell ref="G297:H297"/>
    <mergeCell ref="I297:J297"/>
    <mergeCell ref="A298:J298"/>
    <mergeCell ref="B296:D296"/>
    <mergeCell ref="E296:F296"/>
    <mergeCell ref="B299:D299"/>
    <mergeCell ref="E299:F299"/>
    <mergeCell ref="G299:H299"/>
    <mergeCell ref="I299:J299"/>
    <mergeCell ref="B300:D300"/>
    <mergeCell ref="E300:F300"/>
    <mergeCell ref="E303:F303"/>
    <mergeCell ref="G303:H303"/>
    <mergeCell ref="I303:J303"/>
    <mergeCell ref="B307:D307"/>
    <mergeCell ref="G307:H307"/>
    <mergeCell ref="I307:J307"/>
    <mergeCell ref="B305:D305"/>
    <mergeCell ref="E305:F305"/>
    <mergeCell ref="G305:H305"/>
    <mergeCell ref="I305:J305"/>
    <mergeCell ref="A304:J304"/>
    <mergeCell ref="B306:D306"/>
    <mergeCell ref="E306:F306"/>
    <mergeCell ref="G306:H306"/>
    <mergeCell ref="I306:J306"/>
    <mergeCell ref="G321:H321"/>
    <mergeCell ref="I321:J321"/>
    <mergeCell ref="G300:H300"/>
    <mergeCell ref="I300:J300"/>
    <mergeCell ref="B301:D301"/>
    <mergeCell ref="E301:F301"/>
    <mergeCell ref="G301:H301"/>
    <mergeCell ref="A317:J317"/>
    <mergeCell ref="B319:D319"/>
    <mergeCell ref="G319:H319"/>
    <mergeCell ref="I319:J319"/>
    <mergeCell ref="B318:D318"/>
    <mergeCell ref="G318:H318"/>
    <mergeCell ref="I318:J318"/>
    <mergeCell ref="B308:D308"/>
    <mergeCell ref="G308:H308"/>
    <mergeCell ref="I308:J308"/>
    <mergeCell ref="A309:J309"/>
    <mergeCell ref="A314:J314"/>
    <mergeCell ref="B315:D315"/>
    <mergeCell ref="G315:H315"/>
    <mergeCell ref="I315:J315"/>
    <mergeCell ref="B320:D320"/>
    <mergeCell ref="B303:D303"/>
    <mergeCell ref="G320:H320"/>
    <mergeCell ref="I320:J320"/>
    <mergeCell ref="B329:D329"/>
    <mergeCell ref="G329:H329"/>
    <mergeCell ref="I329:J329"/>
    <mergeCell ref="E332:F332"/>
    <mergeCell ref="B328:D328"/>
    <mergeCell ref="G328:H328"/>
    <mergeCell ref="I328:J328"/>
    <mergeCell ref="B322:D322"/>
    <mergeCell ref="G322:H322"/>
    <mergeCell ref="I322:J322"/>
    <mergeCell ref="I325:J325"/>
    <mergeCell ref="B326:D326"/>
    <mergeCell ref="E326:F326"/>
    <mergeCell ref="G326:H326"/>
    <mergeCell ref="I326:J326"/>
    <mergeCell ref="A327:J327"/>
    <mergeCell ref="E322:F322"/>
    <mergeCell ref="A323:J323"/>
    <mergeCell ref="A324:J324"/>
    <mergeCell ref="B325:D325"/>
    <mergeCell ref="E325:F325"/>
    <mergeCell ref="B321:D321"/>
    <mergeCell ref="B334:D334"/>
    <mergeCell ref="E334:F334"/>
    <mergeCell ref="G334:H334"/>
    <mergeCell ref="I334:J334"/>
    <mergeCell ref="B330:D330"/>
    <mergeCell ref="G330:H330"/>
    <mergeCell ref="I330:J330"/>
    <mergeCell ref="A333:J333"/>
    <mergeCell ref="B335:D335"/>
    <mergeCell ref="E335:F335"/>
    <mergeCell ref="G335:H335"/>
    <mergeCell ref="I335:J335"/>
    <mergeCell ref="B331:D331"/>
    <mergeCell ref="G331:H331"/>
    <mergeCell ref="I331:J331"/>
    <mergeCell ref="B332:D332"/>
    <mergeCell ref="G332:H332"/>
    <mergeCell ref="I332:J332"/>
    <mergeCell ref="B337:D337"/>
    <mergeCell ref="G337:H337"/>
    <mergeCell ref="I337:J337"/>
    <mergeCell ref="A336:J336"/>
    <mergeCell ref="B338:D338"/>
    <mergeCell ref="G338:H338"/>
    <mergeCell ref="I338:J338"/>
    <mergeCell ref="B341:D341"/>
    <mergeCell ref="E341:F341"/>
    <mergeCell ref="G341:H341"/>
    <mergeCell ref="I341:J341"/>
    <mergeCell ref="B339:D339"/>
    <mergeCell ref="G339:H339"/>
    <mergeCell ref="I339:J339"/>
    <mergeCell ref="E339:F339"/>
    <mergeCell ref="A340:J340"/>
    <mergeCell ref="B342:D342"/>
    <mergeCell ref="E342:F342"/>
    <mergeCell ref="G342:H342"/>
    <mergeCell ref="I342:J342"/>
    <mergeCell ref="B344:D344"/>
    <mergeCell ref="G344:H344"/>
    <mergeCell ref="I344:J344"/>
    <mergeCell ref="B345:D345"/>
    <mergeCell ref="G345:H345"/>
    <mergeCell ref="I345:J345"/>
    <mergeCell ref="B343:D343"/>
    <mergeCell ref="G343:H343"/>
    <mergeCell ref="I343:J343"/>
    <mergeCell ref="B348:D348"/>
    <mergeCell ref="E348:F348"/>
    <mergeCell ref="G348:H348"/>
    <mergeCell ref="I348:J348"/>
    <mergeCell ref="B346:D346"/>
    <mergeCell ref="G346:H346"/>
    <mergeCell ref="I346:J346"/>
    <mergeCell ref="E346:F346"/>
    <mergeCell ref="A347:J347"/>
    <mergeCell ref="B349:D349"/>
    <mergeCell ref="E349:F349"/>
    <mergeCell ref="G349:H349"/>
    <mergeCell ref="I349:J349"/>
    <mergeCell ref="B350:D350"/>
    <mergeCell ref="G350:H350"/>
    <mergeCell ref="I350:J350"/>
    <mergeCell ref="G351:H351"/>
    <mergeCell ref="I351:J351"/>
    <mergeCell ref="G369:H369"/>
    <mergeCell ref="I369:J369"/>
    <mergeCell ref="A371:J371"/>
    <mergeCell ref="B372:D372"/>
    <mergeCell ref="G372:H372"/>
    <mergeCell ref="B353:D353"/>
    <mergeCell ref="G353:H353"/>
    <mergeCell ref="I353:J353"/>
    <mergeCell ref="B351:D351"/>
    <mergeCell ref="B352:D352"/>
    <mergeCell ref="G352:H352"/>
    <mergeCell ref="I352:J352"/>
    <mergeCell ref="E353:F353"/>
    <mergeCell ref="A354:J354"/>
    <mergeCell ref="A357:J357"/>
    <mergeCell ref="G359:H359"/>
    <mergeCell ref="I359:J359"/>
    <mergeCell ref="E360:F360"/>
    <mergeCell ref="G378:H378"/>
    <mergeCell ref="I378:J378"/>
    <mergeCell ref="B374:D374"/>
    <mergeCell ref="I374:J374"/>
    <mergeCell ref="B375:D375"/>
    <mergeCell ref="I375:J375"/>
    <mergeCell ref="B376:D376"/>
    <mergeCell ref="I376:J376"/>
    <mergeCell ref="B364:D364"/>
    <mergeCell ref="I364:J364"/>
    <mergeCell ref="B365:D365"/>
    <mergeCell ref="I365:J365"/>
    <mergeCell ref="E367:F367"/>
    <mergeCell ref="B373:D373"/>
    <mergeCell ref="I373:J373"/>
    <mergeCell ref="E376:F376"/>
    <mergeCell ref="G376:H376"/>
    <mergeCell ref="B370:D370"/>
    <mergeCell ref="E370:F370"/>
    <mergeCell ref="G370:H370"/>
    <mergeCell ref="I370:J370"/>
    <mergeCell ref="A368:J368"/>
    <mergeCell ref="B369:D369"/>
    <mergeCell ref="E369:F369"/>
    <mergeCell ref="B379:D379"/>
    <mergeCell ref="E379:F379"/>
    <mergeCell ref="G379:H379"/>
    <mergeCell ref="I379:J379"/>
    <mergeCell ref="I372:J372"/>
    <mergeCell ref="B377:D377"/>
    <mergeCell ref="G377:H377"/>
    <mergeCell ref="I377:J377"/>
    <mergeCell ref="A386:J386"/>
    <mergeCell ref="G382:H382"/>
    <mergeCell ref="I382:J382"/>
    <mergeCell ref="A383:J383"/>
    <mergeCell ref="G384:H384"/>
    <mergeCell ref="I384:J384"/>
    <mergeCell ref="G385:H385"/>
    <mergeCell ref="I385:J385"/>
    <mergeCell ref="B380:D380"/>
    <mergeCell ref="G380:H380"/>
    <mergeCell ref="I380:J380"/>
    <mergeCell ref="B381:D381"/>
    <mergeCell ref="G381:H381"/>
    <mergeCell ref="I381:J381"/>
    <mergeCell ref="E377:F377"/>
    <mergeCell ref="B378:D378"/>
    <mergeCell ref="B387:D387"/>
    <mergeCell ref="E387:F387"/>
    <mergeCell ref="G387:H387"/>
    <mergeCell ref="I387:J387"/>
    <mergeCell ref="B388:D388"/>
    <mergeCell ref="E388:F388"/>
    <mergeCell ref="G388:H388"/>
    <mergeCell ref="A389:J389"/>
    <mergeCell ref="B390:D390"/>
    <mergeCell ref="G390:H390"/>
    <mergeCell ref="I388:J388"/>
    <mergeCell ref="B391:D391"/>
    <mergeCell ref="B393:D393"/>
    <mergeCell ref="I390:J390"/>
    <mergeCell ref="I391:J391"/>
    <mergeCell ref="I393:J393"/>
    <mergeCell ref="A392:J392"/>
    <mergeCell ref="B395:D395"/>
    <mergeCell ref="I395:J395"/>
    <mergeCell ref="A394:J394"/>
    <mergeCell ref="I416:J416"/>
    <mergeCell ref="B396:D396"/>
    <mergeCell ref="E396:F396"/>
    <mergeCell ref="G396:H396"/>
    <mergeCell ref="I396:J396"/>
    <mergeCell ref="B397:D397"/>
    <mergeCell ref="G397:H397"/>
    <mergeCell ref="I397:J397"/>
    <mergeCell ref="G414:H414"/>
    <mergeCell ref="D415:H415"/>
    <mergeCell ref="I412:J412"/>
    <mergeCell ref="I413:J413"/>
    <mergeCell ref="I414:J414"/>
    <mergeCell ref="I415:J415"/>
    <mergeCell ref="A398:J398"/>
    <mergeCell ref="G399:J399"/>
    <mergeCell ref="B401:D401"/>
    <mergeCell ref="E401:F401"/>
    <mergeCell ref="B402:D402"/>
    <mergeCell ref="E402:F402"/>
    <mergeCell ref="B403:D403"/>
    <mergeCell ref="E403:F403"/>
    <mergeCell ref="I407:J407"/>
  </mergeCells>
  <pageMargins left="0.70866141732283472" right="0.70866141732283472" top="0.74803149606299213" bottom="0.74803149606299213" header="0.31496062992125984" footer="0.31496062992125984"/>
  <pageSetup paperSize="9" scale="49" fitToHeight="2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03"/>
  <sheetViews>
    <sheetView workbookViewId="0">
      <selection activeCell="A400" sqref="A1:J400"/>
    </sheetView>
  </sheetViews>
  <sheetFormatPr defaultColWidth="9.109375" defaultRowHeight="14.4" x14ac:dyDescent="0.3"/>
  <cols>
    <col min="1" max="1" width="5.109375" style="1" customWidth="1"/>
    <col min="2" max="2" width="25" style="1" customWidth="1"/>
    <col min="3" max="3" width="9.109375" style="1"/>
    <col min="4" max="4" width="17.109375" style="1" customWidth="1"/>
    <col min="5" max="5" width="13.109375" style="1" customWidth="1"/>
    <col min="6" max="6" width="10.6640625" style="1" customWidth="1"/>
    <col min="7" max="7" width="12.33203125" style="1" customWidth="1"/>
    <col min="8" max="8" width="10.6640625" style="1" customWidth="1"/>
    <col min="9" max="9" width="11.5546875" style="1" customWidth="1"/>
    <col min="10" max="10" width="24.88671875" style="1" customWidth="1"/>
    <col min="11" max="11" width="16.44140625" style="1" customWidth="1"/>
    <col min="12" max="12" width="18.109375" style="1" customWidth="1"/>
    <col min="13" max="13" width="9.6640625" style="1" customWidth="1"/>
    <col min="14" max="14" width="14" style="1" customWidth="1"/>
    <col min="15" max="16384" width="9.109375" style="1"/>
  </cols>
  <sheetData>
    <row r="1" spans="1:11" ht="26.25" customHeight="1" x14ac:dyDescent="0.3">
      <c r="A1" s="1344" t="s">
        <v>68</v>
      </c>
      <c r="B1" s="1344"/>
      <c r="C1" s="1344"/>
      <c r="D1" s="1344"/>
      <c r="E1" s="1344"/>
      <c r="F1" s="1344"/>
      <c r="G1" s="1344"/>
      <c r="H1" s="1344"/>
      <c r="I1" s="1344"/>
      <c r="J1" s="1344"/>
    </row>
    <row r="2" spans="1:11" ht="17.25" customHeight="1" x14ac:dyDescent="0.3">
      <c r="A2" s="1344" t="s">
        <v>474</v>
      </c>
      <c r="B2" s="1344"/>
      <c r="C2" s="1344"/>
      <c r="D2" s="1344"/>
      <c r="E2" s="1344"/>
      <c r="F2" s="1344"/>
      <c r="G2" s="1344"/>
      <c r="H2" s="1344"/>
      <c r="I2" s="1344"/>
      <c r="J2" s="1344"/>
    </row>
    <row r="3" spans="1:11" ht="47.25" customHeight="1" x14ac:dyDescent="0.3">
      <c r="A3" s="1344" t="s">
        <v>590</v>
      </c>
      <c r="B3" s="1344"/>
      <c r="C3" s="1344"/>
      <c r="D3" s="1344"/>
      <c r="E3" s="1344"/>
      <c r="F3" s="1344"/>
      <c r="G3" s="1344"/>
      <c r="H3" s="1344"/>
      <c r="I3" s="1344"/>
      <c r="J3" s="1344"/>
    </row>
    <row r="4" spans="1:11" ht="15.6" x14ac:dyDescent="0.3">
      <c r="A4" s="89"/>
      <c r="B4" s="90"/>
      <c r="C4" s="90"/>
      <c r="D4" s="91" t="s">
        <v>267</v>
      </c>
      <c r="E4" s="296">
        <v>2024</v>
      </c>
      <c r="F4" s="92" t="s">
        <v>598</v>
      </c>
      <c r="G4" s="90"/>
      <c r="H4" s="90"/>
      <c r="I4" s="90"/>
      <c r="J4" s="90"/>
    </row>
    <row r="5" spans="1:11" ht="15.6" x14ac:dyDescent="0.3">
      <c r="A5" s="1218" t="s">
        <v>0</v>
      </c>
      <c r="B5" s="1218"/>
      <c r="C5" s="1218"/>
      <c r="D5" s="1218"/>
      <c r="E5" s="1218"/>
      <c r="F5" s="1218"/>
      <c r="G5" s="1218"/>
      <c r="H5" s="1218"/>
      <c r="I5" s="1218"/>
      <c r="J5" s="1218"/>
    </row>
    <row r="6" spans="1:11" ht="19.5" customHeight="1" x14ac:dyDescent="0.3">
      <c r="A6" s="89" t="s">
        <v>80</v>
      </c>
      <c r="B6" s="90"/>
      <c r="C6" s="349">
        <v>111</v>
      </c>
      <c r="D6" s="349">
        <v>112</v>
      </c>
      <c r="E6" s="349">
        <v>119</v>
      </c>
      <c r="F6" s="94"/>
      <c r="G6" s="94"/>
      <c r="H6" s="94"/>
      <c r="I6" s="94"/>
      <c r="J6" s="94"/>
    </row>
    <row r="7" spans="1:11" ht="22.5" customHeight="1" x14ac:dyDescent="0.3">
      <c r="A7" s="89" t="s">
        <v>81</v>
      </c>
      <c r="B7" s="90"/>
      <c r="C7" s="90"/>
      <c r="D7" s="90"/>
      <c r="E7" s="95" t="s">
        <v>82</v>
      </c>
      <c r="F7" s="96"/>
      <c r="G7" s="95"/>
      <c r="H7" s="96"/>
      <c r="I7" s="96"/>
      <c r="J7" s="96"/>
    </row>
    <row r="8" spans="1:11" ht="21" customHeight="1" x14ac:dyDescent="0.3">
      <c r="A8" s="1214" t="s">
        <v>357</v>
      </c>
      <c r="B8" s="1214"/>
      <c r="C8" s="1214"/>
      <c r="D8" s="1214"/>
      <c r="E8" s="1214"/>
      <c r="F8" s="1214"/>
      <c r="G8" s="1214"/>
      <c r="H8" s="1214"/>
      <c r="I8" s="1214"/>
      <c r="J8" s="1214"/>
    </row>
    <row r="9" spans="1:11" x14ac:dyDescent="0.3">
      <c r="A9" s="1345" t="s">
        <v>1</v>
      </c>
      <c r="B9" s="1346" t="s">
        <v>2</v>
      </c>
      <c r="C9" s="1346" t="s">
        <v>3</v>
      </c>
      <c r="D9" s="1345" t="s">
        <v>4</v>
      </c>
      <c r="E9" s="1345"/>
      <c r="F9" s="1345"/>
      <c r="G9" s="1345"/>
      <c r="H9" s="1345" t="s">
        <v>5</v>
      </c>
      <c r="I9" s="1346" t="s">
        <v>6</v>
      </c>
      <c r="J9" s="1346" t="s">
        <v>312</v>
      </c>
    </row>
    <row r="10" spans="1:11" ht="33" customHeight="1" x14ac:dyDescent="0.3">
      <c r="A10" s="1345"/>
      <c r="B10" s="1346"/>
      <c r="C10" s="1346"/>
      <c r="D10" s="1346" t="s">
        <v>8</v>
      </c>
      <c r="E10" s="1346" t="s">
        <v>9</v>
      </c>
      <c r="F10" s="1346"/>
      <c r="G10" s="1346"/>
      <c r="H10" s="1345"/>
      <c r="I10" s="1346"/>
      <c r="J10" s="1346"/>
    </row>
    <row r="11" spans="1:11" ht="69" x14ac:dyDescent="0.3">
      <c r="A11" s="1345"/>
      <c r="B11" s="1346"/>
      <c r="C11" s="1346"/>
      <c r="D11" s="1346"/>
      <c r="E11" s="612" t="s">
        <v>10</v>
      </c>
      <c r="F11" s="612" t="s">
        <v>11</v>
      </c>
      <c r="G11" s="612" t="s">
        <v>12</v>
      </c>
      <c r="H11" s="1345"/>
      <c r="I11" s="1346"/>
      <c r="J11" s="1346"/>
    </row>
    <row r="12" spans="1:11" ht="14.25" customHeight="1" x14ac:dyDescent="0.3">
      <c r="A12" s="449">
        <v>1</v>
      </c>
      <c r="B12" s="449">
        <v>2</v>
      </c>
      <c r="C12" s="449">
        <v>3</v>
      </c>
      <c r="D12" s="449">
        <v>4</v>
      </c>
      <c r="E12" s="449">
        <v>5</v>
      </c>
      <c r="F12" s="449">
        <v>6</v>
      </c>
      <c r="G12" s="449">
        <v>7</v>
      </c>
      <c r="H12" s="449">
        <v>8</v>
      </c>
      <c r="I12" s="449">
        <v>9</v>
      </c>
      <c r="J12" s="449">
        <v>10</v>
      </c>
    </row>
    <row r="13" spans="1:11" s="41" customFormat="1" ht="13.8" x14ac:dyDescent="0.3">
      <c r="A13" s="1352" t="s">
        <v>358</v>
      </c>
      <c r="B13" s="1346"/>
      <c r="C13" s="1346"/>
      <c r="D13" s="1346"/>
      <c r="E13" s="1346"/>
      <c r="F13" s="1346"/>
      <c r="G13" s="1346"/>
      <c r="H13" s="1346"/>
      <c r="I13" s="1346"/>
      <c r="J13" s="1346"/>
    </row>
    <row r="14" spans="1:11" s="41" customFormat="1" ht="13.8" x14ac:dyDescent="0.3">
      <c r="A14" s="1353" t="s">
        <v>475</v>
      </c>
      <c r="B14" s="1354"/>
      <c r="C14" s="1354"/>
      <c r="D14" s="1354"/>
      <c r="E14" s="1354"/>
      <c r="F14" s="1354"/>
      <c r="G14" s="1354"/>
      <c r="H14" s="1354"/>
      <c r="I14" s="1354"/>
      <c r="J14" s="1354"/>
    </row>
    <row r="15" spans="1:11" ht="20.25" hidden="1" customHeight="1" x14ac:dyDescent="0.3">
      <c r="A15" s="607">
        <v>1</v>
      </c>
      <c r="B15" s="111" t="s">
        <v>261</v>
      </c>
      <c r="C15" s="607"/>
      <c r="D15" s="112">
        <f>E15+F15+G15</f>
        <v>95000</v>
      </c>
      <c r="E15" s="112">
        <v>75000</v>
      </c>
      <c r="F15" s="112">
        <v>0</v>
      </c>
      <c r="G15" s="112">
        <v>20000</v>
      </c>
      <c r="H15" s="113">
        <v>50</v>
      </c>
      <c r="I15" s="607">
        <v>1.7</v>
      </c>
      <c r="J15" s="114">
        <f>((C15*D15*(H15/100+I15))*12)</f>
        <v>0</v>
      </c>
      <c r="K15" s="137"/>
    </row>
    <row r="16" spans="1:11" ht="45" customHeight="1" x14ac:dyDescent="0.3">
      <c r="A16" s="607">
        <v>1</v>
      </c>
      <c r="B16" s="111" t="s">
        <v>476</v>
      </c>
      <c r="C16" s="607">
        <v>0.04</v>
      </c>
      <c r="D16" s="112">
        <f t="shared" ref="D16:D63" si="0">E16+F16+G16</f>
        <v>6600</v>
      </c>
      <c r="E16" s="112">
        <v>3000</v>
      </c>
      <c r="F16" s="112">
        <v>2600</v>
      </c>
      <c r="G16" s="112">
        <v>1000</v>
      </c>
      <c r="H16" s="113">
        <v>50</v>
      </c>
      <c r="I16" s="607">
        <v>1.7</v>
      </c>
      <c r="J16" s="114">
        <f>((C16*D16*(H16/100+I16))*12)*1.2</f>
        <v>8363.52</v>
      </c>
    </row>
    <row r="17" spans="1:12" ht="45" hidden="1" customHeight="1" x14ac:dyDescent="0.3">
      <c r="A17" s="607">
        <v>3</v>
      </c>
      <c r="B17" s="111" t="s">
        <v>477</v>
      </c>
      <c r="C17" s="607"/>
      <c r="D17" s="112"/>
      <c r="E17" s="112">
        <v>37800</v>
      </c>
      <c r="F17" s="112">
        <v>0</v>
      </c>
      <c r="G17" s="112">
        <f t="shared" ref="G17:G19" si="1">E17*20%</f>
        <v>7560</v>
      </c>
      <c r="H17" s="113">
        <v>50</v>
      </c>
      <c r="I17" s="607">
        <v>1.7</v>
      </c>
      <c r="J17" s="114">
        <f t="shared" ref="J17:J20" si="2">((C17*D17*(H17/100+I17))*12)*1.2</f>
        <v>0</v>
      </c>
    </row>
    <row r="18" spans="1:12" ht="45" hidden="1" customHeight="1" x14ac:dyDescent="0.3">
      <c r="A18" s="607">
        <v>4</v>
      </c>
      <c r="B18" s="111" t="s">
        <v>478</v>
      </c>
      <c r="C18" s="607"/>
      <c r="D18" s="112"/>
      <c r="E18" s="112">
        <v>37800</v>
      </c>
      <c r="F18" s="112">
        <v>0</v>
      </c>
      <c r="G18" s="112">
        <f t="shared" si="1"/>
        <v>7560</v>
      </c>
      <c r="H18" s="113">
        <v>50</v>
      </c>
      <c r="I18" s="607">
        <v>17</v>
      </c>
      <c r="J18" s="114">
        <f t="shared" si="2"/>
        <v>0</v>
      </c>
      <c r="L18" s="1">
        <f>((C18*D18+(H18/100+I18)*12))</f>
        <v>210</v>
      </c>
    </row>
    <row r="19" spans="1:12" ht="49.5" hidden="1" customHeight="1" x14ac:dyDescent="0.3">
      <c r="A19" s="607">
        <v>5</v>
      </c>
      <c r="B19" s="111" t="s">
        <v>479</v>
      </c>
      <c r="C19" s="607"/>
      <c r="D19" s="112"/>
      <c r="E19" s="112">
        <v>37800</v>
      </c>
      <c r="F19" s="112">
        <v>0</v>
      </c>
      <c r="G19" s="112">
        <f t="shared" si="1"/>
        <v>7560</v>
      </c>
      <c r="H19" s="113">
        <v>50</v>
      </c>
      <c r="I19" s="607">
        <v>1.7</v>
      </c>
      <c r="J19" s="114">
        <f t="shared" si="2"/>
        <v>0</v>
      </c>
    </row>
    <row r="20" spans="1:12" x14ac:dyDescent="0.3">
      <c r="A20" s="607">
        <v>2</v>
      </c>
      <c r="B20" s="111" t="s">
        <v>262</v>
      </c>
      <c r="C20" s="607">
        <v>0.03</v>
      </c>
      <c r="D20" s="112">
        <f t="shared" si="0"/>
        <v>7100</v>
      </c>
      <c r="E20" s="112">
        <v>3000</v>
      </c>
      <c r="F20" s="112">
        <v>2600</v>
      </c>
      <c r="G20" s="112">
        <v>1500</v>
      </c>
      <c r="H20" s="113">
        <v>50</v>
      </c>
      <c r="I20" s="607">
        <v>1.7</v>
      </c>
      <c r="J20" s="114">
        <f t="shared" si="2"/>
        <v>6747.8400000000011</v>
      </c>
    </row>
    <row r="21" spans="1:12" ht="27.6" x14ac:dyDescent="0.3">
      <c r="A21" s="115"/>
      <c r="B21" s="116" t="s">
        <v>480</v>
      </c>
      <c r="C21" s="117">
        <f>SUM(C15:C20)</f>
        <v>7.0000000000000007E-2</v>
      </c>
      <c r="D21" s="118">
        <f>SUM(D15:D20)</f>
        <v>108700</v>
      </c>
      <c r="E21" s="117" t="s">
        <v>14</v>
      </c>
      <c r="F21" s="117" t="s">
        <v>14</v>
      </c>
      <c r="G21" s="117" t="s">
        <v>14</v>
      </c>
      <c r="H21" s="117" t="s">
        <v>14</v>
      </c>
      <c r="I21" s="117" t="s">
        <v>14</v>
      </c>
      <c r="J21" s="118">
        <f>SUM(J15:J20)</f>
        <v>15111.36</v>
      </c>
      <c r="K21" s="138"/>
    </row>
    <row r="22" spans="1:12" x14ac:dyDescent="0.3">
      <c r="A22" s="1347" t="s">
        <v>481</v>
      </c>
      <c r="B22" s="1348"/>
      <c r="C22" s="1348"/>
      <c r="D22" s="1348"/>
      <c r="E22" s="1348"/>
      <c r="F22" s="1348"/>
      <c r="G22" s="1348"/>
      <c r="H22" s="1348"/>
      <c r="I22" s="1348"/>
      <c r="J22" s="1348"/>
    </row>
    <row r="23" spans="1:12" ht="18.75" customHeight="1" x14ac:dyDescent="0.3">
      <c r="A23" s="1349" t="s">
        <v>482</v>
      </c>
      <c r="B23" s="1350"/>
      <c r="C23" s="1350"/>
      <c r="D23" s="1350"/>
      <c r="E23" s="1350"/>
      <c r="F23" s="1350"/>
      <c r="G23" s="1350"/>
      <c r="H23" s="1350"/>
      <c r="I23" s="1350"/>
      <c r="J23" s="1351"/>
    </row>
    <row r="24" spans="1:12" hidden="1" x14ac:dyDescent="0.3">
      <c r="A24" s="607">
        <v>1</v>
      </c>
      <c r="B24" s="111" t="s">
        <v>483</v>
      </c>
      <c r="C24" s="607"/>
      <c r="D24" s="112">
        <f>E24+F24+G24</f>
        <v>12240</v>
      </c>
      <c r="E24" s="136">
        <v>10200</v>
      </c>
      <c r="F24" s="112">
        <v>0</v>
      </c>
      <c r="G24" s="112">
        <f>E24*20%</f>
        <v>2040</v>
      </c>
      <c r="H24" s="113">
        <v>50</v>
      </c>
      <c r="I24" s="607">
        <v>1.7</v>
      </c>
      <c r="J24" s="141">
        <f>(C24*D24*(H24/100+I24))*13.8</f>
        <v>0</v>
      </c>
      <c r="K24" s="134"/>
    </row>
    <row r="25" spans="1:12" ht="69" hidden="1" x14ac:dyDescent="0.3">
      <c r="A25" s="607">
        <v>2</v>
      </c>
      <c r="B25" s="111" t="s">
        <v>484</v>
      </c>
      <c r="C25" s="607"/>
      <c r="D25" s="112">
        <f t="shared" si="0"/>
        <v>30000</v>
      </c>
      <c r="E25" s="136">
        <v>25000</v>
      </c>
      <c r="F25" s="112">
        <v>0</v>
      </c>
      <c r="G25" s="112">
        <v>5000</v>
      </c>
      <c r="H25" s="113">
        <v>50</v>
      </c>
      <c r="I25" s="607">
        <v>1.7</v>
      </c>
      <c r="J25" s="141">
        <f>(C25*D25*(H25/100+I25))*13</f>
        <v>0</v>
      </c>
    </row>
    <row r="26" spans="1:12" hidden="1" x14ac:dyDescent="0.3">
      <c r="A26" s="607">
        <v>3</v>
      </c>
      <c r="B26" s="111" t="s">
        <v>323</v>
      </c>
      <c r="C26" s="607"/>
      <c r="D26" s="112">
        <f t="shared" si="0"/>
        <v>37800</v>
      </c>
      <c r="E26" s="136">
        <v>31500</v>
      </c>
      <c r="F26" s="112">
        <v>0</v>
      </c>
      <c r="G26" s="112">
        <f t="shared" ref="G26:G48" si="3">E26*20%</f>
        <v>6300</v>
      </c>
      <c r="H26" s="113">
        <v>50</v>
      </c>
      <c r="I26" s="607">
        <v>1.7</v>
      </c>
      <c r="J26" s="141">
        <f>(C26*D26*(H26/100+I26))*11.4</f>
        <v>0</v>
      </c>
    </row>
    <row r="27" spans="1:12" hidden="1" x14ac:dyDescent="0.3">
      <c r="A27" s="607">
        <v>4</v>
      </c>
      <c r="B27" s="111" t="s">
        <v>485</v>
      </c>
      <c r="C27" s="607"/>
      <c r="D27" s="112">
        <f t="shared" si="0"/>
        <v>17400</v>
      </c>
      <c r="E27" s="136">
        <v>14500</v>
      </c>
      <c r="F27" s="112">
        <v>0</v>
      </c>
      <c r="G27" s="112">
        <f t="shared" si="3"/>
        <v>2900</v>
      </c>
      <c r="H27" s="113">
        <v>50</v>
      </c>
      <c r="I27" s="607">
        <v>1.7</v>
      </c>
      <c r="J27" s="141">
        <f>(C27*D27*(H27/100+I27))*14.6</f>
        <v>0</v>
      </c>
    </row>
    <row r="28" spans="1:12" hidden="1" x14ac:dyDescent="0.3">
      <c r="A28" s="607">
        <v>5</v>
      </c>
      <c r="B28" s="111" t="s">
        <v>324</v>
      </c>
      <c r="C28" s="607"/>
      <c r="D28" s="112">
        <f t="shared" si="0"/>
        <v>36000</v>
      </c>
      <c r="E28" s="136">
        <v>30000</v>
      </c>
      <c r="F28" s="112">
        <v>0</v>
      </c>
      <c r="G28" s="112">
        <f t="shared" si="3"/>
        <v>6000</v>
      </c>
      <c r="H28" s="113">
        <v>50</v>
      </c>
      <c r="I28" s="607">
        <v>1.7</v>
      </c>
      <c r="J28" s="141">
        <f t="shared" ref="J28" si="4">(C28*D28*(H28/100+I28))*14.6</f>
        <v>0</v>
      </c>
    </row>
    <row r="29" spans="1:12" ht="14.25" customHeight="1" x14ac:dyDescent="0.3">
      <c r="A29" s="607">
        <v>1</v>
      </c>
      <c r="B29" s="111" t="s">
        <v>322</v>
      </c>
      <c r="C29" s="607">
        <v>0.1</v>
      </c>
      <c r="D29" s="112">
        <f t="shared" si="0"/>
        <v>5200</v>
      </c>
      <c r="E29" s="136">
        <v>2000</v>
      </c>
      <c r="F29" s="112">
        <v>2200</v>
      </c>
      <c r="G29" s="112">
        <v>1000</v>
      </c>
      <c r="H29" s="113">
        <v>50</v>
      </c>
      <c r="I29" s="607">
        <v>1.7</v>
      </c>
      <c r="J29" s="114">
        <f>((C29*D29*(H29/100+I29))*12)*1.2+52.016</f>
        <v>16525.615999999998</v>
      </c>
    </row>
    <row r="30" spans="1:12" ht="14.25" hidden="1" customHeight="1" x14ac:dyDescent="0.3">
      <c r="A30" s="607">
        <v>7</v>
      </c>
      <c r="B30" s="111" t="s">
        <v>321</v>
      </c>
      <c r="C30" s="607"/>
      <c r="D30" s="112">
        <f t="shared" si="0"/>
        <v>30000</v>
      </c>
      <c r="E30" s="136">
        <v>25000</v>
      </c>
      <c r="F30" s="112">
        <v>0</v>
      </c>
      <c r="G30" s="112">
        <f t="shared" ref="G30:G32" si="5">E30*20%</f>
        <v>5000</v>
      </c>
      <c r="H30" s="113">
        <v>50</v>
      </c>
      <c r="I30" s="607">
        <v>1.7</v>
      </c>
      <c r="J30" s="114">
        <f t="shared" ref="J30:J34" si="6">((C30*D30*(H30/100+I30))*12)*1.2</f>
        <v>0</v>
      </c>
    </row>
    <row r="31" spans="1:12" ht="27.6" hidden="1" x14ac:dyDescent="0.3">
      <c r="A31" s="607">
        <v>6</v>
      </c>
      <c r="B31" s="111" t="s">
        <v>486</v>
      </c>
      <c r="C31" s="607"/>
      <c r="D31" s="112">
        <f t="shared" si="0"/>
        <v>14400</v>
      </c>
      <c r="E31" s="136">
        <v>12000</v>
      </c>
      <c r="F31" s="112">
        <v>0</v>
      </c>
      <c r="G31" s="112">
        <f t="shared" si="5"/>
        <v>2400</v>
      </c>
      <c r="H31" s="113">
        <v>50</v>
      </c>
      <c r="I31" s="607">
        <v>1.7</v>
      </c>
      <c r="J31" s="114">
        <f t="shared" si="6"/>
        <v>0</v>
      </c>
      <c r="K31" s="86"/>
    </row>
    <row r="32" spans="1:12" ht="20.25" customHeight="1" x14ac:dyDescent="0.3">
      <c r="A32" s="607">
        <v>2</v>
      </c>
      <c r="B32" s="111" t="s">
        <v>323</v>
      </c>
      <c r="C32" s="607">
        <v>0.1</v>
      </c>
      <c r="D32" s="112">
        <f t="shared" si="0"/>
        <v>2400</v>
      </c>
      <c r="E32" s="136">
        <v>2000</v>
      </c>
      <c r="F32" s="112"/>
      <c r="G32" s="112">
        <f t="shared" si="5"/>
        <v>400</v>
      </c>
      <c r="H32" s="113">
        <v>50</v>
      </c>
      <c r="I32" s="607">
        <v>1.7</v>
      </c>
      <c r="J32" s="114">
        <f t="shared" si="6"/>
        <v>7603.2</v>
      </c>
      <c r="K32" s="86"/>
    </row>
    <row r="33" spans="1:11" ht="14.25" customHeight="1" x14ac:dyDescent="0.3">
      <c r="A33" s="607">
        <v>3</v>
      </c>
      <c r="B33" s="111" t="s">
        <v>906</v>
      </c>
      <c r="C33" s="607">
        <v>1</v>
      </c>
      <c r="D33" s="112">
        <f t="shared" si="0"/>
        <v>1533</v>
      </c>
      <c r="E33" s="136">
        <v>1000</v>
      </c>
      <c r="F33" s="112">
        <v>333</v>
      </c>
      <c r="G33" s="112">
        <v>200</v>
      </c>
      <c r="H33" s="113">
        <v>50</v>
      </c>
      <c r="I33" s="607">
        <v>1.7</v>
      </c>
      <c r="J33" s="114">
        <f t="shared" si="6"/>
        <v>48565.440000000002</v>
      </c>
      <c r="K33" s="86"/>
    </row>
    <row r="34" spans="1:11" x14ac:dyDescent="0.3">
      <c r="A34" s="607">
        <v>4</v>
      </c>
      <c r="B34" s="111" t="s">
        <v>905</v>
      </c>
      <c r="C34" s="607">
        <v>1.1000000000000001</v>
      </c>
      <c r="D34" s="112">
        <f t="shared" si="0"/>
        <v>600</v>
      </c>
      <c r="E34" s="136">
        <v>500</v>
      </c>
      <c r="F34" s="112">
        <v>0</v>
      </c>
      <c r="G34" s="112">
        <f t="shared" si="3"/>
        <v>100</v>
      </c>
      <c r="H34" s="113">
        <v>50</v>
      </c>
      <c r="I34" s="607">
        <v>1.7</v>
      </c>
      <c r="J34" s="114">
        <f t="shared" si="6"/>
        <v>20908.800000000003</v>
      </c>
      <c r="K34" s="86"/>
    </row>
    <row r="35" spans="1:11" s="217" customFormat="1" x14ac:dyDescent="0.3">
      <c r="A35" s="214"/>
      <c r="B35" s="215" t="s">
        <v>489</v>
      </c>
      <c r="C35" s="214">
        <f>SUM(C24:C34)</f>
        <v>2.2999999999999998</v>
      </c>
      <c r="D35" s="214">
        <f t="shared" ref="D35:J35" si="7">SUM(D24:D34)</f>
        <v>187573</v>
      </c>
      <c r="E35" s="214">
        <f t="shared" si="7"/>
        <v>153700</v>
      </c>
      <c r="F35" s="214">
        <f t="shared" si="7"/>
        <v>2533</v>
      </c>
      <c r="G35" s="214">
        <f t="shared" si="7"/>
        <v>31340</v>
      </c>
      <c r="H35" s="214">
        <v>0</v>
      </c>
      <c r="I35" s="214">
        <v>0</v>
      </c>
      <c r="J35" s="214">
        <f t="shared" si="7"/>
        <v>93603.055999999997</v>
      </c>
      <c r="K35" s="216"/>
    </row>
    <row r="36" spans="1:11" x14ac:dyDescent="0.3">
      <c r="A36" s="1349" t="s">
        <v>490</v>
      </c>
      <c r="B36" s="1350"/>
      <c r="C36" s="1350"/>
      <c r="D36" s="1350"/>
      <c r="E36" s="1350"/>
      <c r="F36" s="1350"/>
      <c r="G36" s="1350"/>
      <c r="H36" s="1350"/>
      <c r="I36" s="1350"/>
      <c r="J36" s="1351"/>
      <c r="K36" s="86"/>
    </row>
    <row r="37" spans="1:11" hidden="1" x14ac:dyDescent="0.3">
      <c r="A37" s="607">
        <v>1</v>
      </c>
      <c r="B37" s="111" t="s">
        <v>496</v>
      </c>
      <c r="C37" s="607"/>
      <c r="D37" s="112">
        <v>14000</v>
      </c>
      <c r="E37" s="136">
        <v>12600</v>
      </c>
      <c r="F37" s="112">
        <v>0</v>
      </c>
      <c r="G37" s="112">
        <f t="shared" ref="G37:G41" si="8">E37*20%</f>
        <v>2520</v>
      </c>
      <c r="H37" s="113">
        <v>50</v>
      </c>
      <c r="I37" s="607">
        <v>1.7</v>
      </c>
      <c r="J37" s="114">
        <f t="shared" ref="J37:J44" si="9">((C37*D37*(H37/100+I37))*12)*1.2</f>
        <v>0</v>
      </c>
      <c r="K37" s="86"/>
    </row>
    <row r="38" spans="1:11" x14ac:dyDescent="0.3">
      <c r="A38" s="607">
        <v>1</v>
      </c>
      <c r="B38" s="111" t="s">
        <v>495</v>
      </c>
      <c r="C38" s="607">
        <v>0.03</v>
      </c>
      <c r="D38" s="384">
        <f t="shared" ref="D38:D41" si="10">E38+F38+G38</f>
        <v>3300</v>
      </c>
      <c r="E38" s="136">
        <v>1500</v>
      </c>
      <c r="F38" s="112">
        <v>1500</v>
      </c>
      <c r="G38" s="112">
        <f t="shared" si="8"/>
        <v>300</v>
      </c>
      <c r="H38" s="113">
        <v>50</v>
      </c>
      <c r="I38" s="537">
        <v>1.7</v>
      </c>
      <c r="J38" s="114">
        <f t="shared" si="9"/>
        <v>3136.32</v>
      </c>
      <c r="K38" s="86"/>
    </row>
    <row r="39" spans="1:11" x14ac:dyDescent="0.3">
      <c r="A39" s="607">
        <v>2</v>
      </c>
      <c r="B39" s="111" t="s">
        <v>494</v>
      </c>
      <c r="C39" s="607">
        <v>0.03</v>
      </c>
      <c r="D39" s="384">
        <f t="shared" si="10"/>
        <v>3300</v>
      </c>
      <c r="E39" s="136">
        <v>1500</v>
      </c>
      <c r="F39" s="112">
        <v>1500</v>
      </c>
      <c r="G39" s="112">
        <f t="shared" si="8"/>
        <v>300</v>
      </c>
      <c r="H39" s="113">
        <v>50</v>
      </c>
      <c r="I39" s="537">
        <v>1.7</v>
      </c>
      <c r="J39" s="114">
        <f t="shared" si="9"/>
        <v>3136.32</v>
      </c>
      <c r="K39" s="86"/>
    </row>
    <row r="40" spans="1:11" x14ac:dyDescent="0.3">
      <c r="A40" s="607">
        <v>3</v>
      </c>
      <c r="B40" s="111" t="s">
        <v>326</v>
      </c>
      <c r="C40" s="607">
        <v>0.03</v>
      </c>
      <c r="D40" s="384">
        <f t="shared" si="10"/>
        <v>3300</v>
      </c>
      <c r="E40" s="136">
        <v>1500</v>
      </c>
      <c r="F40" s="112">
        <v>1500</v>
      </c>
      <c r="G40" s="112">
        <f t="shared" si="8"/>
        <v>300</v>
      </c>
      <c r="H40" s="113">
        <v>50</v>
      </c>
      <c r="I40" s="537">
        <v>1.7</v>
      </c>
      <c r="J40" s="114">
        <f t="shared" si="9"/>
        <v>3136.32</v>
      </c>
      <c r="K40" s="86"/>
    </row>
    <row r="41" spans="1:11" x14ac:dyDescent="0.3">
      <c r="A41" s="607">
        <v>4</v>
      </c>
      <c r="B41" s="111" t="s">
        <v>327</v>
      </c>
      <c r="C41" s="607">
        <v>0</v>
      </c>
      <c r="D41" s="112">
        <f t="shared" si="10"/>
        <v>0</v>
      </c>
      <c r="E41" s="136">
        <v>0</v>
      </c>
      <c r="F41" s="112">
        <v>0</v>
      </c>
      <c r="G41" s="112">
        <f t="shared" si="8"/>
        <v>0</v>
      </c>
      <c r="H41" s="113">
        <v>0</v>
      </c>
      <c r="I41" s="607">
        <v>1.7</v>
      </c>
      <c r="J41" s="114">
        <f t="shared" si="9"/>
        <v>0</v>
      </c>
      <c r="K41" s="86"/>
    </row>
    <row r="42" spans="1:11" hidden="1" x14ac:dyDescent="0.3">
      <c r="A42" s="607">
        <v>6</v>
      </c>
      <c r="B42" s="111" t="s">
        <v>493</v>
      </c>
      <c r="C42" s="607"/>
      <c r="D42" s="112">
        <f t="shared" si="0"/>
        <v>13200</v>
      </c>
      <c r="E42" s="136">
        <v>11000</v>
      </c>
      <c r="F42" s="112">
        <v>0</v>
      </c>
      <c r="G42" s="112">
        <f t="shared" si="3"/>
        <v>2200</v>
      </c>
      <c r="H42" s="113">
        <v>50</v>
      </c>
      <c r="I42" s="607">
        <v>1.7</v>
      </c>
      <c r="J42" s="114">
        <f t="shared" si="9"/>
        <v>0</v>
      </c>
      <c r="K42" s="86"/>
    </row>
    <row r="43" spans="1:11" ht="27.6" hidden="1" x14ac:dyDescent="0.3">
      <c r="A43" s="607">
        <v>7</v>
      </c>
      <c r="B43" s="111" t="s">
        <v>492</v>
      </c>
      <c r="C43" s="607"/>
      <c r="D43" s="112">
        <f t="shared" si="0"/>
        <v>14400</v>
      </c>
      <c r="E43" s="136">
        <v>12000</v>
      </c>
      <c r="F43" s="112">
        <v>0</v>
      </c>
      <c r="G43" s="112">
        <f t="shared" si="3"/>
        <v>2400</v>
      </c>
      <c r="H43" s="113">
        <v>50</v>
      </c>
      <c r="I43" s="607">
        <v>1.7</v>
      </c>
      <c r="J43" s="114">
        <f t="shared" si="9"/>
        <v>0</v>
      </c>
      <c r="K43" s="86"/>
    </row>
    <row r="44" spans="1:11" ht="27.6" hidden="1" x14ac:dyDescent="0.3">
      <c r="A44" s="607">
        <v>8</v>
      </c>
      <c r="B44" s="111" t="s">
        <v>491</v>
      </c>
      <c r="C44" s="607"/>
      <c r="D44" s="112">
        <f t="shared" si="0"/>
        <v>26400</v>
      </c>
      <c r="E44" s="136">
        <v>22000</v>
      </c>
      <c r="F44" s="112">
        <v>0</v>
      </c>
      <c r="G44" s="112">
        <f t="shared" si="3"/>
        <v>4400</v>
      </c>
      <c r="H44" s="113">
        <v>50</v>
      </c>
      <c r="I44" s="607">
        <v>1.7</v>
      </c>
      <c r="J44" s="114">
        <f t="shared" si="9"/>
        <v>0</v>
      </c>
      <c r="K44" s="86"/>
    </row>
    <row r="45" spans="1:11" ht="27.6" hidden="1" x14ac:dyDescent="0.3">
      <c r="A45" s="607">
        <v>9</v>
      </c>
      <c r="B45" s="111" t="s">
        <v>325</v>
      </c>
      <c r="C45" s="607"/>
      <c r="D45" s="112">
        <f t="shared" si="0"/>
        <v>16800</v>
      </c>
      <c r="E45" s="136">
        <v>14000</v>
      </c>
      <c r="F45" s="112">
        <v>0</v>
      </c>
      <c r="G45" s="112">
        <f t="shared" si="3"/>
        <v>2800</v>
      </c>
      <c r="H45" s="113">
        <v>50</v>
      </c>
      <c r="I45" s="607">
        <v>1.7</v>
      </c>
      <c r="J45" s="114">
        <f>((C45*D45*(H45/100+I45))*12)*1.2</f>
        <v>0</v>
      </c>
      <c r="K45" s="137"/>
    </row>
    <row r="46" spans="1:11" hidden="1" x14ac:dyDescent="0.3">
      <c r="A46" s="607">
        <v>10</v>
      </c>
      <c r="B46" s="111" t="s">
        <v>497</v>
      </c>
      <c r="C46" s="607"/>
      <c r="D46" s="112">
        <f t="shared" si="0"/>
        <v>15600</v>
      </c>
      <c r="E46" s="136">
        <v>13000</v>
      </c>
      <c r="F46" s="112">
        <v>0</v>
      </c>
      <c r="G46" s="112">
        <f t="shared" si="3"/>
        <v>2600</v>
      </c>
      <c r="H46" s="113">
        <v>50</v>
      </c>
      <c r="I46" s="607">
        <v>1.7</v>
      </c>
      <c r="J46" s="114">
        <f>((C46*D46*(H46/100+I46))*12)*1</f>
        <v>0</v>
      </c>
    </row>
    <row r="47" spans="1:11" hidden="1" x14ac:dyDescent="0.3">
      <c r="A47" s="607">
        <v>11</v>
      </c>
      <c r="B47" s="111" t="s">
        <v>498</v>
      </c>
      <c r="C47" s="607"/>
      <c r="D47" s="112">
        <f t="shared" si="0"/>
        <v>14400</v>
      </c>
      <c r="E47" s="136">
        <v>12000</v>
      </c>
      <c r="F47" s="112">
        <v>0</v>
      </c>
      <c r="G47" s="112">
        <f t="shared" si="3"/>
        <v>2400</v>
      </c>
      <c r="H47" s="113">
        <v>50</v>
      </c>
      <c r="I47" s="607">
        <v>1.7</v>
      </c>
      <c r="J47" s="114">
        <f>((C47*D47*(H47/100+I47))*12)*1.4</f>
        <v>0</v>
      </c>
    </row>
    <row r="48" spans="1:11" hidden="1" x14ac:dyDescent="0.3">
      <c r="A48" s="607">
        <v>12</v>
      </c>
      <c r="B48" s="111" t="s">
        <v>499</v>
      </c>
      <c r="C48" s="607"/>
      <c r="D48" s="112">
        <f t="shared" si="0"/>
        <v>16800</v>
      </c>
      <c r="E48" s="136">
        <v>14000</v>
      </c>
      <c r="F48" s="112">
        <v>0</v>
      </c>
      <c r="G48" s="112">
        <f t="shared" si="3"/>
        <v>2800</v>
      </c>
      <c r="H48" s="113">
        <v>50</v>
      </c>
      <c r="I48" s="607">
        <v>1.7</v>
      </c>
      <c r="J48" s="114">
        <f>((C48*D48*(H48/100+I48))*12)*1.3</f>
        <v>0</v>
      </c>
    </row>
    <row r="49" spans="1:11" s="217" customFormat="1" x14ac:dyDescent="0.3">
      <c r="A49" s="214"/>
      <c r="B49" s="215" t="s">
        <v>500</v>
      </c>
      <c r="C49" s="214">
        <f>SUM(C38:C48)</f>
        <v>0.09</v>
      </c>
      <c r="D49" s="214">
        <f t="shared" ref="D49:J49" si="11">SUM(D37:D48)</f>
        <v>141500</v>
      </c>
      <c r="E49" s="214">
        <f t="shared" si="11"/>
        <v>115100</v>
      </c>
      <c r="F49" s="214">
        <f t="shared" si="11"/>
        <v>4500</v>
      </c>
      <c r="G49" s="214">
        <f t="shared" si="11"/>
        <v>23020</v>
      </c>
      <c r="H49" s="214">
        <v>0</v>
      </c>
      <c r="I49" s="214">
        <v>0</v>
      </c>
      <c r="J49" s="214">
        <f t="shared" si="11"/>
        <v>9408.9600000000009</v>
      </c>
    </row>
    <row r="50" spans="1:11" ht="27.6" x14ac:dyDescent="0.3">
      <c r="A50" s="115"/>
      <c r="B50" s="116" t="s">
        <v>501</v>
      </c>
      <c r="C50" s="117">
        <f>C35+C49</f>
        <v>2.3899999999999997</v>
      </c>
      <c r="D50" s="117">
        <f>D35+D49</f>
        <v>329073</v>
      </c>
      <c r="E50" s="117" t="s">
        <v>14</v>
      </c>
      <c r="F50" s="117" t="s">
        <v>14</v>
      </c>
      <c r="G50" s="117" t="s">
        <v>14</v>
      </c>
      <c r="H50" s="117" t="s">
        <v>14</v>
      </c>
      <c r="I50" s="117" t="s">
        <v>14</v>
      </c>
      <c r="J50" s="117">
        <f>J35+J49</f>
        <v>103012.016</v>
      </c>
    </row>
    <row r="51" spans="1:11" hidden="1" x14ac:dyDescent="0.3">
      <c r="A51" s="1347" t="s">
        <v>505</v>
      </c>
      <c r="B51" s="1348"/>
      <c r="C51" s="1348"/>
      <c r="D51" s="1348"/>
      <c r="E51" s="1348"/>
      <c r="F51" s="1348"/>
      <c r="G51" s="1348"/>
      <c r="H51" s="1348"/>
      <c r="I51" s="1348"/>
      <c r="J51" s="1348"/>
    </row>
    <row r="52" spans="1:11" hidden="1" x14ac:dyDescent="0.3">
      <c r="A52" s="607">
        <v>1</v>
      </c>
      <c r="B52" s="111" t="s">
        <v>328</v>
      </c>
      <c r="C52" s="607"/>
      <c r="D52" s="112">
        <f t="shared" si="0"/>
        <v>12000</v>
      </c>
      <c r="E52" s="136">
        <v>10000</v>
      </c>
      <c r="F52" s="112">
        <v>0</v>
      </c>
      <c r="G52" s="112">
        <f>E52*20%</f>
        <v>2000</v>
      </c>
      <c r="H52" s="113">
        <v>50</v>
      </c>
      <c r="I52" s="607">
        <v>1.7</v>
      </c>
      <c r="J52" s="114">
        <f>((C52*D52*(H52/100+I52))*12)*1.37</f>
        <v>0</v>
      </c>
      <c r="K52" s="137"/>
    </row>
    <row r="53" spans="1:11" hidden="1" x14ac:dyDescent="0.3">
      <c r="A53" s="607">
        <v>2</v>
      </c>
      <c r="B53" s="111" t="s">
        <v>503</v>
      </c>
      <c r="C53" s="607"/>
      <c r="D53" s="112">
        <f t="shared" si="0"/>
        <v>9500</v>
      </c>
      <c r="E53" s="136">
        <v>9500</v>
      </c>
      <c r="F53" s="112">
        <v>0</v>
      </c>
      <c r="G53" s="112"/>
      <c r="H53" s="113">
        <v>50</v>
      </c>
      <c r="I53" s="607">
        <v>1.7</v>
      </c>
      <c r="J53" s="114">
        <f>((C53*D53*(H53/100+I53))*12)*1.37</f>
        <v>0</v>
      </c>
      <c r="K53" s="137"/>
    </row>
    <row r="54" spans="1:11" ht="27.6" hidden="1" x14ac:dyDescent="0.3">
      <c r="A54" s="607">
        <v>3</v>
      </c>
      <c r="B54" s="111" t="s">
        <v>504</v>
      </c>
      <c r="C54" s="607"/>
      <c r="D54" s="112">
        <f t="shared" si="0"/>
        <v>10200</v>
      </c>
      <c r="E54" s="136">
        <v>8500</v>
      </c>
      <c r="F54" s="112">
        <v>0</v>
      </c>
      <c r="G54" s="112">
        <f>E54*20%</f>
        <v>1700</v>
      </c>
      <c r="H54" s="113">
        <v>50</v>
      </c>
      <c r="I54" s="607">
        <v>1.7</v>
      </c>
      <c r="J54" s="114">
        <f>((C54*D54*(H54/100+I54))*12)*1.22</f>
        <v>0</v>
      </c>
    </row>
    <row r="55" spans="1:11" ht="27.6" hidden="1" x14ac:dyDescent="0.3">
      <c r="A55" s="115"/>
      <c r="B55" s="116" t="s">
        <v>502</v>
      </c>
      <c r="C55" s="117">
        <f>SUM(C52:C54)</f>
        <v>0</v>
      </c>
      <c r="D55" s="119">
        <f>SUM(D52:D54)</f>
        <v>31700</v>
      </c>
      <c r="E55" s="117" t="s">
        <v>14</v>
      </c>
      <c r="F55" s="117" t="s">
        <v>14</v>
      </c>
      <c r="G55" s="117" t="s">
        <v>14</v>
      </c>
      <c r="H55" s="117" t="s">
        <v>14</v>
      </c>
      <c r="I55" s="117" t="s">
        <v>14</v>
      </c>
      <c r="J55" s="120">
        <f>SUM(J52:J54)</f>
        <v>0</v>
      </c>
    </row>
    <row r="56" spans="1:11" x14ac:dyDescent="0.3">
      <c r="A56" s="1347" t="s">
        <v>506</v>
      </c>
      <c r="B56" s="1354"/>
      <c r="C56" s="1354"/>
      <c r="D56" s="1354"/>
      <c r="E56" s="1354"/>
      <c r="F56" s="1354"/>
      <c r="G56" s="1354"/>
      <c r="H56" s="1354"/>
      <c r="I56" s="1354"/>
      <c r="J56" s="1354"/>
    </row>
    <row r="57" spans="1:11" ht="27.6" x14ac:dyDescent="0.3">
      <c r="A57" s="607">
        <v>1</v>
      </c>
      <c r="B57" s="111" t="s">
        <v>316</v>
      </c>
      <c r="C57" s="607">
        <v>0.01</v>
      </c>
      <c r="D57" s="112">
        <f t="shared" si="0"/>
        <v>6555</v>
      </c>
      <c r="E57" s="136">
        <v>4000</v>
      </c>
      <c r="F57" s="112">
        <v>2055</v>
      </c>
      <c r="G57" s="112">
        <v>500</v>
      </c>
      <c r="H57" s="113">
        <v>50</v>
      </c>
      <c r="I57" s="607">
        <v>1.7</v>
      </c>
      <c r="J57" s="114">
        <f>((C57*D57*(H57/100+I57))*12)*1.2</f>
        <v>2076.6239999999998</v>
      </c>
      <c r="K57" s="137"/>
    </row>
    <row r="58" spans="1:11" hidden="1" x14ac:dyDescent="0.3">
      <c r="A58" s="607">
        <v>2</v>
      </c>
      <c r="B58" s="111" t="s">
        <v>507</v>
      </c>
      <c r="C58" s="607"/>
      <c r="D58" s="112">
        <f>E58+F58+G58</f>
        <v>14400</v>
      </c>
      <c r="E58" s="136">
        <v>12000</v>
      </c>
      <c r="F58" s="112">
        <v>0</v>
      </c>
      <c r="G58" s="112">
        <f>E58*20%</f>
        <v>2400</v>
      </c>
      <c r="H58" s="113">
        <v>50</v>
      </c>
      <c r="I58" s="607">
        <v>1.7</v>
      </c>
      <c r="J58" s="114">
        <f>((C58*D58*(H58/100+I58))*12)*1.2</f>
        <v>0</v>
      </c>
      <c r="K58" s="137"/>
    </row>
    <row r="59" spans="1:11" ht="41.4" hidden="1" x14ac:dyDescent="0.3">
      <c r="A59" s="607">
        <v>3</v>
      </c>
      <c r="B59" s="111" t="s">
        <v>314</v>
      </c>
      <c r="C59" s="607"/>
      <c r="D59" s="112">
        <f t="shared" si="0"/>
        <v>13200</v>
      </c>
      <c r="E59" s="136">
        <v>11000</v>
      </c>
      <c r="F59" s="112">
        <v>0</v>
      </c>
      <c r="G59" s="112">
        <f>E59*20%</f>
        <v>2200</v>
      </c>
      <c r="H59" s="113">
        <v>50</v>
      </c>
      <c r="I59" s="607">
        <v>1.7</v>
      </c>
      <c r="J59" s="114">
        <f>((C59*D59*(H59/100+I59))*12)*1.13</f>
        <v>0</v>
      </c>
    </row>
    <row r="60" spans="1:11" hidden="1" x14ac:dyDescent="0.3">
      <c r="A60" s="607">
        <v>4</v>
      </c>
      <c r="B60" s="111" t="s">
        <v>317</v>
      </c>
      <c r="C60" s="607"/>
      <c r="D60" s="112">
        <f t="shared" si="0"/>
        <v>14400</v>
      </c>
      <c r="E60" s="136">
        <v>12000</v>
      </c>
      <c r="F60" s="112">
        <v>0</v>
      </c>
      <c r="G60" s="112">
        <f t="shared" ref="G60:G63" si="12">E60*20%</f>
        <v>2400</v>
      </c>
      <c r="H60" s="113">
        <v>50</v>
      </c>
      <c r="I60" s="607">
        <v>1.7</v>
      </c>
      <c r="J60" s="114">
        <f t="shared" ref="J60:J63" si="13">((C60*D60*(H60/100+I60))*12)*1.13</f>
        <v>0</v>
      </c>
    </row>
    <row r="61" spans="1:11" hidden="1" x14ac:dyDescent="0.3">
      <c r="A61" s="607">
        <v>5</v>
      </c>
      <c r="B61" s="111" t="s">
        <v>508</v>
      </c>
      <c r="C61" s="607"/>
      <c r="D61" s="112">
        <f t="shared" si="0"/>
        <v>9600</v>
      </c>
      <c r="E61" s="136">
        <v>8000</v>
      </c>
      <c r="F61" s="112">
        <v>0</v>
      </c>
      <c r="G61" s="112">
        <f t="shared" si="12"/>
        <v>1600</v>
      </c>
      <c r="H61" s="113">
        <v>50</v>
      </c>
      <c r="I61" s="607">
        <v>1.7</v>
      </c>
      <c r="J61" s="114">
        <f t="shared" si="13"/>
        <v>0</v>
      </c>
    </row>
    <row r="62" spans="1:11" hidden="1" x14ac:dyDescent="0.3">
      <c r="A62" s="607">
        <v>6</v>
      </c>
      <c r="B62" s="111" t="s">
        <v>315</v>
      </c>
      <c r="C62" s="607"/>
      <c r="D62" s="112">
        <f t="shared" si="0"/>
        <v>12000</v>
      </c>
      <c r="E62" s="136">
        <v>10000</v>
      </c>
      <c r="F62" s="112">
        <v>0</v>
      </c>
      <c r="G62" s="112">
        <f t="shared" si="12"/>
        <v>2000</v>
      </c>
      <c r="H62" s="113">
        <v>50</v>
      </c>
      <c r="I62" s="607">
        <v>1.7</v>
      </c>
      <c r="J62" s="114">
        <f t="shared" si="13"/>
        <v>0</v>
      </c>
    </row>
    <row r="63" spans="1:11" hidden="1" x14ac:dyDescent="0.3">
      <c r="A63" s="607">
        <v>7</v>
      </c>
      <c r="B63" s="111" t="s">
        <v>318</v>
      </c>
      <c r="C63" s="607"/>
      <c r="D63" s="112">
        <f t="shared" si="0"/>
        <v>12000</v>
      </c>
      <c r="E63" s="136">
        <v>10000</v>
      </c>
      <c r="F63" s="112">
        <v>0</v>
      </c>
      <c r="G63" s="112">
        <f t="shared" si="12"/>
        <v>2000</v>
      </c>
      <c r="H63" s="113">
        <v>50</v>
      </c>
      <c r="I63" s="607">
        <v>1.7</v>
      </c>
      <c r="J63" s="114">
        <f t="shared" si="13"/>
        <v>0</v>
      </c>
    </row>
    <row r="64" spans="1:11" ht="27.6" x14ac:dyDescent="0.3">
      <c r="A64" s="115"/>
      <c r="B64" s="116" t="s">
        <v>509</v>
      </c>
      <c r="C64" s="117">
        <f>SUM(C57:C63)</f>
        <v>0.01</v>
      </c>
      <c r="D64" s="119">
        <f>SUM(D57:D63)</f>
        <v>82155</v>
      </c>
      <c r="E64" s="117" t="s">
        <v>14</v>
      </c>
      <c r="F64" s="117" t="s">
        <v>14</v>
      </c>
      <c r="G64" s="117" t="s">
        <v>14</v>
      </c>
      <c r="H64" s="117" t="s">
        <v>14</v>
      </c>
      <c r="I64" s="117" t="s">
        <v>14</v>
      </c>
      <c r="J64" s="120">
        <f>SUM(J57:J63)</f>
        <v>2076.6239999999998</v>
      </c>
      <c r="K64" s="138"/>
    </row>
    <row r="65" spans="1:12" s="41" customFormat="1" ht="13.8" hidden="1" x14ac:dyDescent="0.3">
      <c r="A65" s="606"/>
      <c r="B65" s="606" t="s">
        <v>592</v>
      </c>
      <c r="C65" s="606"/>
      <c r="D65" s="606"/>
      <c r="E65" s="606"/>
      <c r="F65" s="606"/>
      <c r="G65" s="606"/>
      <c r="H65" s="606"/>
      <c r="I65" s="606"/>
      <c r="J65" s="129">
        <v>0</v>
      </c>
    </row>
    <row r="66" spans="1:12" x14ac:dyDescent="0.3">
      <c r="A66" s="1361" t="s">
        <v>930</v>
      </c>
      <c r="B66" s="1361"/>
      <c r="C66" s="87">
        <f>C21+C50+C55+C64</f>
        <v>2.4699999999999993</v>
      </c>
      <c r="D66" s="88">
        <f>D21+D50+D55+D64</f>
        <v>551628</v>
      </c>
      <c r="E66" s="87" t="s">
        <v>14</v>
      </c>
      <c r="F66" s="87" t="s">
        <v>14</v>
      </c>
      <c r="G66" s="87" t="s">
        <v>14</v>
      </c>
      <c r="H66" s="87" t="s">
        <v>14</v>
      </c>
      <c r="I66" s="87" t="s">
        <v>14</v>
      </c>
      <c r="J66" s="153">
        <f>J21+J50+J55+J64</f>
        <v>120200</v>
      </c>
      <c r="L66" s="86"/>
    </row>
    <row r="67" spans="1:12" ht="39.75" hidden="1" customHeight="1" x14ac:dyDescent="0.3">
      <c r="A67" s="1349" t="s">
        <v>335</v>
      </c>
      <c r="B67" s="1410"/>
      <c r="C67" s="1410"/>
      <c r="D67" s="1410"/>
      <c r="E67" s="1410"/>
      <c r="F67" s="1410"/>
      <c r="G67" s="1410"/>
      <c r="H67" s="1410"/>
      <c r="I67" s="1411"/>
      <c r="J67" s="152">
        <v>0</v>
      </c>
      <c r="L67" s="86"/>
    </row>
    <row r="68" spans="1:12" ht="21.75" hidden="1" customHeight="1" x14ac:dyDescent="0.3">
      <c r="A68" s="1362" t="s">
        <v>331</v>
      </c>
      <c r="B68" s="1363"/>
      <c r="C68" s="1363"/>
      <c r="D68" s="1363"/>
      <c r="E68" s="1363"/>
      <c r="F68" s="1363"/>
      <c r="G68" s="1363"/>
      <c r="H68" s="1363"/>
      <c r="I68" s="1364"/>
      <c r="J68" s="221">
        <f>J66+J67</f>
        <v>120200</v>
      </c>
      <c r="L68" s="86"/>
    </row>
    <row r="69" spans="1:12" ht="39.75" hidden="1" customHeight="1" x14ac:dyDescent="0.3">
      <c r="A69" s="613"/>
      <c r="B69" s="640"/>
      <c r="C69" s="640"/>
      <c r="D69" s="640"/>
      <c r="E69" s="640"/>
      <c r="F69" s="640"/>
      <c r="G69" s="640"/>
      <c r="H69" s="640"/>
      <c r="I69" s="641"/>
      <c r="J69" s="152"/>
      <c r="L69" s="86"/>
    </row>
    <row r="70" spans="1:12" ht="15.6" hidden="1" x14ac:dyDescent="0.3">
      <c r="A70" s="121"/>
      <c r="B70" s="121"/>
      <c r="C70" s="614"/>
      <c r="D70" s="122"/>
      <c r="E70" s="614"/>
      <c r="F70" s="614"/>
      <c r="G70" s="614"/>
      <c r="H70" s="614"/>
      <c r="I70" s="614"/>
      <c r="J70" s="123"/>
    </row>
    <row r="71" spans="1:12" hidden="1" x14ac:dyDescent="0.3">
      <c r="A71" s="1346" t="s">
        <v>1</v>
      </c>
      <c r="B71" s="1346" t="s">
        <v>2</v>
      </c>
      <c r="C71" s="1346" t="s">
        <v>3</v>
      </c>
      <c r="D71" s="1345" t="s">
        <v>4</v>
      </c>
      <c r="E71" s="1345"/>
      <c r="F71" s="1345"/>
      <c r="G71" s="1345"/>
      <c r="H71" s="1346" t="s">
        <v>5</v>
      </c>
      <c r="I71" s="1346" t="s">
        <v>6</v>
      </c>
      <c r="J71" s="1346" t="s">
        <v>312</v>
      </c>
    </row>
    <row r="72" spans="1:12" hidden="1" x14ac:dyDescent="0.3">
      <c r="A72" s="1346"/>
      <c r="B72" s="1346"/>
      <c r="C72" s="1346"/>
      <c r="D72" s="1346" t="s">
        <v>8</v>
      </c>
      <c r="E72" s="1345" t="s">
        <v>9</v>
      </c>
      <c r="F72" s="1345"/>
      <c r="G72" s="1345"/>
      <c r="H72" s="1346"/>
      <c r="I72" s="1346"/>
      <c r="J72" s="1346"/>
    </row>
    <row r="73" spans="1:12" ht="69" hidden="1" x14ac:dyDescent="0.3">
      <c r="A73" s="1346"/>
      <c r="B73" s="1346"/>
      <c r="C73" s="1346"/>
      <c r="D73" s="1346"/>
      <c r="E73" s="612" t="s">
        <v>10</v>
      </c>
      <c r="F73" s="612" t="s">
        <v>11</v>
      </c>
      <c r="G73" s="612" t="s">
        <v>12</v>
      </c>
      <c r="H73" s="1346"/>
      <c r="I73" s="1346"/>
      <c r="J73" s="1346"/>
    </row>
    <row r="74" spans="1:12" hidden="1" x14ac:dyDescent="0.3">
      <c r="A74" s="607">
        <v>1</v>
      </c>
      <c r="B74" s="607">
        <v>2</v>
      </c>
      <c r="C74" s="607">
        <v>3</v>
      </c>
      <c r="D74" s="607">
        <v>4</v>
      </c>
      <c r="E74" s="607">
        <v>5</v>
      </c>
      <c r="F74" s="607">
        <v>6</v>
      </c>
      <c r="G74" s="607">
        <v>7</v>
      </c>
      <c r="H74" s="607">
        <v>8</v>
      </c>
      <c r="I74" s="607">
        <v>9</v>
      </c>
      <c r="J74" s="607">
        <v>10</v>
      </c>
    </row>
    <row r="75" spans="1:12" hidden="1" x14ac:dyDescent="0.3">
      <c r="A75" s="1347" t="s">
        <v>313</v>
      </c>
      <c r="B75" s="1354"/>
      <c r="C75" s="1354"/>
      <c r="D75" s="1354"/>
      <c r="E75" s="1354"/>
      <c r="F75" s="1354"/>
      <c r="G75" s="1354"/>
      <c r="H75" s="1354"/>
      <c r="I75" s="1354"/>
      <c r="J75" s="1354"/>
    </row>
    <row r="76" spans="1:12" ht="41.4" hidden="1" x14ac:dyDescent="0.3">
      <c r="A76" s="607">
        <v>1</v>
      </c>
      <c r="B76" s="111" t="s">
        <v>314</v>
      </c>
      <c r="C76" s="607"/>
      <c r="D76" s="124">
        <f>E76+F76+G76</f>
        <v>0</v>
      </c>
      <c r="E76" s="139"/>
      <c r="F76" s="124"/>
      <c r="G76" s="124">
        <f>(E76+F76)*20%</f>
        <v>0</v>
      </c>
      <c r="H76" s="113">
        <v>50</v>
      </c>
      <c r="I76" s="607">
        <v>1.7</v>
      </c>
      <c r="J76" s="125">
        <f>(C76*D76*(H76/100+I76))*12.5</f>
        <v>0</v>
      </c>
      <c r="L76" s="86"/>
    </row>
    <row r="77" spans="1:12" ht="15.75" hidden="1" customHeight="1" x14ac:dyDescent="0.3">
      <c r="A77" s="607">
        <v>2</v>
      </c>
      <c r="B77" s="111" t="s">
        <v>315</v>
      </c>
      <c r="C77" s="607"/>
      <c r="D77" s="124">
        <f t="shared" ref="D77:D78" si="14">E77+F77+G77</f>
        <v>0</v>
      </c>
      <c r="E77" s="139"/>
      <c r="F77" s="124"/>
      <c r="G77" s="124">
        <f>(E77+F77)*20%</f>
        <v>0</v>
      </c>
      <c r="H77" s="113">
        <v>50</v>
      </c>
      <c r="I77" s="607">
        <v>1.7</v>
      </c>
      <c r="J77" s="125">
        <f>(C77*D77*(H77/100+I77))*12.5</f>
        <v>0</v>
      </c>
    </row>
    <row r="78" spans="1:12" ht="27.6" hidden="1" x14ac:dyDescent="0.3">
      <c r="A78" s="607">
        <v>3</v>
      </c>
      <c r="B78" s="111" t="s">
        <v>316</v>
      </c>
      <c r="C78" s="607"/>
      <c r="D78" s="124">
        <f t="shared" si="14"/>
        <v>0</v>
      </c>
      <c r="E78" s="124"/>
      <c r="F78" s="124"/>
      <c r="G78" s="124">
        <f>(E78+F78)*20%</f>
        <v>0</v>
      </c>
      <c r="H78" s="113">
        <v>50</v>
      </c>
      <c r="I78" s="607">
        <v>1.7</v>
      </c>
      <c r="J78" s="125">
        <f>(C78*D78*(H78/100+I78))*12.5</f>
        <v>0</v>
      </c>
    </row>
    <row r="79" spans="1:12" hidden="1" x14ac:dyDescent="0.3">
      <c r="A79" s="607">
        <v>4</v>
      </c>
      <c r="B79" s="111" t="s">
        <v>317</v>
      </c>
      <c r="C79" s="607"/>
      <c r="D79" s="124">
        <f>E79+F79+G79</f>
        <v>0</v>
      </c>
      <c r="E79" s="124"/>
      <c r="F79" s="124"/>
      <c r="G79" s="124">
        <f>(E79+F79)*20%</f>
        <v>0</v>
      </c>
      <c r="H79" s="113">
        <v>50</v>
      </c>
      <c r="I79" s="607">
        <v>1.7</v>
      </c>
      <c r="J79" s="125">
        <f>(C79*D79*(H79/100+I79))*12.5</f>
        <v>0</v>
      </c>
    </row>
    <row r="80" spans="1:12" ht="21.75" hidden="1" customHeight="1" x14ac:dyDescent="0.3">
      <c r="A80" s="607">
        <v>5</v>
      </c>
      <c r="B80" s="111" t="s">
        <v>318</v>
      </c>
      <c r="C80" s="607"/>
      <c r="D80" s="124">
        <f t="shared" ref="D80" si="15">E80+F80+G80</f>
        <v>0</v>
      </c>
      <c r="E80" s="124"/>
      <c r="F80" s="124"/>
      <c r="G80" s="124">
        <f t="shared" ref="G80" si="16">(E80+F80)*20%</f>
        <v>0</v>
      </c>
      <c r="H80" s="113">
        <v>50</v>
      </c>
      <c r="I80" s="607">
        <v>1.7</v>
      </c>
      <c r="J80" s="125">
        <f>(C80*D80*(H80/100+I80))*12.5</f>
        <v>0</v>
      </c>
      <c r="K80" s="86"/>
    </row>
    <row r="81" spans="1:12" ht="16.5" hidden="1" customHeight="1" x14ac:dyDescent="0.3">
      <c r="A81" s="115"/>
      <c r="B81" s="126" t="s">
        <v>319</v>
      </c>
      <c r="C81" s="127">
        <f>SUM(C76:C80)</f>
        <v>0</v>
      </c>
      <c r="D81" s="128">
        <f>SUM(D76:D80)</f>
        <v>0</v>
      </c>
      <c r="E81" s="127" t="s">
        <v>14</v>
      </c>
      <c r="F81" s="127" t="s">
        <v>14</v>
      </c>
      <c r="G81" s="127" t="s">
        <v>14</v>
      </c>
      <c r="H81" s="127" t="s">
        <v>14</v>
      </c>
      <c r="I81" s="127" t="s">
        <v>14</v>
      </c>
      <c r="J81" s="129">
        <f>SUM(J76:J80)</f>
        <v>0</v>
      </c>
    </row>
    <row r="82" spans="1:12" ht="15.75" hidden="1" customHeight="1" x14ac:dyDescent="0.3">
      <c r="A82" s="1365" t="s">
        <v>343</v>
      </c>
      <c r="B82" s="1366"/>
      <c r="C82" s="1366"/>
      <c r="D82" s="1366"/>
      <c r="E82" s="1366"/>
      <c r="F82" s="1366"/>
      <c r="G82" s="1366"/>
      <c r="H82" s="1366"/>
      <c r="I82" s="1367"/>
      <c r="J82" s="129"/>
    </row>
    <row r="83" spans="1:12" s="41" customFormat="1" ht="13.8" hidden="1" x14ac:dyDescent="0.3">
      <c r="A83" s="1365" t="s">
        <v>467</v>
      </c>
      <c r="B83" s="1366"/>
      <c r="C83" s="1366"/>
      <c r="D83" s="1366"/>
      <c r="E83" s="1366"/>
      <c r="F83" s="1366"/>
      <c r="G83" s="1366"/>
      <c r="H83" s="1366"/>
      <c r="I83" s="1367"/>
      <c r="J83" s="143"/>
    </row>
    <row r="84" spans="1:12" s="41" customFormat="1" hidden="1" x14ac:dyDescent="0.3">
      <c r="A84" s="218" t="s">
        <v>379</v>
      </c>
      <c r="B84" s="219"/>
      <c r="C84" s="220"/>
      <c r="D84" s="220"/>
      <c r="E84" s="220"/>
      <c r="F84" s="220"/>
      <c r="G84" s="220"/>
      <c r="H84" s="220"/>
      <c r="I84" s="220"/>
      <c r="J84" s="143">
        <v>49307</v>
      </c>
    </row>
    <row r="85" spans="1:12" s="41" customFormat="1" ht="15.6" hidden="1" x14ac:dyDescent="0.3">
      <c r="A85" s="1368" t="s">
        <v>511</v>
      </c>
      <c r="B85" s="1369"/>
      <c r="C85" s="1369"/>
      <c r="D85" s="1369"/>
      <c r="E85" s="1369"/>
      <c r="F85" s="1369"/>
      <c r="G85" s="1369"/>
      <c r="H85" s="1369"/>
      <c r="I85" s="1369"/>
      <c r="J85" s="1370"/>
    </row>
    <row r="86" spans="1:12" ht="21" hidden="1" customHeight="1" x14ac:dyDescent="0.3">
      <c r="A86" s="1371" t="s">
        <v>512</v>
      </c>
      <c r="B86" s="1372"/>
      <c r="C86" s="130">
        <v>2.4</v>
      </c>
      <c r="D86" s="131">
        <f>D81</f>
        <v>0</v>
      </c>
      <c r="E86" s="132" t="s">
        <v>14</v>
      </c>
      <c r="F86" s="132" t="s">
        <v>14</v>
      </c>
      <c r="G86" s="132" t="s">
        <v>14</v>
      </c>
      <c r="H86" s="132" t="s">
        <v>14</v>
      </c>
      <c r="I86" s="132" t="s">
        <v>14</v>
      </c>
      <c r="J86" s="228">
        <v>0</v>
      </c>
      <c r="K86" s="86"/>
      <c r="L86" s="86"/>
    </row>
    <row r="87" spans="1:12" ht="21" customHeight="1" x14ac:dyDescent="0.3">
      <c r="A87" s="1373" t="s">
        <v>593</v>
      </c>
      <c r="B87" s="1374"/>
      <c r="C87" s="1374"/>
      <c r="D87" s="1374"/>
      <c r="E87" s="1374"/>
      <c r="F87" s="1374"/>
      <c r="G87" s="1374"/>
      <c r="H87" s="1374"/>
      <c r="I87" s="1374"/>
      <c r="J87" s="229">
        <f>J66+J65</f>
        <v>120200</v>
      </c>
      <c r="K87" s="86"/>
      <c r="L87" s="86"/>
    </row>
    <row r="88" spans="1:12" ht="21" hidden="1" customHeight="1" x14ac:dyDescent="0.3">
      <c r="A88" s="599"/>
      <c r="B88" s="223"/>
      <c r="C88" s="593"/>
      <c r="D88" s="225"/>
      <c r="E88" s="601"/>
      <c r="F88" s="601"/>
      <c r="G88" s="601"/>
      <c r="H88" s="601"/>
      <c r="I88" s="601"/>
      <c r="J88" s="600"/>
      <c r="K88" s="86"/>
      <c r="L88" s="86"/>
    </row>
    <row r="89" spans="1:12" ht="20.25" hidden="1" customHeight="1" x14ac:dyDescent="0.3">
      <c r="A89" s="1325" t="s">
        <v>359</v>
      </c>
      <c r="B89" s="1326"/>
      <c r="C89" s="1326"/>
      <c r="D89" s="1326"/>
      <c r="E89" s="1326"/>
      <c r="F89" s="1326"/>
      <c r="G89" s="1326"/>
      <c r="H89" s="1326"/>
      <c r="I89" s="1326"/>
      <c r="J89" s="1327"/>
    </row>
    <row r="90" spans="1:12" ht="30" hidden="1" customHeight="1" x14ac:dyDescent="0.3">
      <c r="A90" s="610" t="s">
        <v>1</v>
      </c>
      <c r="B90" s="1335" t="s">
        <v>44</v>
      </c>
      <c r="C90" s="1335"/>
      <c r="D90" s="1335"/>
      <c r="E90" s="1335" t="s">
        <v>45</v>
      </c>
      <c r="F90" s="1335"/>
      <c r="G90" s="1335" t="s">
        <v>46</v>
      </c>
      <c r="H90" s="1335"/>
      <c r="I90" s="1335" t="s">
        <v>102</v>
      </c>
      <c r="J90" s="1335"/>
    </row>
    <row r="91" spans="1:12" ht="16.5" hidden="1" customHeight="1" x14ac:dyDescent="0.3">
      <c r="A91" s="615">
        <v>1</v>
      </c>
      <c r="B91" s="1302">
        <v>2</v>
      </c>
      <c r="C91" s="1302"/>
      <c r="D91" s="1302"/>
      <c r="E91" s="1302">
        <v>3</v>
      </c>
      <c r="F91" s="1302"/>
      <c r="G91" s="1302">
        <v>4</v>
      </c>
      <c r="H91" s="1302"/>
      <c r="I91" s="1302">
        <v>5</v>
      </c>
      <c r="J91" s="1302"/>
    </row>
    <row r="92" spans="1:12" ht="47.25" hidden="1" customHeight="1" x14ac:dyDescent="0.3">
      <c r="A92" s="159">
        <v>1</v>
      </c>
      <c r="B92" s="1226" t="s">
        <v>370</v>
      </c>
      <c r="C92" s="1227"/>
      <c r="D92" s="1228"/>
      <c r="E92" s="1336">
        <f>I92/G92</f>
        <v>0</v>
      </c>
      <c r="F92" s="1336"/>
      <c r="G92" s="1307">
        <v>12</v>
      </c>
      <c r="H92" s="1307"/>
      <c r="I92" s="1340">
        <v>0</v>
      </c>
      <c r="J92" s="1340"/>
    </row>
    <row r="93" spans="1:12" ht="51.75" hidden="1" customHeight="1" x14ac:dyDescent="0.3">
      <c r="A93" s="159" t="s">
        <v>75</v>
      </c>
      <c r="B93" s="1226" t="s">
        <v>371</v>
      </c>
      <c r="C93" s="1227"/>
      <c r="D93" s="1228"/>
      <c r="E93" s="1336">
        <f>I93/G93</f>
        <v>0</v>
      </c>
      <c r="F93" s="1336"/>
      <c r="G93" s="1307">
        <v>72</v>
      </c>
      <c r="H93" s="1307"/>
      <c r="I93" s="1340">
        <v>0</v>
      </c>
      <c r="J93" s="1340"/>
    </row>
    <row r="94" spans="1:12" ht="33.75" hidden="1" customHeight="1" x14ac:dyDescent="0.3">
      <c r="A94" s="248"/>
      <c r="B94" s="1341" t="s">
        <v>331</v>
      </c>
      <c r="C94" s="1342"/>
      <c r="D94" s="1343"/>
      <c r="E94" s="1337" t="s">
        <v>14</v>
      </c>
      <c r="F94" s="1338"/>
      <c r="G94" s="1337" t="s">
        <v>14</v>
      </c>
      <c r="H94" s="1339"/>
      <c r="I94" s="616"/>
      <c r="J94" s="367">
        <f>I93</f>
        <v>0</v>
      </c>
    </row>
    <row r="95" spans="1:12" s="41" customFormat="1" ht="40.5" customHeight="1" x14ac:dyDescent="0.3">
      <c r="A95" s="1275" t="s">
        <v>360</v>
      </c>
      <c r="B95" s="1275"/>
      <c r="C95" s="1275"/>
      <c r="D95" s="1275"/>
      <c r="E95" s="1275"/>
      <c r="F95" s="1275"/>
      <c r="G95" s="1275"/>
      <c r="H95" s="1275"/>
      <c r="I95" s="1275"/>
      <c r="J95" s="1275"/>
    </row>
    <row r="96" spans="1:12" ht="39.6" x14ac:dyDescent="0.3">
      <c r="A96" s="615" t="s">
        <v>1</v>
      </c>
      <c r="B96" s="1302" t="s">
        <v>15</v>
      </c>
      <c r="C96" s="1302"/>
      <c r="D96" s="1302"/>
      <c r="E96" s="1302" t="s">
        <v>16</v>
      </c>
      <c r="F96" s="1302"/>
      <c r="G96" s="615" t="s">
        <v>17</v>
      </c>
      <c r="H96" s="615" t="s">
        <v>18</v>
      </c>
      <c r="I96" s="1302" t="s">
        <v>104</v>
      </c>
      <c r="J96" s="1302"/>
    </row>
    <row r="97" spans="1:10" x14ac:dyDescent="0.3">
      <c r="A97" s="615">
        <v>1</v>
      </c>
      <c r="B97" s="1302">
        <v>2</v>
      </c>
      <c r="C97" s="1302"/>
      <c r="D97" s="1302"/>
      <c r="E97" s="1302">
        <v>3</v>
      </c>
      <c r="F97" s="1302"/>
      <c r="G97" s="615">
        <v>4</v>
      </c>
      <c r="H97" s="615">
        <v>5</v>
      </c>
      <c r="I97" s="1302">
        <v>6</v>
      </c>
      <c r="J97" s="1302"/>
    </row>
    <row r="98" spans="1:10" ht="16.5" customHeight="1" x14ac:dyDescent="0.3">
      <c r="A98" s="1325" t="s">
        <v>361</v>
      </c>
      <c r="B98" s="1326"/>
      <c r="C98" s="1326"/>
      <c r="D98" s="1326"/>
      <c r="E98" s="1326"/>
      <c r="F98" s="1326"/>
      <c r="G98" s="1326"/>
      <c r="H98" s="1326"/>
      <c r="I98" s="1326"/>
      <c r="J98" s="1327"/>
    </row>
    <row r="99" spans="1:10" ht="75.75" customHeight="1" x14ac:dyDescent="0.3">
      <c r="A99" s="608" t="s">
        <v>70</v>
      </c>
      <c r="B99" s="1406" t="s">
        <v>713</v>
      </c>
      <c r="C99" s="1407"/>
      <c r="D99" s="1408"/>
      <c r="E99" s="1404">
        <v>300</v>
      </c>
      <c r="F99" s="1405"/>
      <c r="G99" s="608">
        <v>1</v>
      </c>
      <c r="H99" s="608">
        <v>5</v>
      </c>
      <c r="I99" s="1409">
        <f>E99*G99*H99</f>
        <v>1500</v>
      </c>
      <c r="J99" s="1409"/>
    </row>
    <row r="100" spans="1:10" ht="15" hidden="1" customHeight="1" x14ac:dyDescent="0.3">
      <c r="A100" s="1325" t="s">
        <v>363</v>
      </c>
      <c r="B100" s="1326"/>
      <c r="C100" s="1326"/>
      <c r="D100" s="1326"/>
      <c r="E100" s="1326"/>
      <c r="F100" s="1326"/>
      <c r="G100" s="1326"/>
      <c r="H100" s="1326"/>
      <c r="I100" s="1326"/>
      <c r="J100" s="1327"/>
    </row>
    <row r="101" spans="1:10" ht="53.25" hidden="1" customHeight="1" x14ac:dyDescent="0.3">
      <c r="A101" s="561" t="s">
        <v>70</v>
      </c>
      <c r="B101" s="1320" t="s">
        <v>513</v>
      </c>
      <c r="C101" s="1321"/>
      <c r="D101" s="1322"/>
      <c r="E101" s="1329">
        <v>22300</v>
      </c>
      <c r="F101" s="1329"/>
      <c r="G101" s="617">
        <v>45</v>
      </c>
      <c r="H101" s="617">
        <v>1</v>
      </c>
      <c r="I101" s="1333">
        <v>0</v>
      </c>
      <c r="J101" s="1334"/>
    </row>
    <row r="102" spans="1:10" ht="48.75" hidden="1" customHeight="1" x14ac:dyDescent="0.3">
      <c r="A102" s="608" t="s">
        <v>75</v>
      </c>
      <c r="B102" s="1320" t="s">
        <v>514</v>
      </c>
      <c r="C102" s="1321"/>
      <c r="D102" s="1322"/>
      <c r="E102" s="1323">
        <v>15600</v>
      </c>
      <c r="F102" s="1323"/>
      <c r="G102" s="140">
        <v>24</v>
      </c>
      <c r="H102" s="160">
        <v>1</v>
      </c>
      <c r="I102" s="1324">
        <v>0</v>
      </c>
      <c r="J102" s="1324"/>
    </row>
    <row r="103" spans="1:10" x14ac:dyDescent="0.3">
      <c r="A103" s="1325" t="s">
        <v>364</v>
      </c>
      <c r="B103" s="1326"/>
      <c r="C103" s="1326"/>
      <c r="D103" s="1326"/>
      <c r="E103" s="1326"/>
      <c r="F103" s="1326"/>
      <c r="G103" s="1326"/>
      <c r="H103" s="1326"/>
      <c r="I103" s="1326"/>
      <c r="J103" s="1327"/>
    </row>
    <row r="104" spans="1:10" ht="58.5" customHeight="1" x14ac:dyDescent="0.3">
      <c r="A104" s="161" t="s">
        <v>75</v>
      </c>
      <c r="B104" s="1401" t="s">
        <v>714</v>
      </c>
      <c r="C104" s="1402"/>
      <c r="D104" s="1403"/>
      <c r="E104" s="1399">
        <v>0</v>
      </c>
      <c r="F104" s="1399"/>
      <c r="G104" s="161">
        <v>3</v>
      </c>
      <c r="H104" s="161">
        <v>0</v>
      </c>
      <c r="I104" s="1400">
        <v>11500</v>
      </c>
      <c r="J104" s="1400"/>
    </row>
    <row r="105" spans="1:10" x14ac:dyDescent="0.3">
      <c r="A105" s="608"/>
      <c r="B105" s="1306" t="s">
        <v>13</v>
      </c>
      <c r="C105" s="1306"/>
      <c r="D105" s="1306"/>
      <c r="E105" s="1307" t="s">
        <v>14</v>
      </c>
      <c r="F105" s="1307"/>
      <c r="G105" s="608" t="s">
        <v>14</v>
      </c>
      <c r="H105" s="608" t="s">
        <v>14</v>
      </c>
      <c r="I105" s="1310">
        <f>I99+I102+I104+I101</f>
        <v>13000</v>
      </c>
      <c r="J105" s="1310"/>
    </row>
    <row r="106" spans="1:10" ht="19.5" hidden="1" customHeight="1" x14ac:dyDescent="0.3">
      <c r="A106" s="1243" t="s">
        <v>366</v>
      </c>
      <c r="B106" s="1243"/>
      <c r="C106" s="1243"/>
      <c r="D106" s="1243"/>
      <c r="E106" s="1243"/>
      <c r="F106" s="1243"/>
      <c r="G106" s="1243"/>
      <c r="H106" s="1243"/>
      <c r="I106" s="1243"/>
      <c r="J106" s="1243"/>
    </row>
    <row r="107" spans="1:10" ht="52.8" hidden="1" x14ac:dyDescent="0.3">
      <c r="A107" s="615" t="s">
        <v>1</v>
      </c>
      <c r="B107" s="1302" t="s">
        <v>15</v>
      </c>
      <c r="C107" s="1302"/>
      <c r="D107" s="1302"/>
      <c r="E107" s="1311" t="s">
        <v>20</v>
      </c>
      <c r="F107" s="1312"/>
      <c r="G107" s="615" t="s">
        <v>21</v>
      </c>
      <c r="H107" s="615" t="s">
        <v>22</v>
      </c>
      <c r="I107" s="1302" t="s">
        <v>19</v>
      </c>
      <c r="J107" s="1302"/>
    </row>
    <row r="108" spans="1:10" hidden="1" x14ac:dyDescent="0.3">
      <c r="A108" s="615">
        <v>1</v>
      </c>
      <c r="B108" s="1302">
        <v>2</v>
      </c>
      <c r="C108" s="1302"/>
      <c r="D108" s="1302"/>
      <c r="E108" s="1311">
        <v>3</v>
      </c>
      <c r="F108" s="1312"/>
      <c r="G108" s="615">
        <v>4</v>
      </c>
      <c r="H108" s="615">
        <v>5</v>
      </c>
      <c r="I108" s="1302">
        <v>6</v>
      </c>
      <c r="J108" s="1302"/>
    </row>
    <row r="109" spans="1:10" ht="47.25" hidden="1" customHeight="1" x14ac:dyDescent="0.3">
      <c r="A109" s="607" t="s">
        <v>70</v>
      </c>
      <c r="B109" s="1313" t="s">
        <v>79</v>
      </c>
      <c r="C109" s="1314"/>
      <c r="D109" s="1315"/>
      <c r="E109" s="1316"/>
      <c r="F109" s="1317"/>
      <c r="G109" s="163">
        <v>12</v>
      </c>
      <c r="H109" s="163">
        <v>85</v>
      </c>
      <c r="I109" s="1318">
        <f>E109*G109*H109</f>
        <v>0</v>
      </c>
      <c r="J109" s="1318"/>
    </row>
    <row r="110" spans="1:10" ht="17.25" hidden="1" customHeight="1" x14ac:dyDescent="0.3">
      <c r="A110" s="162"/>
      <c r="B110" s="1303" t="s">
        <v>13</v>
      </c>
      <c r="C110" s="1303"/>
      <c r="D110" s="1303"/>
      <c r="E110" s="1304" t="s">
        <v>14</v>
      </c>
      <c r="F110" s="1305"/>
      <c r="G110" s="608" t="s">
        <v>14</v>
      </c>
      <c r="H110" s="608" t="s">
        <v>14</v>
      </c>
      <c r="I110" s="1310">
        <f>SUM(I109)</f>
        <v>0</v>
      </c>
      <c r="J110" s="1319"/>
    </row>
    <row r="111" spans="1:10" s="41" customFormat="1" ht="54" customHeight="1" x14ac:dyDescent="0.3">
      <c r="A111" s="1275" t="s">
        <v>295</v>
      </c>
      <c r="B111" s="1275"/>
      <c r="C111" s="1275"/>
      <c r="D111" s="1275"/>
      <c r="E111" s="1275"/>
      <c r="F111" s="1275"/>
      <c r="G111" s="1275"/>
      <c r="H111" s="1275"/>
      <c r="I111" s="1275"/>
      <c r="J111" s="1275"/>
    </row>
    <row r="112" spans="1:10" ht="25.5" customHeight="1" x14ac:dyDescent="0.3">
      <c r="A112" s="627" t="s">
        <v>1</v>
      </c>
      <c r="B112" s="1276" t="s">
        <v>23</v>
      </c>
      <c r="C112" s="1276"/>
      <c r="D112" s="1276"/>
      <c r="E112" s="1276"/>
      <c r="F112" s="1276"/>
      <c r="G112" s="1276" t="s">
        <v>24</v>
      </c>
      <c r="H112" s="1276"/>
      <c r="I112" s="1276" t="s">
        <v>25</v>
      </c>
      <c r="J112" s="1276"/>
    </row>
    <row r="113" spans="1:10" ht="12" customHeight="1" x14ac:dyDescent="0.3">
      <c r="A113" s="623">
        <v>1</v>
      </c>
      <c r="B113" s="1110">
        <v>2</v>
      </c>
      <c r="C113" s="1110"/>
      <c r="D113" s="1110"/>
      <c r="E113" s="1110"/>
      <c r="F113" s="1110"/>
      <c r="G113" s="1110">
        <v>3</v>
      </c>
      <c r="H113" s="1110"/>
      <c r="I113" s="1110">
        <v>4</v>
      </c>
      <c r="J113" s="1110"/>
    </row>
    <row r="114" spans="1:10" ht="17.25" customHeight="1" x14ac:dyDescent="0.3">
      <c r="A114" s="618" t="s">
        <v>70</v>
      </c>
      <c r="B114" s="1295" t="s">
        <v>26</v>
      </c>
      <c r="C114" s="1295"/>
      <c r="D114" s="1295"/>
      <c r="E114" s="1295"/>
      <c r="F114" s="1295"/>
      <c r="G114" s="1300" t="s">
        <v>14</v>
      </c>
      <c r="H114" s="1300"/>
      <c r="I114" s="1299">
        <f>SUM(I116:J118)</f>
        <v>26680</v>
      </c>
      <c r="J114" s="1299"/>
    </row>
    <row r="115" spans="1:10" ht="16.5" customHeight="1" x14ac:dyDescent="0.3">
      <c r="A115" s="98"/>
      <c r="B115" s="1116" t="s">
        <v>9</v>
      </c>
      <c r="C115" s="1212"/>
      <c r="D115" s="1212"/>
      <c r="E115" s="1212"/>
      <c r="F115" s="1117"/>
      <c r="G115" s="1273"/>
      <c r="H115" s="1273"/>
      <c r="I115" s="1272"/>
      <c r="J115" s="1272"/>
    </row>
    <row r="116" spans="1:10" ht="17.25" customHeight="1" x14ac:dyDescent="0.3">
      <c r="A116" s="624" t="s">
        <v>27</v>
      </c>
      <c r="B116" s="1301" t="s">
        <v>28</v>
      </c>
      <c r="C116" s="1301"/>
      <c r="D116" s="1301"/>
      <c r="E116" s="1301"/>
      <c r="F116" s="1301"/>
      <c r="G116" s="1271">
        <f>J87</f>
        <v>120200</v>
      </c>
      <c r="H116" s="1271"/>
      <c r="I116" s="1272">
        <f>G116*22%+236</f>
        <v>26680</v>
      </c>
      <c r="J116" s="1272"/>
    </row>
    <row r="117" spans="1:10" ht="15" customHeight="1" x14ac:dyDescent="0.3">
      <c r="A117" s="624" t="s">
        <v>29</v>
      </c>
      <c r="B117" s="1143" t="s">
        <v>30</v>
      </c>
      <c r="C117" s="1143"/>
      <c r="D117" s="1143"/>
      <c r="E117" s="1143"/>
      <c r="F117" s="1143"/>
      <c r="G117" s="1273"/>
      <c r="H117" s="1273"/>
      <c r="I117" s="1272">
        <f>G117*10%</f>
        <v>0</v>
      </c>
      <c r="J117" s="1272"/>
    </row>
    <row r="118" spans="1:10" ht="29.4" customHeight="1" x14ac:dyDescent="0.3">
      <c r="A118" s="624" t="s">
        <v>31</v>
      </c>
      <c r="B118" s="1274" t="s">
        <v>32</v>
      </c>
      <c r="C118" s="1274"/>
      <c r="D118" s="1274"/>
      <c r="E118" s="1274"/>
      <c r="F118" s="1274"/>
      <c r="G118" s="1273"/>
      <c r="H118" s="1273"/>
      <c r="I118" s="1272"/>
      <c r="J118" s="1272"/>
    </row>
    <row r="119" spans="1:10" ht="29.25" customHeight="1" x14ac:dyDescent="0.3">
      <c r="A119" s="618" t="s">
        <v>75</v>
      </c>
      <c r="B119" s="1295" t="s">
        <v>33</v>
      </c>
      <c r="C119" s="1295"/>
      <c r="D119" s="1295"/>
      <c r="E119" s="1295"/>
      <c r="F119" s="1295"/>
      <c r="G119" s="1300" t="s">
        <v>14</v>
      </c>
      <c r="H119" s="1300"/>
      <c r="I119" s="1299">
        <f>SUM(I121:J125)</f>
        <v>3726.2</v>
      </c>
      <c r="J119" s="1299"/>
    </row>
    <row r="120" spans="1:10" ht="15.75" customHeight="1" x14ac:dyDescent="0.3">
      <c r="A120" s="98"/>
      <c r="B120" s="1116" t="s">
        <v>9</v>
      </c>
      <c r="C120" s="1212"/>
      <c r="D120" s="1212"/>
      <c r="E120" s="1212"/>
      <c r="F120" s="1117"/>
      <c r="G120" s="1273"/>
      <c r="H120" s="1273"/>
      <c r="I120" s="1272"/>
      <c r="J120" s="1272"/>
    </row>
    <row r="121" spans="1:10" ht="27.75" customHeight="1" x14ac:dyDescent="0.3">
      <c r="A121" s="624" t="s">
        <v>34</v>
      </c>
      <c r="B121" s="1274" t="s">
        <v>35</v>
      </c>
      <c r="C121" s="1274"/>
      <c r="D121" s="1274"/>
      <c r="E121" s="1274"/>
      <c r="F121" s="1274"/>
      <c r="G121" s="1271">
        <f>G116+G117</f>
        <v>120200</v>
      </c>
      <c r="H121" s="1271"/>
      <c r="I121" s="1272">
        <f>G121*2.9%</f>
        <v>3485.7999999999997</v>
      </c>
      <c r="J121" s="1272"/>
    </row>
    <row r="122" spans="1:10" ht="15" customHeight="1" x14ac:dyDescent="0.3">
      <c r="A122" s="624" t="s">
        <v>36</v>
      </c>
      <c r="B122" s="1274" t="s">
        <v>37</v>
      </c>
      <c r="C122" s="1274"/>
      <c r="D122" s="1274"/>
      <c r="E122" s="1274"/>
      <c r="F122" s="1274"/>
      <c r="G122" s="1273"/>
      <c r="H122" s="1273"/>
      <c r="I122" s="1272"/>
      <c r="J122" s="1272"/>
    </row>
    <row r="123" spans="1:10" ht="35.25" customHeight="1" x14ac:dyDescent="0.3">
      <c r="A123" s="624" t="s">
        <v>38</v>
      </c>
      <c r="B123" s="1274" t="s">
        <v>39</v>
      </c>
      <c r="C123" s="1274"/>
      <c r="D123" s="1274"/>
      <c r="E123" s="1274"/>
      <c r="F123" s="1274"/>
      <c r="G123" s="1271">
        <f>G116+G117</f>
        <v>120200</v>
      </c>
      <c r="H123" s="1271"/>
      <c r="I123" s="1272">
        <f>G123*0.2%</f>
        <v>240.4</v>
      </c>
      <c r="J123" s="1272"/>
    </row>
    <row r="124" spans="1:10" s="41" customFormat="1" ht="15" customHeight="1" x14ac:dyDescent="0.3">
      <c r="A124" s="624" t="s">
        <v>40</v>
      </c>
      <c r="B124" s="1274" t="s">
        <v>41</v>
      </c>
      <c r="C124" s="1274"/>
      <c r="D124" s="1274"/>
      <c r="E124" s="1274"/>
      <c r="F124" s="1274"/>
      <c r="G124" s="1273"/>
      <c r="H124" s="1273"/>
      <c r="I124" s="1272"/>
      <c r="J124" s="1272"/>
    </row>
    <row r="125" spans="1:10" ht="15" customHeight="1" x14ac:dyDescent="0.3">
      <c r="A125" s="624" t="s">
        <v>42</v>
      </c>
      <c r="B125" s="1274" t="s">
        <v>41</v>
      </c>
      <c r="C125" s="1274"/>
      <c r="D125" s="1274"/>
      <c r="E125" s="1274"/>
      <c r="F125" s="1274"/>
      <c r="G125" s="1273"/>
      <c r="H125" s="1273"/>
      <c r="I125" s="1272"/>
      <c r="J125" s="1272"/>
    </row>
    <row r="126" spans="1:10" ht="30" customHeight="1" x14ac:dyDescent="0.3">
      <c r="A126" s="618" t="s">
        <v>77</v>
      </c>
      <c r="B126" s="1295" t="s">
        <v>43</v>
      </c>
      <c r="C126" s="1295"/>
      <c r="D126" s="1295"/>
      <c r="E126" s="1295"/>
      <c r="F126" s="1295"/>
      <c r="G126" s="1298">
        <f>G116+G117</f>
        <v>120200</v>
      </c>
      <c r="H126" s="1298"/>
      <c r="I126" s="1299">
        <f>G126*5.1%-36.4</f>
        <v>6093.8</v>
      </c>
      <c r="J126" s="1299"/>
    </row>
    <row r="127" spans="1:10" ht="19.5" customHeight="1" x14ac:dyDescent="0.3">
      <c r="A127" s="624"/>
      <c r="B127" s="1098" t="s">
        <v>929</v>
      </c>
      <c r="C127" s="1098"/>
      <c r="D127" s="1098"/>
      <c r="E127" s="1098"/>
      <c r="F127" s="1098"/>
      <c r="G127" s="1090" t="s">
        <v>14</v>
      </c>
      <c r="H127" s="1090"/>
      <c r="I127" s="1297">
        <f>I114+I119+I126</f>
        <v>36500</v>
      </c>
      <c r="J127" s="1297"/>
    </row>
    <row r="128" spans="1:10" ht="36" hidden="1" customHeight="1" x14ac:dyDescent="0.3">
      <c r="A128" s="627" t="s">
        <v>1</v>
      </c>
      <c r="B128" s="1269" t="s">
        <v>23</v>
      </c>
      <c r="C128" s="1296"/>
      <c r="D128" s="1296"/>
      <c r="E128" s="1296"/>
      <c r="F128" s="1270"/>
      <c r="G128" s="1269" t="s">
        <v>24</v>
      </c>
      <c r="H128" s="1270"/>
      <c r="I128" s="1269" t="s">
        <v>25</v>
      </c>
      <c r="J128" s="1270"/>
    </row>
    <row r="129" spans="1:10" ht="11.25" hidden="1" customHeight="1" x14ac:dyDescent="0.3">
      <c r="A129" s="623">
        <v>1</v>
      </c>
      <c r="B129" s="1139">
        <v>2</v>
      </c>
      <c r="C129" s="1210"/>
      <c r="D129" s="1210"/>
      <c r="E129" s="1210"/>
      <c r="F129" s="1140"/>
      <c r="G129" s="1139">
        <v>3</v>
      </c>
      <c r="H129" s="1140"/>
      <c r="I129" s="1139">
        <v>4</v>
      </c>
      <c r="J129" s="1140"/>
    </row>
    <row r="130" spans="1:10" ht="20.25" hidden="1" customHeight="1" x14ac:dyDescent="0.3">
      <c r="A130" s="618" t="s">
        <v>70</v>
      </c>
      <c r="B130" s="1252" t="s">
        <v>26</v>
      </c>
      <c r="C130" s="1253"/>
      <c r="D130" s="1253"/>
      <c r="E130" s="1253"/>
      <c r="F130" s="1254"/>
      <c r="G130" s="1187" t="s">
        <v>14</v>
      </c>
      <c r="H130" s="1188"/>
      <c r="I130" s="1255">
        <f>SUM(I132:J134)</f>
        <v>0</v>
      </c>
      <c r="J130" s="1256"/>
    </row>
    <row r="131" spans="1:10" ht="18" hidden="1" customHeight="1" x14ac:dyDescent="0.3">
      <c r="A131" s="98"/>
      <c r="B131" s="1116" t="s">
        <v>9</v>
      </c>
      <c r="C131" s="1212"/>
      <c r="D131" s="1212"/>
      <c r="E131" s="1212"/>
      <c r="F131" s="1117"/>
      <c r="G131" s="1257"/>
      <c r="H131" s="1258"/>
      <c r="I131" s="1259"/>
      <c r="J131" s="1260"/>
    </row>
    <row r="132" spans="1:10" s="41" customFormat="1" ht="20.25" hidden="1" customHeight="1" x14ac:dyDescent="0.3">
      <c r="A132" s="624" t="s">
        <v>27</v>
      </c>
      <c r="B132" s="1263" t="s">
        <v>28</v>
      </c>
      <c r="C132" s="1264"/>
      <c r="D132" s="1264"/>
      <c r="E132" s="1264"/>
      <c r="F132" s="1265"/>
      <c r="G132" s="1261">
        <f>J86</f>
        <v>0</v>
      </c>
      <c r="H132" s="1262"/>
      <c r="I132" s="1259">
        <f>G132*22%</f>
        <v>0</v>
      </c>
      <c r="J132" s="1260"/>
    </row>
    <row r="133" spans="1:10" hidden="1" x14ac:dyDescent="0.3">
      <c r="A133" s="624" t="s">
        <v>29</v>
      </c>
      <c r="B133" s="1197" t="s">
        <v>30</v>
      </c>
      <c r="C133" s="1198"/>
      <c r="D133" s="1198"/>
      <c r="E133" s="1198"/>
      <c r="F133" s="1199"/>
      <c r="G133" s="1257"/>
      <c r="H133" s="1258"/>
      <c r="I133" s="1259"/>
      <c r="J133" s="1260"/>
    </row>
    <row r="134" spans="1:10" ht="15" hidden="1" customHeight="1" x14ac:dyDescent="0.3">
      <c r="A134" s="624" t="s">
        <v>31</v>
      </c>
      <c r="B134" s="1266" t="s">
        <v>32</v>
      </c>
      <c r="C134" s="1267"/>
      <c r="D134" s="1267"/>
      <c r="E134" s="1267"/>
      <c r="F134" s="1268"/>
      <c r="G134" s="1257"/>
      <c r="H134" s="1258"/>
      <c r="I134" s="1259"/>
      <c r="J134" s="1260"/>
    </row>
    <row r="135" spans="1:10" ht="15" hidden="1" customHeight="1" x14ac:dyDescent="0.3">
      <c r="A135" s="618" t="s">
        <v>75</v>
      </c>
      <c r="B135" s="1252" t="s">
        <v>33</v>
      </c>
      <c r="C135" s="1253"/>
      <c r="D135" s="1253"/>
      <c r="E135" s="1253"/>
      <c r="F135" s="1254"/>
      <c r="G135" s="1187" t="s">
        <v>14</v>
      </c>
      <c r="H135" s="1188"/>
      <c r="I135" s="1255">
        <f>SUM(I137:J141)</f>
        <v>-4.0000000000000001E-3</v>
      </c>
      <c r="J135" s="1256"/>
    </row>
    <row r="136" spans="1:10" ht="15" hidden="1" customHeight="1" x14ac:dyDescent="0.3">
      <c r="A136" s="98"/>
      <c r="B136" s="1116" t="s">
        <v>9</v>
      </c>
      <c r="C136" s="1212"/>
      <c r="D136" s="1212"/>
      <c r="E136" s="1212"/>
      <c r="F136" s="1117"/>
      <c r="G136" s="1257"/>
      <c r="H136" s="1258"/>
      <c r="I136" s="1259"/>
      <c r="J136" s="1260"/>
    </row>
    <row r="137" spans="1:10" ht="26.25" hidden="1" customHeight="1" x14ac:dyDescent="0.3">
      <c r="A137" s="624" t="s">
        <v>34</v>
      </c>
      <c r="B137" s="1266" t="s">
        <v>35</v>
      </c>
      <c r="C137" s="1267"/>
      <c r="D137" s="1267"/>
      <c r="E137" s="1267"/>
      <c r="F137" s="1268"/>
      <c r="G137" s="1261">
        <f>G132</f>
        <v>0</v>
      </c>
      <c r="H137" s="1262"/>
      <c r="I137" s="1259">
        <f>G137*2.9%</f>
        <v>0</v>
      </c>
      <c r="J137" s="1260"/>
    </row>
    <row r="138" spans="1:10" hidden="1" x14ac:dyDescent="0.3">
      <c r="A138" s="624" t="s">
        <v>36</v>
      </c>
      <c r="B138" s="1266" t="s">
        <v>37</v>
      </c>
      <c r="C138" s="1267"/>
      <c r="D138" s="1267"/>
      <c r="E138" s="1267"/>
      <c r="F138" s="1268"/>
      <c r="G138" s="1257"/>
      <c r="H138" s="1258"/>
      <c r="I138" s="1259"/>
      <c r="J138" s="1260"/>
    </row>
    <row r="139" spans="1:10" ht="26.25" hidden="1" customHeight="1" x14ac:dyDescent="0.3">
      <c r="A139" s="624" t="s">
        <v>38</v>
      </c>
      <c r="B139" s="1266" t="s">
        <v>39</v>
      </c>
      <c r="C139" s="1267"/>
      <c r="D139" s="1267"/>
      <c r="E139" s="1267"/>
      <c r="F139" s="1268"/>
      <c r="G139" s="1261">
        <f>G132</f>
        <v>0</v>
      </c>
      <c r="H139" s="1262"/>
      <c r="I139" s="1259">
        <f>G139*0.2%-0.004</f>
        <v>-4.0000000000000001E-3</v>
      </c>
      <c r="J139" s="1260"/>
    </row>
    <row r="140" spans="1:10" s="41" customFormat="1" ht="14.25" hidden="1" customHeight="1" x14ac:dyDescent="0.3">
      <c r="A140" s="624" t="s">
        <v>40</v>
      </c>
      <c r="B140" s="1266" t="s">
        <v>41</v>
      </c>
      <c r="C140" s="1267"/>
      <c r="D140" s="1267"/>
      <c r="E140" s="1267"/>
      <c r="F140" s="1268"/>
      <c r="G140" s="1257"/>
      <c r="H140" s="1258"/>
      <c r="I140" s="1259"/>
      <c r="J140" s="1260"/>
    </row>
    <row r="141" spans="1:10" ht="15" hidden="1" customHeight="1" x14ac:dyDescent="0.3">
      <c r="A141" s="624" t="s">
        <v>42</v>
      </c>
      <c r="B141" s="1266" t="s">
        <v>41</v>
      </c>
      <c r="C141" s="1267"/>
      <c r="D141" s="1267"/>
      <c r="E141" s="1267"/>
      <c r="F141" s="1268"/>
      <c r="G141" s="1257"/>
      <c r="H141" s="1258"/>
      <c r="I141" s="1259"/>
      <c r="J141" s="1260"/>
    </row>
    <row r="142" spans="1:10" hidden="1" x14ac:dyDescent="0.3">
      <c r="A142" s="618" t="s">
        <v>77</v>
      </c>
      <c r="B142" s="1252" t="s">
        <v>43</v>
      </c>
      <c r="C142" s="1253"/>
      <c r="D142" s="1253"/>
      <c r="E142" s="1253"/>
      <c r="F142" s="1254"/>
      <c r="G142" s="1292">
        <f>G132</f>
        <v>0</v>
      </c>
      <c r="H142" s="1293"/>
      <c r="I142" s="1255">
        <f>G142*5.1%</f>
        <v>0</v>
      </c>
      <c r="J142" s="1256"/>
    </row>
    <row r="143" spans="1:10" x14ac:dyDescent="0.3">
      <c r="A143" s="624"/>
      <c r="B143" s="1249" t="s">
        <v>380</v>
      </c>
      <c r="C143" s="1250"/>
      <c r="D143" s="1250"/>
      <c r="E143" s="1250"/>
      <c r="F143" s="1251"/>
      <c r="G143" s="1244" t="s">
        <v>14</v>
      </c>
      <c r="H143" s="1245"/>
      <c r="I143" s="1288">
        <f>I130+I135+I142</f>
        <v>-4.0000000000000001E-3</v>
      </c>
      <c r="J143" s="1289"/>
    </row>
    <row r="144" spans="1:10" x14ac:dyDescent="0.3">
      <c r="A144" s="624"/>
      <c r="B144" s="1249" t="s">
        <v>567</v>
      </c>
      <c r="C144" s="1250"/>
      <c r="D144" s="1250"/>
      <c r="E144" s="1250"/>
      <c r="F144" s="1251"/>
      <c r="G144" s="621"/>
      <c r="H144" s="622"/>
      <c r="I144" s="1288">
        <v>0</v>
      </c>
      <c r="J144" s="1289"/>
    </row>
    <row r="145" spans="1:12" s="41" customFormat="1" ht="19.5" customHeight="1" x14ac:dyDescent="0.3">
      <c r="A145" s="109"/>
      <c r="B145" s="1294" t="s">
        <v>809</v>
      </c>
      <c r="C145" s="1294"/>
      <c r="D145" s="1294"/>
      <c r="E145" s="1294"/>
      <c r="F145" s="1294"/>
      <c r="G145" s="1290" t="s">
        <v>14</v>
      </c>
      <c r="H145" s="1290"/>
      <c r="I145" s="1291">
        <f>I127+I143+I144</f>
        <v>36499.995999999999</v>
      </c>
      <c r="J145" s="1291"/>
      <c r="K145" s="1237"/>
      <c r="L145" s="1237"/>
    </row>
    <row r="146" spans="1:12" s="41" customFormat="1" ht="38.25" customHeight="1" x14ac:dyDescent="0.3">
      <c r="A146" s="1240" t="s">
        <v>468</v>
      </c>
      <c r="B146" s="1240"/>
      <c r="C146" s="1240"/>
      <c r="D146" s="1240"/>
      <c r="E146" s="1240"/>
      <c r="F146" s="1240"/>
      <c r="G146" s="1240"/>
      <c r="H146" s="1240"/>
      <c r="I146" s="1240"/>
      <c r="J146" s="1240"/>
    </row>
    <row r="147" spans="1:12" ht="19.5" hidden="1" customHeight="1" x14ac:dyDescent="0.3">
      <c r="A147" s="1243" t="s">
        <v>377</v>
      </c>
      <c r="B147" s="1243"/>
      <c r="C147" s="1243"/>
      <c r="D147" s="1243"/>
      <c r="E147" s="1243"/>
      <c r="F147" s="1243"/>
      <c r="G147" s="1243"/>
      <c r="H147" s="1243"/>
      <c r="I147" s="1243"/>
      <c r="J147" s="1243"/>
      <c r="K147" s="11"/>
      <c r="L147" s="11"/>
    </row>
    <row r="148" spans="1:12" ht="15" hidden="1" customHeight="1" x14ac:dyDescent="0.3">
      <c r="A148" s="89" t="s">
        <v>80</v>
      </c>
      <c r="B148" s="90"/>
      <c r="C148" s="349">
        <v>321</v>
      </c>
      <c r="D148" s="349"/>
      <c r="E148" s="349"/>
      <c r="F148" s="94"/>
      <c r="G148" s="94"/>
      <c r="H148" s="94"/>
      <c r="I148" s="94"/>
      <c r="J148" s="94"/>
      <c r="K148" s="11"/>
      <c r="L148" s="11"/>
    </row>
    <row r="149" spans="1:12" ht="16.5" hidden="1" customHeight="1" x14ac:dyDescent="0.3">
      <c r="A149" s="89" t="s">
        <v>81</v>
      </c>
      <c r="B149" s="90"/>
      <c r="C149" s="90"/>
      <c r="D149" s="90"/>
      <c r="E149" s="95"/>
      <c r="F149" s="96"/>
      <c r="G149" s="96"/>
      <c r="H149" s="96"/>
      <c r="I149" s="96"/>
      <c r="J149" s="96"/>
      <c r="K149" s="11"/>
      <c r="L149" s="11"/>
    </row>
    <row r="150" spans="1:12" ht="36" hidden="1" customHeight="1" x14ac:dyDescent="0.3">
      <c r="A150" s="623" t="s">
        <v>1</v>
      </c>
      <c r="B150" s="1139" t="s">
        <v>44</v>
      </c>
      <c r="C150" s="1210"/>
      <c r="D150" s="1140"/>
      <c r="E150" s="1139" t="s">
        <v>45</v>
      </c>
      <c r="F150" s="1140"/>
      <c r="G150" s="1139" t="s">
        <v>46</v>
      </c>
      <c r="H150" s="1140"/>
      <c r="I150" s="1139" t="s">
        <v>102</v>
      </c>
      <c r="J150" s="1140"/>
      <c r="K150" s="11"/>
      <c r="L150" s="11"/>
    </row>
    <row r="151" spans="1:12" ht="16.5" hidden="1" customHeight="1" x14ac:dyDescent="0.3">
      <c r="A151" s="623">
        <v>1</v>
      </c>
      <c r="B151" s="1139">
        <v>2</v>
      </c>
      <c r="C151" s="1210"/>
      <c r="D151" s="1140"/>
      <c r="E151" s="1139">
        <v>3</v>
      </c>
      <c r="F151" s="1140"/>
      <c r="G151" s="1139">
        <v>4</v>
      </c>
      <c r="H151" s="1140"/>
      <c r="I151" s="1139">
        <v>5</v>
      </c>
      <c r="J151" s="1140"/>
      <c r="K151" s="11"/>
      <c r="L151" s="11"/>
    </row>
    <row r="152" spans="1:12" ht="89.25" hidden="1" customHeight="1" x14ac:dyDescent="0.3">
      <c r="A152" s="612" t="s">
        <v>70</v>
      </c>
      <c r="B152" s="1197" t="s">
        <v>368</v>
      </c>
      <c r="C152" s="1198"/>
      <c r="D152" s="1199"/>
      <c r="E152" s="1116"/>
      <c r="F152" s="1117"/>
      <c r="G152" s="1116"/>
      <c r="H152" s="1117"/>
      <c r="I152" s="1116"/>
      <c r="J152" s="1117"/>
    </row>
    <row r="153" spans="1:12" ht="28.5" hidden="1" customHeight="1" x14ac:dyDescent="0.3">
      <c r="A153" s="624" t="s">
        <v>75</v>
      </c>
      <c r="B153" s="1197" t="s">
        <v>367</v>
      </c>
      <c r="C153" s="1198"/>
      <c r="D153" s="1199"/>
      <c r="E153" s="1116"/>
      <c r="F153" s="1117"/>
      <c r="G153" s="1116"/>
      <c r="H153" s="1117"/>
      <c r="I153" s="1116"/>
      <c r="J153" s="1117"/>
    </row>
    <row r="154" spans="1:12" ht="28.5" hidden="1" customHeight="1" x14ac:dyDescent="0.3">
      <c r="A154" s="624" t="s">
        <v>70</v>
      </c>
      <c r="B154" s="1313" t="s">
        <v>373</v>
      </c>
      <c r="C154" s="1314"/>
      <c r="D154" s="1315"/>
      <c r="E154" s="1116"/>
      <c r="F154" s="1156"/>
      <c r="G154" s="1116"/>
      <c r="H154" s="1156"/>
      <c r="I154" s="1116"/>
      <c r="J154" s="1156"/>
    </row>
    <row r="155" spans="1:12" hidden="1" x14ac:dyDescent="0.3">
      <c r="A155" s="620"/>
      <c r="B155" s="1249" t="s">
        <v>13</v>
      </c>
      <c r="C155" s="1250"/>
      <c r="D155" s="1251"/>
      <c r="E155" s="1244" t="s">
        <v>14</v>
      </c>
      <c r="F155" s="1245"/>
      <c r="G155" s="1244" t="s">
        <v>14</v>
      </c>
      <c r="H155" s="1245"/>
      <c r="I155" s="1244">
        <f>SUM(I154)</f>
        <v>0</v>
      </c>
      <c r="J155" s="1245"/>
    </row>
    <row r="156" spans="1:12" s="41" customFormat="1" ht="21" hidden="1" customHeight="1" x14ac:dyDescent="0.3">
      <c r="A156" s="1243" t="s">
        <v>369</v>
      </c>
      <c r="B156" s="1243"/>
      <c r="C156" s="1243"/>
      <c r="D156" s="1243"/>
      <c r="E156" s="1243"/>
      <c r="F156" s="1243"/>
      <c r="G156" s="1243"/>
      <c r="H156" s="1243"/>
      <c r="I156" s="1243"/>
      <c r="J156" s="1243"/>
    </row>
    <row r="157" spans="1:12" s="41" customFormat="1" ht="21" hidden="1" customHeight="1" x14ac:dyDescent="0.3">
      <c r="A157" s="89" t="s">
        <v>80</v>
      </c>
      <c r="B157" s="90"/>
      <c r="C157" s="349">
        <v>851</v>
      </c>
      <c r="D157" s="349">
        <v>852</v>
      </c>
      <c r="E157" s="349">
        <v>853</v>
      </c>
      <c r="F157" s="94"/>
      <c r="G157" s="94"/>
      <c r="H157" s="94"/>
      <c r="I157" s="94"/>
      <c r="J157" s="94"/>
      <c r="K157" s="42"/>
      <c r="L157" s="43"/>
    </row>
    <row r="158" spans="1:12" s="41" customFormat="1" ht="15.6" hidden="1" x14ac:dyDescent="0.3">
      <c r="A158" s="89" t="s">
        <v>81</v>
      </c>
      <c r="B158" s="90"/>
      <c r="C158" s="90"/>
      <c r="D158" s="90"/>
      <c r="E158" s="95"/>
      <c r="F158" s="96"/>
      <c r="G158" s="96"/>
      <c r="H158" s="96"/>
      <c r="I158" s="96"/>
      <c r="J158" s="96"/>
    </row>
    <row r="159" spans="1:12" ht="39.75" hidden="1" customHeight="1" x14ac:dyDescent="0.3">
      <c r="A159" s="623" t="s">
        <v>1</v>
      </c>
      <c r="B159" s="1110" t="s">
        <v>15</v>
      </c>
      <c r="C159" s="1110"/>
      <c r="D159" s="1110"/>
      <c r="E159" s="1110" t="s">
        <v>47</v>
      </c>
      <c r="F159" s="1110"/>
      <c r="G159" s="1110" t="s">
        <v>48</v>
      </c>
      <c r="H159" s="1110"/>
      <c r="I159" s="1110" t="s">
        <v>103</v>
      </c>
      <c r="J159" s="1110"/>
    </row>
    <row r="160" spans="1:12" ht="15" hidden="1" customHeight="1" x14ac:dyDescent="0.3">
      <c r="A160" s="623">
        <v>1</v>
      </c>
      <c r="B160" s="1110">
        <v>2</v>
      </c>
      <c r="C160" s="1110"/>
      <c r="D160" s="1110"/>
      <c r="E160" s="1110">
        <v>3</v>
      </c>
      <c r="F160" s="1110"/>
      <c r="G160" s="1110">
        <v>4</v>
      </c>
      <c r="H160" s="1110"/>
      <c r="I160" s="1110">
        <v>5</v>
      </c>
      <c r="J160" s="1110"/>
    </row>
    <row r="161" spans="1:12" ht="20.25" hidden="1" customHeight="1" x14ac:dyDescent="0.3">
      <c r="A161" s="1280" t="s">
        <v>70</v>
      </c>
      <c r="B161" s="1285" t="s">
        <v>296</v>
      </c>
      <c r="C161" s="1286"/>
      <c r="D161" s="625" t="s">
        <v>515</v>
      </c>
      <c r="E161" s="1287"/>
      <c r="F161" s="1287"/>
      <c r="G161" s="1284">
        <v>2.1999999999999999E-2</v>
      </c>
      <c r="H161" s="1284"/>
      <c r="I161" s="1231"/>
      <c r="J161" s="1231"/>
    </row>
    <row r="162" spans="1:12" ht="17.25" hidden="1" customHeight="1" x14ac:dyDescent="0.3">
      <c r="A162" s="1281"/>
      <c r="B162" s="1286"/>
      <c r="C162" s="1286"/>
      <c r="D162" s="626" t="s">
        <v>516</v>
      </c>
      <c r="E162" s="1287"/>
      <c r="F162" s="1287"/>
      <c r="G162" s="1284">
        <v>2.1999999999999999E-2</v>
      </c>
      <c r="H162" s="1284"/>
      <c r="I162" s="1231"/>
      <c r="J162" s="1231"/>
    </row>
    <row r="163" spans="1:12" ht="18" hidden="1" customHeight="1" x14ac:dyDescent="0.3">
      <c r="A163" s="624" t="s">
        <v>75</v>
      </c>
      <c r="B163" s="1197" t="s">
        <v>298</v>
      </c>
      <c r="C163" s="1198"/>
      <c r="D163" s="1199"/>
      <c r="E163" s="1213">
        <v>0</v>
      </c>
      <c r="F163" s="1213"/>
      <c r="G163" s="1213">
        <v>0</v>
      </c>
      <c r="H163" s="1213"/>
      <c r="I163" s="1231"/>
      <c r="J163" s="1231"/>
    </row>
    <row r="164" spans="1:12" ht="31.5" hidden="1" customHeight="1" x14ac:dyDescent="0.3">
      <c r="A164" s="624" t="s">
        <v>77</v>
      </c>
      <c r="B164" s="1197" t="s">
        <v>299</v>
      </c>
      <c r="C164" s="1198"/>
      <c r="D164" s="1199"/>
      <c r="E164" s="1213">
        <v>0</v>
      </c>
      <c r="F164" s="1213"/>
      <c r="G164" s="1213">
        <v>0</v>
      </c>
      <c r="H164" s="1213"/>
      <c r="I164" s="1231"/>
      <c r="J164" s="1231"/>
    </row>
    <row r="165" spans="1:12" ht="31.5" hidden="1" customHeight="1" x14ac:dyDescent="0.3">
      <c r="A165" s="624" t="s">
        <v>86</v>
      </c>
      <c r="B165" s="1197" t="s">
        <v>297</v>
      </c>
      <c r="C165" s="1198"/>
      <c r="D165" s="1199"/>
      <c r="E165" s="1116">
        <v>0</v>
      </c>
      <c r="F165" s="1117"/>
      <c r="G165" s="1116">
        <v>0</v>
      </c>
      <c r="H165" s="1117"/>
      <c r="I165" s="1282"/>
      <c r="J165" s="1283"/>
    </row>
    <row r="166" spans="1:12" ht="15.75" hidden="1" customHeight="1" x14ac:dyDescent="0.3">
      <c r="A166" s="620"/>
      <c r="B166" s="1098" t="s">
        <v>13</v>
      </c>
      <c r="C166" s="1098"/>
      <c r="D166" s="1098"/>
      <c r="E166" s="1090" t="s">
        <v>74</v>
      </c>
      <c r="F166" s="1090"/>
      <c r="G166" s="1090" t="s">
        <v>14</v>
      </c>
      <c r="H166" s="1090"/>
      <c r="I166" s="1101">
        <f>SUM(I161:J165)</f>
        <v>0</v>
      </c>
      <c r="J166" s="1090"/>
    </row>
    <row r="167" spans="1:12" ht="27" hidden="1" customHeight="1" x14ac:dyDescent="0.3">
      <c r="A167" s="1243" t="s">
        <v>85</v>
      </c>
      <c r="B167" s="1243"/>
      <c r="C167" s="1243"/>
      <c r="D167" s="1243"/>
      <c r="E167" s="1243"/>
      <c r="F167" s="1243"/>
      <c r="G167" s="1243"/>
      <c r="H167" s="1243"/>
      <c r="I167" s="1243"/>
      <c r="J167" s="1243"/>
      <c r="K167" s="1237"/>
      <c r="L167" s="1237"/>
    </row>
    <row r="168" spans="1:12" s="41" customFormat="1" ht="15.75" hidden="1" customHeight="1" x14ac:dyDescent="0.3">
      <c r="A168" s="89" t="s">
        <v>80</v>
      </c>
      <c r="B168" s="90"/>
      <c r="C168" s="349"/>
      <c r="D168" s="349"/>
      <c r="E168" s="349"/>
      <c r="F168" s="94"/>
      <c r="G168" s="94"/>
      <c r="H168" s="94"/>
      <c r="I168" s="94"/>
      <c r="J168" s="94"/>
      <c r="K168" s="42"/>
      <c r="L168" s="43"/>
    </row>
    <row r="169" spans="1:12" s="41" customFormat="1" ht="15.6" hidden="1" x14ac:dyDescent="0.3">
      <c r="A169" s="89" t="s">
        <v>81</v>
      </c>
      <c r="B169" s="90"/>
      <c r="C169" s="90"/>
      <c r="D169" s="90"/>
      <c r="E169" s="95"/>
      <c r="F169" s="96"/>
      <c r="G169" s="96"/>
      <c r="H169" s="96"/>
      <c r="I169" s="96"/>
      <c r="J169" s="96"/>
    </row>
    <row r="170" spans="1:12" ht="24.75" hidden="1" customHeight="1" x14ac:dyDescent="0.3">
      <c r="A170" s="623" t="s">
        <v>1</v>
      </c>
      <c r="B170" s="1110" t="s">
        <v>44</v>
      </c>
      <c r="C170" s="1110"/>
      <c r="D170" s="1110"/>
      <c r="E170" s="1110" t="s">
        <v>45</v>
      </c>
      <c r="F170" s="1110"/>
      <c r="G170" s="1110" t="s">
        <v>46</v>
      </c>
      <c r="H170" s="1110"/>
      <c r="I170" s="1110" t="s">
        <v>102</v>
      </c>
      <c r="J170" s="1110"/>
      <c r="K170" s="11"/>
      <c r="L170" s="11"/>
    </row>
    <row r="171" spans="1:12" ht="14.25" hidden="1" customHeight="1" x14ac:dyDescent="0.3">
      <c r="A171" s="623">
        <v>1</v>
      </c>
      <c r="B171" s="1110">
        <v>2</v>
      </c>
      <c r="C171" s="1110"/>
      <c r="D171" s="1110"/>
      <c r="E171" s="1110">
        <v>3</v>
      </c>
      <c r="F171" s="1110"/>
      <c r="G171" s="1110">
        <v>4</v>
      </c>
      <c r="H171" s="1110"/>
      <c r="I171" s="1110">
        <v>5</v>
      </c>
      <c r="J171" s="1110"/>
      <c r="K171" s="650"/>
      <c r="L171" s="651"/>
    </row>
    <row r="172" spans="1:12" ht="15" hidden="1" customHeight="1" x14ac:dyDescent="0.3">
      <c r="A172" s="624"/>
      <c r="B172" s="1116"/>
      <c r="C172" s="1212"/>
      <c r="D172" s="1117"/>
      <c r="E172" s="1116"/>
      <c r="F172" s="1117"/>
      <c r="G172" s="1116"/>
      <c r="H172" s="1117"/>
      <c r="I172" s="1116"/>
      <c r="J172" s="1117"/>
      <c r="K172" s="11"/>
      <c r="L172" s="11"/>
    </row>
    <row r="173" spans="1:12" ht="17.25" hidden="1" customHeight="1" x14ac:dyDescent="0.3">
      <c r="A173" s="620"/>
      <c r="B173" s="1098" t="s">
        <v>13</v>
      </c>
      <c r="C173" s="1098"/>
      <c r="D173" s="1098"/>
      <c r="E173" s="1090" t="s">
        <v>14</v>
      </c>
      <c r="F173" s="1090"/>
      <c r="G173" s="1090" t="s">
        <v>14</v>
      </c>
      <c r="H173" s="1090"/>
      <c r="I173" s="1090"/>
      <c r="J173" s="1090"/>
      <c r="K173" s="11"/>
      <c r="L173" s="11"/>
    </row>
    <row r="174" spans="1:12" ht="16.5" hidden="1" customHeight="1" x14ac:dyDescent="0.3">
      <c r="A174" s="1218" t="s">
        <v>91</v>
      </c>
      <c r="B174" s="1218"/>
      <c r="C174" s="1218"/>
      <c r="D174" s="1218"/>
      <c r="E174" s="1218"/>
      <c r="F174" s="1218"/>
      <c r="G174" s="1218"/>
      <c r="H174" s="1218"/>
      <c r="I174" s="1218"/>
      <c r="J174" s="1218"/>
      <c r="K174" s="11"/>
      <c r="L174" s="11"/>
    </row>
    <row r="175" spans="1:12" ht="18" hidden="1" customHeight="1" x14ac:dyDescent="0.3">
      <c r="A175" s="89" t="s">
        <v>80</v>
      </c>
      <c r="B175" s="90"/>
      <c r="C175" s="349">
        <v>244</v>
      </c>
      <c r="D175" s="349"/>
      <c r="E175" s="349"/>
      <c r="F175" s="94"/>
      <c r="G175" s="94"/>
      <c r="H175" s="94"/>
      <c r="I175" s="94"/>
      <c r="J175" s="94"/>
      <c r="K175" s="11"/>
      <c r="L175" s="11"/>
    </row>
    <row r="176" spans="1:12" ht="18" hidden="1" customHeight="1" x14ac:dyDescent="0.3">
      <c r="A176" s="89" t="s">
        <v>81</v>
      </c>
      <c r="B176" s="90"/>
      <c r="C176" s="90"/>
      <c r="D176" s="90"/>
      <c r="E176" s="95" t="s">
        <v>82</v>
      </c>
      <c r="F176" s="96"/>
      <c r="G176" s="95"/>
      <c r="H176" s="96"/>
      <c r="I176" s="96"/>
      <c r="J176" s="96"/>
      <c r="K176" s="11"/>
      <c r="L176" s="11"/>
    </row>
    <row r="177" spans="1:13" ht="18" hidden="1" customHeight="1" x14ac:dyDescent="0.3">
      <c r="A177" s="1214" t="s">
        <v>568</v>
      </c>
      <c r="B177" s="1214"/>
      <c r="C177" s="1214"/>
      <c r="D177" s="1214"/>
      <c r="E177" s="1214"/>
      <c r="F177" s="1214"/>
      <c r="G177" s="1214"/>
      <c r="H177" s="1214"/>
      <c r="I177" s="1214"/>
      <c r="J177" s="1214"/>
      <c r="K177" s="11"/>
      <c r="L177" s="11"/>
    </row>
    <row r="178" spans="1:13" ht="30" hidden="1" customHeight="1" x14ac:dyDescent="0.3">
      <c r="A178" s="623" t="s">
        <v>1</v>
      </c>
      <c r="B178" s="1110" t="s">
        <v>44</v>
      </c>
      <c r="C178" s="1110"/>
      <c r="D178" s="1110"/>
      <c r="E178" s="1110" t="s">
        <v>45</v>
      </c>
      <c r="F178" s="1110"/>
      <c r="G178" s="1110" t="s">
        <v>46</v>
      </c>
      <c r="H178" s="1110"/>
      <c r="I178" s="1110" t="s">
        <v>102</v>
      </c>
      <c r="J178" s="1110"/>
      <c r="K178" s="144"/>
      <c r="L178" s="11"/>
    </row>
    <row r="179" spans="1:13" ht="17.25" hidden="1" customHeight="1" x14ac:dyDescent="0.3">
      <c r="A179" s="623">
        <v>1</v>
      </c>
      <c r="B179" s="1110">
        <v>2</v>
      </c>
      <c r="C179" s="1110"/>
      <c r="D179" s="1110"/>
      <c r="E179" s="1110">
        <v>3</v>
      </c>
      <c r="F179" s="1110"/>
      <c r="G179" s="1110">
        <v>4</v>
      </c>
      <c r="H179" s="1110"/>
      <c r="I179" s="1110">
        <v>5</v>
      </c>
      <c r="J179" s="1110"/>
      <c r="K179" s="11"/>
      <c r="L179" s="11"/>
    </row>
    <row r="180" spans="1:13" ht="21.75" hidden="1" customHeight="1" x14ac:dyDescent="0.3">
      <c r="A180" s="624" t="s">
        <v>70</v>
      </c>
      <c r="B180" s="1197" t="s">
        <v>569</v>
      </c>
      <c r="C180" s="1198"/>
      <c r="D180" s="1199"/>
      <c r="E180" s="1116">
        <v>5000</v>
      </c>
      <c r="F180" s="1117"/>
      <c r="G180" s="1116">
        <v>1</v>
      </c>
      <c r="H180" s="1117"/>
      <c r="I180" s="1238">
        <v>0</v>
      </c>
      <c r="J180" s="1239"/>
      <c r="K180" s="11"/>
      <c r="L180" s="145"/>
    </row>
    <row r="181" spans="1:13" ht="38.25" hidden="1" customHeight="1" x14ac:dyDescent="0.3">
      <c r="A181" s="624" t="s">
        <v>75</v>
      </c>
      <c r="B181" s="1215" t="s">
        <v>542</v>
      </c>
      <c r="C181" s="1216"/>
      <c r="D181" s="1217"/>
      <c r="E181" s="1116">
        <v>1625</v>
      </c>
      <c r="F181" s="1117"/>
      <c r="G181" s="1116">
        <v>2</v>
      </c>
      <c r="H181" s="1117"/>
      <c r="I181" s="1238">
        <v>0</v>
      </c>
      <c r="J181" s="1239"/>
      <c r="K181" s="11"/>
      <c r="L181" s="145"/>
    </row>
    <row r="182" spans="1:13" ht="15" hidden="1" customHeight="1" x14ac:dyDescent="0.3">
      <c r="A182" s="251"/>
      <c r="B182" s="1277" t="s">
        <v>13</v>
      </c>
      <c r="C182" s="1277"/>
      <c r="D182" s="1277"/>
      <c r="E182" s="1278" t="s">
        <v>14</v>
      </c>
      <c r="F182" s="1278"/>
      <c r="G182" s="1278" t="s">
        <v>14</v>
      </c>
      <c r="H182" s="1278"/>
      <c r="I182" s="1279">
        <f>I180+I181</f>
        <v>0</v>
      </c>
      <c r="J182" s="1279"/>
      <c r="K182" s="11"/>
      <c r="L182" s="11"/>
      <c r="M182" s="14"/>
    </row>
    <row r="183" spans="1:13" ht="29.25" customHeight="1" x14ac:dyDescent="0.3">
      <c r="A183" s="1218" t="s">
        <v>49</v>
      </c>
      <c r="B183" s="1218"/>
      <c r="C183" s="1218"/>
      <c r="D183" s="1218"/>
      <c r="E183" s="1218"/>
      <c r="F183" s="1218"/>
      <c r="G183" s="1218"/>
      <c r="H183" s="1218"/>
      <c r="I183" s="1218"/>
      <c r="J183" s="1218"/>
      <c r="K183" s="11"/>
      <c r="L183" s="11"/>
      <c r="M183" s="14"/>
    </row>
    <row r="184" spans="1:13" ht="19.5" customHeight="1" x14ac:dyDescent="0.3">
      <c r="A184" s="89" t="s">
        <v>80</v>
      </c>
      <c r="B184" s="90"/>
      <c r="C184" s="349" t="s">
        <v>996</v>
      </c>
      <c r="D184" s="349"/>
      <c r="E184" s="349"/>
      <c r="F184" s="94"/>
      <c r="G184" s="94"/>
      <c r="H184" s="94"/>
      <c r="I184" s="94"/>
      <c r="J184" s="94"/>
      <c r="K184" s="11"/>
      <c r="L184" s="11"/>
      <c r="M184" s="14"/>
    </row>
    <row r="185" spans="1:13" ht="17.25" customHeight="1" x14ac:dyDescent="0.3">
      <c r="A185" s="89" t="s">
        <v>81</v>
      </c>
      <c r="B185" s="90"/>
      <c r="C185" s="90"/>
      <c r="D185" s="90"/>
      <c r="E185" s="95" t="s">
        <v>82</v>
      </c>
      <c r="F185" s="96"/>
      <c r="G185" s="95"/>
      <c r="H185" s="96"/>
      <c r="I185" s="96"/>
      <c r="J185" s="96"/>
      <c r="K185" s="11"/>
      <c r="L185" s="11"/>
      <c r="M185" s="14"/>
    </row>
    <row r="186" spans="1:13" ht="17.25" hidden="1" customHeight="1" x14ac:dyDescent="0.3">
      <c r="A186" s="1218" t="s">
        <v>301</v>
      </c>
      <c r="B186" s="1218"/>
      <c r="C186" s="1218"/>
      <c r="D186" s="1218"/>
      <c r="E186" s="1218"/>
      <c r="F186" s="1218"/>
      <c r="G186" s="1218"/>
      <c r="H186" s="1218"/>
      <c r="I186" s="1218"/>
      <c r="J186" s="1218"/>
      <c r="K186" s="11"/>
      <c r="L186" s="11"/>
      <c r="M186" s="14"/>
    </row>
    <row r="187" spans="1:13" ht="39.75" hidden="1" customHeight="1" x14ac:dyDescent="0.3">
      <c r="A187" s="623" t="s">
        <v>1</v>
      </c>
      <c r="B187" s="1110" t="s">
        <v>15</v>
      </c>
      <c r="C187" s="1110"/>
      <c r="D187" s="1110"/>
      <c r="E187" s="623" t="s">
        <v>50</v>
      </c>
      <c r="F187" s="623" t="s">
        <v>51</v>
      </c>
      <c r="G187" s="1110" t="s">
        <v>52</v>
      </c>
      <c r="H187" s="1110"/>
      <c r="I187" s="1110" t="s">
        <v>104</v>
      </c>
      <c r="J187" s="1110"/>
      <c r="K187" s="11"/>
      <c r="L187" s="11"/>
      <c r="M187" s="14"/>
    </row>
    <row r="188" spans="1:13" ht="15" hidden="1" customHeight="1" x14ac:dyDescent="0.3">
      <c r="A188" s="623">
        <v>1</v>
      </c>
      <c r="B188" s="1110">
        <v>2</v>
      </c>
      <c r="C188" s="1110"/>
      <c r="D188" s="1110"/>
      <c r="E188" s="623">
        <v>3</v>
      </c>
      <c r="F188" s="623">
        <v>4</v>
      </c>
      <c r="G188" s="1110">
        <v>5</v>
      </c>
      <c r="H188" s="1110"/>
      <c r="I188" s="1110">
        <v>6</v>
      </c>
      <c r="J188" s="1110"/>
      <c r="K188" s="11"/>
      <c r="L188" s="11"/>
      <c r="M188" s="14"/>
    </row>
    <row r="189" spans="1:13" ht="14.25" hidden="1" customHeight="1" x14ac:dyDescent="0.3">
      <c r="A189" s="618">
        <v>1</v>
      </c>
      <c r="B189" s="1125" t="s">
        <v>348</v>
      </c>
      <c r="C189" s="1126"/>
      <c r="D189" s="1127"/>
      <c r="E189" s="155" t="s">
        <v>74</v>
      </c>
      <c r="F189" s="155" t="s">
        <v>74</v>
      </c>
      <c r="G189" s="1232" t="s">
        <v>74</v>
      </c>
      <c r="H189" s="1232"/>
      <c r="I189" s="1233">
        <f>I190+I191+I192+I193</f>
        <v>0</v>
      </c>
      <c r="J189" s="1233"/>
      <c r="K189" s="11"/>
      <c r="L189" s="11"/>
      <c r="M189" s="14"/>
    </row>
    <row r="190" spans="1:13" ht="15" hidden="1" customHeight="1" x14ac:dyDescent="0.3">
      <c r="A190" s="624" t="s">
        <v>349</v>
      </c>
      <c r="B190" s="1143" t="s">
        <v>93</v>
      </c>
      <c r="C190" s="1143"/>
      <c r="D190" s="1143"/>
      <c r="E190" s="624">
        <v>6</v>
      </c>
      <c r="F190" s="624">
        <v>12</v>
      </c>
      <c r="G190" s="1234">
        <v>4250</v>
      </c>
      <c r="H190" s="1234"/>
      <c r="I190" s="1231"/>
      <c r="J190" s="1231"/>
      <c r="K190" s="13"/>
      <c r="L190" s="13"/>
      <c r="M190" s="14"/>
    </row>
    <row r="191" spans="1:13" hidden="1" x14ac:dyDescent="0.3">
      <c r="A191" s="624" t="s">
        <v>350</v>
      </c>
      <c r="B191" s="1143" t="s">
        <v>95</v>
      </c>
      <c r="C191" s="1143"/>
      <c r="D191" s="1143"/>
      <c r="E191" s="624"/>
      <c r="F191" s="624"/>
      <c r="G191" s="1235"/>
      <c r="H191" s="1235"/>
      <c r="I191" s="1231"/>
      <c r="J191" s="1231"/>
      <c r="M191" s="14"/>
    </row>
    <row r="192" spans="1:13" hidden="1" x14ac:dyDescent="0.3">
      <c r="A192" s="624" t="s">
        <v>351</v>
      </c>
      <c r="B192" s="1143" t="s">
        <v>96</v>
      </c>
      <c r="C192" s="1143"/>
      <c r="D192" s="1143"/>
      <c r="E192" s="624"/>
      <c r="F192" s="624"/>
      <c r="G192" s="1230"/>
      <c r="H192" s="1230"/>
      <c r="I192" s="1236"/>
      <c r="J192" s="1236"/>
      <c r="M192" s="14"/>
    </row>
    <row r="193" spans="1:14" hidden="1" x14ac:dyDescent="0.3">
      <c r="A193" s="624" t="s">
        <v>268</v>
      </c>
      <c r="B193" s="1143" t="s">
        <v>199</v>
      </c>
      <c r="C193" s="1143"/>
      <c r="D193" s="1143"/>
      <c r="E193" s="624"/>
      <c r="F193" s="624"/>
      <c r="G193" s="1230"/>
      <c r="H193" s="1230"/>
      <c r="I193" s="1231"/>
      <c r="J193" s="1231"/>
      <c r="M193" s="14"/>
    </row>
    <row r="194" spans="1:14" hidden="1" x14ac:dyDescent="0.3">
      <c r="A194" s="618">
        <v>2</v>
      </c>
      <c r="B194" s="1125" t="s">
        <v>352</v>
      </c>
      <c r="C194" s="1126"/>
      <c r="D194" s="1127"/>
      <c r="E194" s="155" t="s">
        <v>74</v>
      </c>
      <c r="F194" s="155" t="s">
        <v>74</v>
      </c>
      <c r="G194" s="1232" t="s">
        <v>74</v>
      </c>
      <c r="H194" s="1232"/>
      <c r="I194" s="1233">
        <f>I195</f>
        <v>0</v>
      </c>
      <c r="J194" s="1233"/>
      <c r="M194" s="14"/>
    </row>
    <row r="195" spans="1:14" s="41" customFormat="1" ht="19.5" hidden="1" customHeight="1" x14ac:dyDescent="0.3">
      <c r="A195" s="624" t="s">
        <v>353</v>
      </c>
      <c r="B195" s="1143" t="s">
        <v>199</v>
      </c>
      <c r="C195" s="1143"/>
      <c r="D195" s="1143"/>
      <c r="E195" s="624">
        <v>1</v>
      </c>
      <c r="F195" s="624">
        <v>10</v>
      </c>
      <c r="G195" s="1230">
        <v>25000</v>
      </c>
      <c r="H195" s="1230"/>
      <c r="I195" s="1231"/>
      <c r="J195" s="1231"/>
    </row>
    <row r="196" spans="1:14" ht="16.5" hidden="1" customHeight="1" x14ac:dyDescent="0.3">
      <c r="A196" s="624"/>
      <c r="B196" s="1098" t="s">
        <v>332</v>
      </c>
      <c r="C196" s="1098"/>
      <c r="D196" s="1098"/>
      <c r="E196" s="620" t="s">
        <v>14</v>
      </c>
      <c r="F196" s="620" t="s">
        <v>14</v>
      </c>
      <c r="G196" s="1090" t="s">
        <v>14</v>
      </c>
      <c r="H196" s="1090"/>
      <c r="I196" s="1101">
        <f>I189+I194</f>
        <v>0</v>
      </c>
      <c r="J196" s="1090"/>
      <c r="K196" s="133"/>
      <c r="N196" s="135"/>
    </row>
    <row r="197" spans="1:14" ht="12" hidden="1" customHeight="1" x14ac:dyDescent="0.3">
      <c r="A197" s="97"/>
      <c r="B197" s="90"/>
      <c r="C197" s="90"/>
      <c r="D197" s="90"/>
      <c r="E197" s="90"/>
      <c r="F197" s="90"/>
      <c r="G197" s="90"/>
      <c r="H197" s="90"/>
      <c r="I197" s="90"/>
      <c r="J197" s="90"/>
      <c r="K197" s="14"/>
      <c r="M197" s="82"/>
    </row>
    <row r="198" spans="1:14" ht="18.75" hidden="1" customHeight="1" x14ac:dyDescent="0.3">
      <c r="A198" s="1218" t="s">
        <v>285</v>
      </c>
      <c r="B198" s="1218"/>
      <c r="C198" s="1218"/>
      <c r="D198" s="1218"/>
      <c r="E198" s="1218"/>
      <c r="F198" s="1218"/>
      <c r="G198" s="1218"/>
      <c r="H198" s="1218"/>
      <c r="I198" s="1218"/>
      <c r="J198" s="1218"/>
      <c r="K198" s="14"/>
      <c r="M198" s="82"/>
    </row>
    <row r="199" spans="1:14" ht="12.75" hidden="1" customHeight="1" x14ac:dyDescent="0.3">
      <c r="A199" s="623" t="s">
        <v>1</v>
      </c>
      <c r="B199" s="1110" t="s">
        <v>15</v>
      </c>
      <c r="C199" s="1110"/>
      <c r="D199" s="1110"/>
      <c r="E199" s="1110" t="s">
        <v>53</v>
      </c>
      <c r="F199" s="1110"/>
      <c r="G199" s="1110" t="s">
        <v>54</v>
      </c>
      <c r="H199" s="1110"/>
      <c r="I199" s="1110" t="s">
        <v>264</v>
      </c>
      <c r="J199" s="1110"/>
      <c r="K199" s="14"/>
      <c r="M199" s="82"/>
    </row>
    <row r="200" spans="1:14" ht="15" hidden="1" customHeight="1" x14ac:dyDescent="0.3">
      <c r="A200" s="623">
        <v>1</v>
      </c>
      <c r="B200" s="1110">
        <v>2</v>
      </c>
      <c r="C200" s="1110"/>
      <c r="D200" s="1110"/>
      <c r="E200" s="1110">
        <v>3</v>
      </c>
      <c r="F200" s="1110"/>
      <c r="G200" s="1110">
        <v>4</v>
      </c>
      <c r="H200" s="1110"/>
      <c r="I200" s="1110">
        <v>5</v>
      </c>
      <c r="J200" s="1110"/>
      <c r="K200" s="14"/>
      <c r="M200" s="82"/>
    </row>
    <row r="201" spans="1:14" ht="17.25" hidden="1" customHeight="1" x14ac:dyDescent="0.3">
      <c r="A201" s="624">
        <v>1</v>
      </c>
      <c r="B201" s="1226" t="s">
        <v>329</v>
      </c>
      <c r="C201" s="1227"/>
      <c r="D201" s="1228"/>
      <c r="E201" s="1213"/>
      <c r="F201" s="1213"/>
      <c r="G201" s="1229"/>
      <c r="H201" s="1229"/>
      <c r="I201" s="1229">
        <f>E201*G201</f>
        <v>0</v>
      </c>
      <c r="J201" s="1229"/>
      <c r="K201" s="14"/>
      <c r="M201" s="82"/>
    </row>
    <row r="202" spans="1:14" hidden="1" x14ac:dyDescent="0.3">
      <c r="A202" s="624"/>
      <c r="B202" s="1098" t="s">
        <v>13</v>
      </c>
      <c r="C202" s="1098"/>
      <c r="D202" s="1098"/>
      <c r="E202" s="1090" t="s">
        <v>74</v>
      </c>
      <c r="F202" s="1090"/>
      <c r="G202" s="1090" t="s">
        <v>74</v>
      </c>
      <c r="H202" s="1090"/>
      <c r="I202" s="1203">
        <f>I201</f>
        <v>0</v>
      </c>
      <c r="J202" s="1090"/>
    </row>
    <row r="203" spans="1:14" ht="24" customHeight="1" x14ac:dyDescent="0.3">
      <c r="A203" s="1218" t="s">
        <v>281</v>
      </c>
      <c r="B203" s="1218"/>
      <c r="C203" s="1218"/>
      <c r="D203" s="1218"/>
      <c r="E203" s="1218"/>
      <c r="F203" s="1218"/>
      <c r="G203" s="1218"/>
      <c r="H203" s="1218"/>
      <c r="I203" s="1218"/>
      <c r="J203" s="1218"/>
    </row>
    <row r="204" spans="1:14" s="41" customFormat="1" ht="25.5" customHeight="1" x14ac:dyDescent="0.3">
      <c r="A204" s="623" t="s">
        <v>1</v>
      </c>
      <c r="B204" s="1110" t="s">
        <v>44</v>
      </c>
      <c r="C204" s="1110"/>
      <c r="D204" s="1110"/>
      <c r="E204" s="623" t="s">
        <v>55</v>
      </c>
      <c r="F204" s="1110" t="s">
        <v>56</v>
      </c>
      <c r="G204" s="1110"/>
      <c r="H204" s="623" t="s">
        <v>57</v>
      </c>
      <c r="I204" s="1110" t="s">
        <v>104</v>
      </c>
      <c r="J204" s="1110"/>
    </row>
    <row r="205" spans="1:14" s="41" customFormat="1" ht="13.8" x14ac:dyDescent="0.3">
      <c r="A205" s="623">
        <v>1</v>
      </c>
      <c r="B205" s="1110">
        <v>2</v>
      </c>
      <c r="C205" s="1110"/>
      <c r="D205" s="1110"/>
      <c r="E205" s="623">
        <v>3</v>
      </c>
      <c r="F205" s="1110">
        <v>4</v>
      </c>
      <c r="G205" s="1110"/>
      <c r="H205" s="623">
        <v>5</v>
      </c>
      <c r="I205" s="1110">
        <v>6</v>
      </c>
      <c r="J205" s="1110"/>
    </row>
    <row r="206" spans="1:14" ht="15" hidden="1" customHeight="1" x14ac:dyDescent="0.3">
      <c r="A206" s="618">
        <v>1</v>
      </c>
      <c r="B206" s="1125" t="s">
        <v>151</v>
      </c>
      <c r="C206" s="1126"/>
      <c r="D206" s="1127"/>
      <c r="E206" s="99">
        <f>E207+E208</f>
        <v>0</v>
      </c>
      <c r="F206" s="1223"/>
      <c r="G206" s="1224"/>
      <c r="H206" s="100">
        <f>F208/F207-100%</f>
        <v>3.5000412984224072E-2</v>
      </c>
      <c r="I206" s="1225">
        <f>I207+I208</f>
        <v>0</v>
      </c>
      <c r="J206" s="1225"/>
      <c r="K206" s="14"/>
    </row>
    <row r="207" spans="1:14" ht="15" hidden="1" customHeight="1" x14ac:dyDescent="0.3">
      <c r="A207" s="624"/>
      <c r="B207" s="1213" t="s">
        <v>100</v>
      </c>
      <c r="C207" s="1213"/>
      <c r="D207" s="1213"/>
      <c r="E207" s="628"/>
      <c r="F207" s="1192">
        <v>1937.12</v>
      </c>
      <c r="G207" s="1193"/>
      <c r="H207" s="624"/>
      <c r="I207" s="1222">
        <f>E207*F207</f>
        <v>0</v>
      </c>
      <c r="J207" s="1222"/>
      <c r="K207" s="14"/>
    </row>
    <row r="208" spans="1:14" ht="15" hidden="1" customHeight="1" x14ac:dyDescent="0.3">
      <c r="A208" s="624"/>
      <c r="B208" s="1213" t="s">
        <v>101</v>
      </c>
      <c r="C208" s="1213"/>
      <c r="D208" s="1213"/>
      <c r="E208" s="628"/>
      <c r="F208" s="1192">
        <v>2004.92</v>
      </c>
      <c r="G208" s="1193"/>
      <c r="H208" s="624"/>
      <c r="I208" s="1222">
        <f>E208*F208</f>
        <v>0</v>
      </c>
      <c r="J208" s="1222"/>
      <c r="K208" s="14"/>
    </row>
    <row r="209" spans="1:11" ht="34.5" hidden="1" customHeight="1" x14ac:dyDescent="0.3">
      <c r="A209" s="618">
        <v>2</v>
      </c>
      <c r="B209" s="1125" t="s">
        <v>588</v>
      </c>
      <c r="C209" s="1126"/>
      <c r="D209" s="1127"/>
      <c r="E209" s="99">
        <f>E210+E211</f>
        <v>0</v>
      </c>
      <c r="F209" s="1223"/>
      <c r="G209" s="1224"/>
      <c r="H209" s="100">
        <f>F211/F210-100%</f>
        <v>3.5040944581984368E-2</v>
      </c>
      <c r="I209" s="1225">
        <f>I210+I211</f>
        <v>0</v>
      </c>
      <c r="J209" s="1225"/>
      <c r="K209" s="14"/>
    </row>
    <row r="210" spans="1:11" ht="15" hidden="1" customHeight="1" x14ac:dyDescent="0.3">
      <c r="A210" s="624"/>
      <c r="B210" s="1213" t="s">
        <v>100</v>
      </c>
      <c r="C210" s="1213"/>
      <c r="D210" s="1213"/>
      <c r="E210" s="628"/>
      <c r="F210" s="1192">
        <v>52.51</v>
      </c>
      <c r="G210" s="1193"/>
      <c r="H210" s="624"/>
      <c r="I210" s="1222">
        <f>E210*F210</f>
        <v>0</v>
      </c>
      <c r="J210" s="1222"/>
      <c r="K210" s="14"/>
    </row>
    <row r="211" spans="1:11" ht="15" hidden="1" customHeight="1" x14ac:dyDescent="0.3">
      <c r="A211" s="624"/>
      <c r="B211" s="1213" t="s">
        <v>101</v>
      </c>
      <c r="C211" s="1213"/>
      <c r="D211" s="1213"/>
      <c r="E211" s="628"/>
      <c r="F211" s="1192">
        <v>54.35</v>
      </c>
      <c r="G211" s="1193"/>
      <c r="H211" s="624"/>
      <c r="I211" s="1222">
        <f>E211*F211</f>
        <v>0</v>
      </c>
      <c r="J211" s="1222"/>
      <c r="K211" s="108"/>
    </row>
    <row r="212" spans="1:11" ht="15" hidden="1" customHeight="1" x14ac:dyDescent="0.3">
      <c r="A212" s="618">
        <v>3</v>
      </c>
      <c r="B212" s="1125" t="s">
        <v>589</v>
      </c>
      <c r="C212" s="1126"/>
      <c r="D212" s="1127"/>
      <c r="E212" s="99">
        <f>E213+E214</f>
        <v>0</v>
      </c>
      <c r="F212" s="1223"/>
      <c r="G212" s="1224"/>
      <c r="H212" s="100">
        <f>F214/F213-100%</f>
        <v>3.5000412984224072E-2</v>
      </c>
      <c r="I212" s="1397">
        <f>I213+I214</f>
        <v>0</v>
      </c>
      <c r="J212" s="1398"/>
      <c r="K212" s="108"/>
    </row>
    <row r="213" spans="1:11" ht="15" hidden="1" customHeight="1" x14ac:dyDescent="0.3">
      <c r="A213" s="624"/>
      <c r="B213" s="1213" t="s">
        <v>100</v>
      </c>
      <c r="C213" s="1213"/>
      <c r="D213" s="1213"/>
      <c r="E213" s="628"/>
      <c r="F213" s="1192">
        <v>1937.12</v>
      </c>
      <c r="G213" s="1193"/>
      <c r="H213" s="624"/>
      <c r="I213" s="1222">
        <f>E213*F213</f>
        <v>0</v>
      </c>
      <c r="J213" s="1222"/>
      <c r="K213" s="108"/>
    </row>
    <row r="214" spans="1:11" ht="15" hidden="1" customHeight="1" x14ac:dyDescent="0.3">
      <c r="A214" s="624"/>
      <c r="B214" s="1213" t="s">
        <v>101</v>
      </c>
      <c r="C214" s="1213"/>
      <c r="D214" s="1213"/>
      <c r="E214" s="628"/>
      <c r="F214" s="1192">
        <v>2004.92</v>
      </c>
      <c r="G214" s="1193"/>
      <c r="H214" s="624"/>
      <c r="I214" s="1222">
        <f>E214*F214</f>
        <v>0</v>
      </c>
      <c r="J214" s="1222"/>
      <c r="K214" s="108"/>
    </row>
    <row r="215" spans="1:11" ht="15" customHeight="1" x14ac:dyDescent="0.3">
      <c r="A215" s="618">
        <v>1</v>
      </c>
      <c r="B215" s="1125" t="s">
        <v>153</v>
      </c>
      <c r="C215" s="1126"/>
      <c r="D215" s="1127"/>
      <c r="E215" s="99">
        <f>E216+E217</f>
        <v>14</v>
      </c>
      <c r="F215" s="1223"/>
      <c r="G215" s="1224"/>
      <c r="H215" s="100">
        <f>F217/F216-100%</f>
        <v>0</v>
      </c>
      <c r="I215" s="1225">
        <f>I216+I217</f>
        <v>878.5</v>
      </c>
      <c r="J215" s="1225"/>
      <c r="K215" s="14">
        <v>883.3</v>
      </c>
    </row>
    <row r="216" spans="1:11" ht="15" customHeight="1" x14ac:dyDescent="0.3">
      <c r="A216" s="624"/>
      <c r="B216" s="1213" t="s">
        <v>100</v>
      </c>
      <c r="C216" s="1213"/>
      <c r="D216" s="1213"/>
      <c r="E216" s="628">
        <v>10</v>
      </c>
      <c r="F216" s="823">
        <v>62.75</v>
      </c>
      <c r="G216" s="824"/>
      <c r="H216" s="624"/>
      <c r="I216" s="1222">
        <f>E216*F216</f>
        <v>627.5</v>
      </c>
      <c r="J216" s="1222"/>
      <c r="K216" s="14"/>
    </row>
    <row r="217" spans="1:11" ht="15" customHeight="1" x14ac:dyDescent="0.3">
      <c r="A217" s="624"/>
      <c r="B217" s="1213" t="s">
        <v>101</v>
      </c>
      <c r="C217" s="1213"/>
      <c r="D217" s="1213"/>
      <c r="E217" s="628">
        <v>4</v>
      </c>
      <c r="F217" s="823">
        <v>62.75</v>
      </c>
      <c r="G217" s="824"/>
      <c r="H217" s="624"/>
      <c r="I217" s="1222">
        <f>E217*F217</f>
        <v>251</v>
      </c>
      <c r="J217" s="1222"/>
      <c r="K217" s="14"/>
    </row>
    <row r="218" spans="1:11" ht="15" customHeight="1" x14ac:dyDescent="0.3">
      <c r="A218" s="618">
        <v>2</v>
      </c>
      <c r="B218" s="1125" t="s">
        <v>154</v>
      </c>
      <c r="C218" s="1126"/>
      <c r="D218" s="1127"/>
      <c r="E218" s="99">
        <f>E219+E220</f>
        <v>35</v>
      </c>
      <c r="F218" s="1223"/>
      <c r="G218" s="1224"/>
      <c r="H218" s="100">
        <f>F220/F219-100%</f>
        <v>0</v>
      </c>
      <c r="I218" s="1225">
        <f>I219+I220</f>
        <v>2621.5</v>
      </c>
      <c r="J218" s="1225"/>
      <c r="K218" s="176">
        <f>I218+I215</f>
        <v>3500</v>
      </c>
    </row>
    <row r="219" spans="1:11" ht="15" customHeight="1" x14ac:dyDescent="0.4">
      <c r="A219" s="624"/>
      <c r="B219" s="1213" t="s">
        <v>100</v>
      </c>
      <c r="C219" s="1213"/>
      <c r="D219" s="1213"/>
      <c r="E219" s="628">
        <v>24</v>
      </c>
      <c r="F219" s="823">
        <v>74.87</v>
      </c>
      <c r="G219" s="824"/>
      <c r="H219" s="624"/>
      <c r="I219" s="1222">
        <f>E219*F219</f>
        <v>1796.88</v>
      </c>
      <c r="J219" s="1222"/>
      <c r="K219" s="146"/>
    </row>
    <row r="220" spans="1:11" ht="15" customHeight="1" x14ac:dyDescent="0.3">
      <c r="A220" s="624"/>
      <c r="B220" s="1213" t="s">
        <v>101</v>
      </c>
      <c r="C220" s="1213"/>
      <c r="D220" s="1213"/>
      <c r="E220" s="628">
        <v>11</v>
      </c>
      <c r="F220" s="823">
        <v>74.87</v>
      </c>
      <c r="G220" s="824"/>
      <c r="H220" s="624"/>
      <c r="I220" s="1222">
        <f>E220*F220+1.05</f>
        <v>824.62</v>
      </c>
      <c r="J220" s="1222"/>
      <c r="K220" s="15"/>
    </row>
    <row r="221" spans="1:11" ht="15" customHeight="1" x14ac:dyDescent="0.3">
      <c r="A221" s="618">
        <v>3</v>
      </c>
      <c r="B221" s="1125" t="s">
        <v>155</v>
      </c>
      <c r="C221" s="1126"/>
      <c r="D221" s="1127"/>
      <c r="E221" s="643">
        <f>E222+E223</f>
        <v>375</v>
      </c>
      <c r="F221" s="1223"/>
      <c r="G221" s="1224"/>
      <c r="H221" s="100">
        <f>F223/F222-100%</f>
        <v>0</v>
      </c>
      <c r="I221" s="1225">
        <f>I222+I223</f>
        <v>3100</v>
      </c>
      <c r="J221" s="1225"/>
      <c r="K221" s="14">
        <v>3069.78</v>
      </c>
    </row>
    <row r="222" spans="1:11" ht="15" customHeight="1" x14ac:dyDescent="0.3">
      <c r="A222" s="624"/>
      <c r="B222" s="1213" t="s">
        <v>100</v>
      </c>
      <c r="C222" s="1213"/>
      <c r="D222" s="1213"/>
      <c r="E222" s="603">
        <v>280</v>
      </c>
      <c r="F222" s="823">
        <v>8.25</v>
      </c>
      <c r="G222" s="824"/>
      <c r="H222" s="624"/>
      <c r="I222" s="1222">
        <f>E222*F222</f>
        <v>2310</v>
      </c>
      <c r="J222" s="1222"/>
      <c r="K222" s="14"/>
    </row>
    <row r="223" spans="1:11" ht="15" customHeight="1" x14ac:dyDescent="0.3">
      <c r="A223" s="624"/>
      <c r="B223" s="1213" t="s">
        <v>101</v>
      </c>
      <c r="C223" s="1213"/>
      <c r="D223" s="1213"/>
      <c r="E223" s="603">
        <v>95</v>
      </c>
      <c r="F223" s="823">
        <v>8.25</v>
      </c>
      <c r="G223" s="824"/>
      <c r="H223" s="624"/>
      <c r="I223" s="1222">
        <f>E223*F223+4.42+1.83</f>
        <v>790</v>
      </c>
      <c r="J223" s="1222"/>
    </row>
    <row r="224" spans="1:11" ht="15" hidden="1" customHeight="1" x14ac:dyDescent="0.3">
      <c r="A224" s="618">
        <v>7</v>
      </c>
      <c r="B224" s="1125" t="s">
        <v>378</v>
      </c>
      <c r="C224" s="1126"/>
      <c r="D224" s="1127"/>
      <c r="E224" s="643">
        <f>E225+E226</f>
        <v>0</v>
      </c>
      <c r="F224" s="1223"/>
      <c r="G224" s="1224"/>
      <c r="H224" s="100">
        <v>0</v>
      </c>
      <c r="I224" s="1225">
        <f>I225+I226</f>
        <v>0</v>
      </c>
      <c r="J224" s="1225"/>
      <c r="K224" s="135"/>
    </row>
    <row r="225" spans="1:12" ht="15" hidden="1" customHeight="1" x14ac:dyDescent="0.3">
      <c r="A225" s="624"/>
      <c r="B225" s="1213" t="s">
        <v>100</v>
      </c>
      <c r="C225" s="1213"/>
      <c r="D225" s="1213"/>
      <c r="E225" s="603"/>
      <c r="F225" s="1192">
        <v>747.07</v>
      </c>
      <c r="G225" s="1193"/>
      <c r="H225" s="624"/>
      <c r="I225" s="1222">
        <f>E225*F225</f>
        <v>0</v>
      </c>
      <c r="J225" s="1222"/>
    </row>
    <row r="226" spans="1:12" ht="15" hidden="1" customHeight="1" x14ac:dyDescent="0.3">
      <c r="A226" s="624"/>
      <c r="B226" s="1213" t="s">
        <v>101</v>
      </c>
      <c r="C226" s="1213"/>
      <c r="D226" s="1213"/>
      <c r="E226" s="603"/>
      <c r="F226" s="1192">
        <v>747.07</v>
      </c>
      <c r="G226" s="1193"/>
      <c r="H226" s="624"/>
      <c r="I226" s="1222">
        <f>E226*F226</f>
        <v>0</v>
      </c>
      <c r="J226" s="1222"/>
    </row>
    <row r="227" spans="1:12" ht="15" customHeight="1" x14ac:dyDescent="0.3">
      <c r="A227" s="624"/>
      <c r="B227" s="1098" t="s">
        <v>13</v>
      </c>
      <c r="C227" s="1098"/>
      <c r="D227" s="1098"/>
      <c r="E227" s="620" t="s">
        <v>14</v>
      </c>
      <c r="F227" s="1090" t="s">
        <v>14</v>
      </c>
      <c r="G227" s="1090"/>
      <c r="H227" s="620" t="s">
        <v>14</v>
      </c>
      <c r="I227" s="1101">
        <f>I206+I209+I212+I215+I218+I221+I224</f>
        <v>6600</v>
      </c>
      <c r="J227" s="1101"/>
      <c r="K227" s="1">
        <v>6514</v>
      </c>
    </row>
    <row r="228" spans="1:12" s="41" customFormat="1" ht="19.5" hidden="1" customHeight="1" x14ac:dyDescent="0.3">
      <c r="A228" s="1218" t="s">
        <v>286</v>
      </c>
      <c r="B228" s="1218"/>
      <c r="C228" s="1218"/>
      <c r="D228" s="1218"/>
      <c r="E228" s="1218"/>
      <c r="F228" s="1218"/>
      <c r="G228" s="1218"/>
      <c r="H228" s="1218"/>
      <c r="I228" s="1218"/>
      <c r="J228" s="1218"/>
    </row>
    <row r="229" spans="1:12" s="41" customFormat="1" ht="15" hidden="1" customHeight="1" x14ac:dyDescent="0.3">
      <c r="A229" s="623" t="s">
        <v>1</v>
      </c>
      <c r="B229" s="1110" t="s">
        <v>44</v>
      </c>
      <c r="C229" s="1110"/>
      <c r="D229" s="1110"/>
      <c r="E229" s="1110" t="s">
        <v>58</v>
      </c>
      <c r="F229" s="1110"/>
      <c r="G229" s="1110" t="s">
        <v>59</v>
      </c>
      <c r="H229" s="1110"/>
      <c r="I229" s="1110" t="s">
        <v>60</v>
      </c>
      <c r="J229" s="1110"/>
    </row>
    <row r="230" spans="1:12" ht="15" hidden="1" customHeight="1" x14ac:dyDescent="0.3">
      <c r="A230" s="623">
        <v>1</v>
      </c>
      <c r="B230" s="1110">
        <v>2</v>
      </c>
      <c r="C230" s="1110"/>
      <c r="D230" s="1110"/>
      <c r="E230" s="1110">
        <v>3</v>
      </c>
      <c r="F230" s="1110"/>
      <c r="G230" s="1110">
        <v>4</v>
      </c>
      <c r="H230" s="1110"/>
      <c r="I230" s="1110">
        <v>5</v>
      </c>
      <c r="J230" s="1110"/>
      <c r="K230" s="15"/>
    </row>
    <row r="231" spans="1:12" ht="15" hidden="1" customHeight="1" x14ac:dyDescent="0.3">
      <c r="A231" s="624"/>
      <c r="B231" s="1116"/>
      <c r="C231" s="1212"/>
      <c r="D231" s="1117"/>
      <c r="E231" s="1213"/>
      <c r="F231" s="1213"/>
      <c r="G231" s="1213"/>
      <c r="H231" s="1213"/>
      <c r="I231" s="1213"/>
      <c r="J231" s="1213"/>
      <c r="K231" s="14"/>
    </row>
    <row r="232" spans="1:12" ht="15" hidden="1" customHeight="1" x14ac:dyDescent="0.3">
      <c r="A232" s="620"/>
      <c r="B232" s="1098" t="s">
        <v>13</v>
      </c>
      <c r="C232" s="1098"/>
      <c r="D232" s="1098"/>
      <c r="E232" s="1090" t="s">
        <v>14</v>
      </c>
      <c r="F232" s="1090"/>
      <c r="G232" s="1090" t="s">
        <v>14</v>
      </c>
      <c r="H232" s="1090"/>
      <c r="I232" s="1090"/>
      <c r="J232" s="1090"/>
    </row>
    <row r="233" spans="1:12" ht="16.5" customHeight="1" x14ac:dyDescent="0.3">
      <c r="A233" s="1218" t="s">
        <v>282</v>
      </c>
      <c r="B233" s="1218"/>
      <c r="C233" s="1218"/>
      <c r="D233" s="1218"/>
      <c r="E233" s="1218"/>
      <c r="F233" s="1218"/>
      <c r="G233" s="1218"/>
      <c r="H233" s="1218"/>
      <c r="I233" s="1218"/>
      <c r="J233" s="1218"/>
    </row>
    <row r="234" spans="1:12" ht="15" customHeight="1" x14ac:dyDescent="0.3">
      <c r="A234" s="1174" t="s">
        <v>1</v>
      </c>
      <c r="B234" s="1176" t="s">
        <v>15</v>
      </c>
      <c r="C234" s="1177"/>
      <c r="D234" s="1178"/>
      <c r="E234" s="1174" t="s">
        <v>61</v>
      </c>
      <c r="F234" s="1174" t="s">
        <v>62</v>
      </c>
      <c r="G234" s="1110" t="s">
        <v>63</v>
      </c>
      <c r="H234" s="1110"/>
      <c r="I234" s="1110"/>
      <c r="J234" s="1110"/>
    </row>
    <row r="235" spans="1:12" ht="24" customHeight="1" x14ac:dyDescent="0.3">
      <c r="A235" s="1175"/>
      <c r="B235" s="1179"/>
      <c r="C235" s="1180"/>
      <c r="D235" s="1181"/>
      <c r="E235" s="1175"/>
      <c r="F235" s="1175"/>
      <c r="G235" s="623" t="s">
        <v>305</v>
      </c>
      <c r="H235" s="623" t="s">
        <v>302</v>
      </c>
      <c r="I235" s="619" t="s">
        <v>303</v>
      </c>
      <c r="J235" s="623" t="s">
        <v>304</v>
      </c>
    </row>
    <row r="236" spans="1:12" ht="11.25" customHeight="1" x14ac:dyDescent="0.3">
      <c r="A236" s="623">
        <v>1</v>
      </c>
      <c r="B236" s="1110">
        <v>2</v>
      </c>
      <c r="C236" s="1110"/>
      <c r="D236" s="1110"/>
      <c r="E236" s="623">
        <v>3</v>
      </c>
      <c r="F236" s="623">
        <v>4</v>
      </c>
      <c r="G236" s="1139">
        <v>5</v>
      </c>
      <c r="H236" s="1210"/>
      <c r="I236" s="1210"/>
      <c r="J236" s="1140"/>
    </row>
    <row r="237" spans="1:12" ht="41.25" customHeight="1" x14ac:dyDescent="0.3">
      <c r="A237" s="624">
        <v>1</v>
      </c>
      <c r="B237" s="835" t="s">
        <v>716</v>
      </c>
      <c r="C237" s="835"/>
      <c r="D237" s="835"/>
      <c r="E237" s="624" t="s">
        <v>600</v>
      </c>
      <c r="F237" s="624"/>
      <c r="G237" s="624"/>
      <c r="H237" s="624"/>
      <c r="I237" s="172"/>
      <c r="J237" s="639">
        <f>27000-17000</f>
        <v>10000</v>
      </c>
    </row>
    <row r="238" spans="1:12" ht="21" customHeight="1" x14ac:dyDescent="0.3">
      <c r="A238" s="624">
        <v>2</v>
      </c>
      <c r="B238" s="835" t="s">
        <v>788</v>
      </c>
      <c r="C238" s="835"/>
      <c r="D238" s="835"/>
      <c r="E238" s="624" t="s">
        <v>600</v>
      </c>
      <c r="F238" s="624">
        <v>1</v>
      </c>
      <c r="G238" s="624" t="s">
        <v>306</v>
      </c>
      <c r="H238" s="624">
        <v>1</v>
      </c>
      <c r="I238" s="172">
        <v>12000</v>
      </c>
      <c r="J238" s="639">
        <v>12000</v>
      </c>
    </row>
    <row r="239" spans="1:12" ht="22.5" customHeight="1" x14ac:dyDescent="0.3">
      <c r="A239" s="624">
        <v>3</v>
      </c>
      <c r="B239" s="835" t="s">
        <v>786</v>
      </c>
      <c r="C239" s="835"/>
      <c r="D239" s="835"/>
      <c r="E239" s="576" t="s">
        <v>811</v>
      </c>
      <c r="F239" s="576">
        <v>1</v>
      </c>
      <c r="G239" s="576" t="s">
        <v>787</v>
      </c>
      <c r="H239" s="576">
        <v>1</v>
      </c>
      <c r="I239" s="172">
        <v>50000</v>
      </c>
      <c r="J239" s="646">
        <f>I239</f>
        <v>50000</v>
      </c>
      <c r="K239" s="166"/>
      <c r="L239" s="142"/>
    </row>
    <row r="240" spans="1:12" ht="24.75" customHeight="1" x14ac:dyDescent="0.3">
      <c r="A240" s="624">
        <v>4</v>
      </c>
      <c r="B240" s="835" t="s">
        <v>942</v>
      </c>
      <c r="C240" s="835"/>
      <c r="D240" s="835"/>
      <c r="E240" s="576" t="s">
        <v>811</v>
      </c>
      <c r="F240" s="576">
        <v>1</v>
      </c>
      <c r="G240" s="576" t="s">
        <v>787</v>
      </c>
      <c r="H240" s="576">
        <v>1</v>
      </c>
      <c r="I240" s="172">
        <v>10000</v>
      </c>
      <c r="J240" s="639">
        <f>I240</f>
        <v>10000</v>
      </c>
      <c r="K240" s="166"/>
      <c r="L240" s="142"/>
    </row>
    <row r="241" spans="1:12" ht="17.25" hidden="1" customHeight="1" x14ac:dyDescent="0.3">
      <c r="A241" s="1392"/>
      <c r="B241" s="836"/>
      <c r="C241" s="837"/>
      <c r="D241" s="838"/>
      <c r="E241" s="624"/>
      <c r="F241" s="211"/>
      <c r="G241" s="211"/>
      <c r="H241" s="211"/>
      <c r="I241" s="172"/>
      <c r="J241" s="639"/>
      <c r="K241" s="175"/>
    </row>
    <row r="242" spans="1:12" hidden="1" x14ac:dyDescent="0.3">
      <c r="A242" s="1393"/>
      <c r="B242" s="1394"/>
      <c r="C242" s="1395"/>
      <c r="D242" s="1396"/>
      <c r="E242" s="624"/>
      <c r="F242" s="211"/>
      <c r="G242" s="211"/>
      <c r="H242" s="211"/>
      <c r="I242" s="172"/>
      <c r="J242" s="639"/>
    </row>
    <row r="243" spans="1:12" ht="24" hidden="1" customHeight="1" x14ac:dyDescent="0.3">
      <c r="A243" s="624"/>
      <c r="B243" s="835"/>
      <c r="C243" s="835"/>
      <c r="D243" s="835"/>
      <c r="E243" s="624"/>
      <c r="F243" s="624"/>
      <c r="G243" s="624"/>
      <c r="H243" s="624"/>
      <c r="I243" s="172"/>
      <c r="J243" s="639"/>
    </row>
    <row r="244" spans="1:12" ht="30" hidden="1" customHeight="1" x14ac:dyDescent="0.3">
      <c r="A244" s="624"/>
      <c r="B244" s="1219"/>
      <c r="C244" s="1219"/>
      <c r="D244" s="1219"/>
      <c r="E244" s="624"/>
      <c r="F244" s="624"/>
      <c r="G244" s="624"/>
      <c r="H244" s="624"/>
      <c r="I244" s="171"/>
      <c r="J244" s="563"/>
      <c r="K244" s="11"/>
      <c r="L244" s="11"/>
    </row>
    <row r="245" spans="1:12" ht="29.25" hidden="1" customHeight="1" x14ac:dyDescent="0.3">
      <c r="A245" s="624"/>
      <c r="B245" s="835"/>
      <c r="C245" s="835"/>
      <c r="D245" s="835"/>
      <c r="E245" s="624"/>
      <c r="F245" s="624"/>
      <c r="G245" s="624"/>
      <c r="H245" s="624"/>
      <c r="I245" s="172"/>
      <c r="J245" s="639"/>
      <c r="K245" s="11"/>
      <c r="L245" s="11"/>
    </row>
    <row r="246" spans="1:12" ht="23.25" hidden="1" customHeight="1" x14ac:dyDescent="0.3">
      <c r="A246" s="624"/>
      <c r="B246" s="835"/>
      <c r="C246" s="835"/>
      <c r="D246" s="835"/>
      <c r="E246" s="624"/>
      <c r="F246" s="624"/>
      <c r="G246" s="624"/>
      <c r="H246" s="624"/>
      <c r="I246" s="172"/>
      <c r="J246" s="639"/>
      <c r="K246" s="11"/>
      <c r="L246" s="11"/>
    </row>
    <row r="247" spans="1:12" ht="46.5" hidden="1" customHeight="1" x14ac:dyDescent="0.3">
      <c r="A247" s="624"/>
      <c r="B247" s="835"/>
      <c r="C247" s="835"/>
      <c r="D247" s="835"/>
      <c r="E247" s="624"/>
      <c r="F247" s="624"/>
      <c r="G247" s="624"/>
      <c r="H247" s="624"/>
      <c r="I247" s="172"/>
      <c r="J247" s="639"/>
    </row>
    <row r="248" spans="1:12" ht="25.5" hidden="1" customHeight="1" x14ac:dyDescent="0.3">
      <c r="A248" s="624"/>
      <c r="B248" s="809"/>
      <c r="C248" s="1220"/>
      <c r="D248" s="1221"/>
      <c r="E248" s="624"/>
      <c r="F248" s="624"/>
      <c r="G248" s="624"/>
      <c r="H248" s="624"/>
      <c r="I248" s="172"/>
      <c r="J248" s="639"/>
    </row>
    <row r="249" spans="1:12" ht="38.25" hidden="1" customHeight="1" x14ac:dyDescent="0.3">
      <c r="A249" s="624"/>
      <c r="B249" s="835"/>
      <c r="C249" s="835"/>
      <c r="D249" s="835"/>
      <c r="E249" s="624"/>
      <c r="F249" s="624"/>
      <c r="G249" s="624"/>
      <c r="H249" s="624"/>
      <c r="I249" s="172"/>
      <c r="J249" s="639"/>
    </row>
    <row r="250" spans="1:12" ht="38.25" hidden="1" customHeight="1" x14ac:dyDescent="0.3">
      <c r="A250" s="624"/>
      <c r="B250" s="809"/>
      <c r="C250" s="810"/>
      <c r="D250" s="811"/>
      <c r="E250" s="624"/>
      <c r="F250" s="624"/>
      <c r="G250" s="624"/>
      <c r="H250" s="624"/>
      <c r="I250" s="172"/>
      <c r="J250" s="639"/>
    </row>
    <row r="251" spans="1:12" ht="17.25" hidden="1" customHeight="1" x14ac:dyDescent="0.3">
      <c r="A251" s="624"/>
      <c r="B251" s="809"/>
      <c r="C251" s="810"/>
      <c r="D251" s="811"/>
      <c r="E251" s="624"/>
      <c r="F251" s="624"/>
      <c r="G251" s="624"/>
      <c r="H251" s="624"/>
      <c r="I251" s="172"/>
      <c r="J251" s="639"/>
    </row>
    <row r="252" spans="1:12" ht="9.75" hidden="1" customHeight="1" x14ac:dyDescent="0.3">
      <c r="A252" s="624"/>
      <c r="B252" s="820"/>
      <c r="C252" s="821"/>
      <c r="D252" s="822"/>
      <c r="E252" s="624"/>
      <c r="F252" s="624"/>
      <c r="G252" s="624"/>
      <c r="H252" s="624"/>
      <c r="I252" s="172"/>
      <c r="J252" s="639"/>
    </row>
    <row r="253" spans="1:12" ht="11.25" hidden="1" customHeight="1" x14ac:dyDescent="0.3">
      <c r="A253" s="624"/>
      <c r="B253" s="820"/>
      <c r="C253" s="821"/>
      <c r="D253" s="822"/>
      <c r="E253" s="624"/>
      <c r="F253" s="624"/>
      <c r="G253" s="624"/>
      <c r="H253" s="624"/>
      <c r="I253" s="172"/>
      <c r="J253" s="639"/>
    </row>
    <row r="254" spans="1:12" x14ac:dyDescent="0.3">
      <c r="A254" s="620"/>
      <c r="B254" s="1098" t="s">
        <v>13</v>
      </c>
      <c r="C254" s="1098"/>
      <c r="D254" s="1098"/>
      <c r="E254" s="620" t="s">
        <v>14</v>
      </c>
      <c r="F254" s="620" t="s">
        <v>14</v>
      </c>
      <c r="G254" s="1167">
        <f>SUM(J237:J253)</f>
        <v>82000</v>
      </c>
      <c r="H254" s="1168"/>
      <c r="I254" s="1168"/>
      <c r="J254" s="1168"/>
    </row>
    <row r="255" spans="1:12" ht="17.25" hidden="1" customHeight="1" x14ac:dyDescent="0.3">
      <c r="A255" s="1218" t="s">
        <v>287</v>
      </c>
      <c r="B255" s="1218"/>
      <c r="C255" s="1218"/>
      <c r="D255" s="1218"/>
      <c r="E255" s="1218"/>
      <c r="F255" s="1218"/>
      <c r="G255" s="1218"/>
      <c r="H255" s="1218"/>
      <c r="I255" s="1218"/>
      <c r="J255" s="1218"/>
    </row>
    <row r="256" spans="1:12" ht="17.25" hidden="1" customHeight="1" x14ac:dyDescent="0.3">
      <c r="A256" s="1174" t="s">
        <v>1</v>
      </c>
      <c r="B256" s="1176" t="s">
        <v>15</v>
      </c>
      <c r="C256" s="1177"/>
      <c r="D256" s="1178"/>
      <c r="E256" s="1176" t="s">
        <v>64</v>
      </c>
      <c r="F256" s="1178"/>
      <c r="G256" s="1110" t="s">
        <v>65</v>
      </c>
      <c r="H256" s="1110"/>
      <c r="I256" s="1110"/>
      <c r="J256" s="1110"/>
    </row>
    <row r="257" spans="1:11" ht="27.75" hidden="1" customHeight="1" x14ac:dyDescent="0.3">
      <c r="A257" s="1175"/>
      <c r="B257" s="1179"/>
      <c r="C257" s="1180"/>
      <c r="D257" s="1181"/>
      <c r="E257" s="1179"/>
      <c r="F257" s="1181"/>
      <c r="G257" s="623" t="s">
        <v>305</v>
      </c>
      <c r="H257" s="623" t="s">
        <v>302</v>
      </c>
      <c r="I257" s="623" t="s">
        <v>303</v>
      </c>
      <c r="J257" s="623" t="s">
        <v>304</v>
      </c>
    </row>
    <row r="258" spans="1:11" ht="14.25" hidden="1" customHeight="1" x14ac:dyDescent="0.3">
      <c r="A258" s="623">
        <v>1</v>
      </c>
      <c r="B258" s="1110">
        <v>2</v>
      </c>
      <c r="C258" s="1110"/>
      <c r="D258" s="1110"/>
      <c r="E258" s="1139">
        <v>3</v>
      </c>
      <c r="F258" s="1140"/>
      <c r="G258" s="1110">
        <v>4</v>
      </c>
      <c r="H258" s="1110"/>
      <c r="I258" s="1110"/>
      <c r="J258" s="1110"/>
    </row>
    <row r="259" spans="1:11" ht="30" hidden="1" customHeight="1" x14ac:dyDescent="0.3">
      <c r="A259" s="618" t="s">
        <v>70</v>
      </c>
      <c r="B259" s="1125" t="s">
        <v>354</v>
      </c>
      <c r="C259" s="1126"/>
      <c r="D259" s="1127"/>
      <c r="E259" s="1128" t="s">
        <v>74</v>
      </c>
      <c r="F259" s="1129"/>
      <c r="G259" s="155" t="s">
        <v>74</v>
      </c>
      <c r="H259" s="155" t="s">
        <v>74</v>
      </c>
      <c r="I259" s="359" t="s">
        <v>74</v>
      </c>
      <c r="J259" s="363">
        <f>SUM(J260:J263)</f>
        <v>0</v>
      </c>
    </row>
    <row r="260" spans="1:11" ht="30" hidden="1" customHeight="1" x14ac:dyDescent="0.3">
      <c r="A260" s="576">
        <v>1</v>
      </c>
      <c r="B260" s="1143"/>
      <c r="C260" s="1143"/>
      <c r="D260" s="1143"/>
      <c r="E260" s="584"/>
      <c r="F260" s="585">
        <v>1</v>
      </c>
      <c r="G260" s="590">
        <v>1</v>
      </c>
      <c r="H260" s="590">
        <v>1</v>
      </c>
      <c r="I260" s="234">
        <v>0</v>
      </c>
      <c r="J260" s="639">
        <v>0</v>
      </c>
    </row>
    <row r="261" spans="1:11" ht="30" hidden="1" customHeight="1" x14ac:dyDescent="0.3">
      <c r="A261" s="624">
        <v>1</v>
      </c>
      <c r="B261" s="835" t="s">
        <v>637</v>
      </c>
      <c r="C261" s="835"/>
      <c r="D261" s="835"/>
      <c r="E261" s="1116">
        <v>1</v>
      </c>
      <c r="F261" s="1117"/>
      <c r="G261" s="624">
        <v>1</v>
      </c>
      <c r="H261" s="624">
        <v>1</v>
      </c>
      <c r="I261" s="170">
        <v>0</v>
      </c>
      <c r="J261" s="547">
        <v>0</v>
      </c>
    </row>
    <row r="262" spans="1:11" s="41" customFormat="1" ht="30" hidden="1" customHeight="1" x14ac:dyDescent="0.3">
      <c r="A262" s="353">
        <v>3</v>
      </c>
      <c r="B262" s="809" t="s">
        <v>637</v>
      </c>
      <c r="C262" s="1390"/>
      <c r="D262" s="1391"/>
      <c r="E262" s="1116">
        <v>1</v>
      </c>
      <c r="F262" s="1117"/>
      <c r="G262" s="624">
        <v>1</v>
      </c>
      <c r="H262" s="624">
        <v>1</v>
      </c>
      <c r="I262" s="170">
        <v>0</v>
      </c>
      <c r="J262" s="639">
        <f>I262</f>
        <v>0</v>
      </c>
    </row>
    <row r="263" spans="1:11" ht="30" hidden="1" customHeight="1" x14ac:dyDescent="0.3">
      <c r="A263" s="624">
        <v>4</v>
      </c>
      <c r="B263" s="835" t="s">
        <v>647</v>
      </c>
      <c r="C263" s="835"/>
      <c r="D263" s="835"/>
      <c r="E263" s="1116"/>
      <c r="F263" s="1117"/>
      <c r="G263" s="624"/>
      <c r="H263" s="624"/>
      <c r="I263" s="170"/>
      <c r="J263" s="639">
        <v>0</v>
      </c>
    </row>
    <row r="264" spans="1:11" ht="24" hidden="1" customHeight="1" x14ac:dyDescent="0.3">
      <c r="A264" s="624"/>
      <c r="B264" s="835"/>
      <c r="C264" s="835"/>
      <c r="D264" s="835"/>
      <c r="E264" s="820"/>
      <c r="F264" s="822"/>
      <c r="G264" s="576"/>
      <c r="H264" s="576"/>
      <c r="I264" s="170"/>
      <c r="J264" s="110"/>
    </row>
    <row r="265" spans="1:11" ht="22.5" hidden="1" customHeight="1" x14ac:dyDescent="0.3">
      <c r="A265" s="624"/>
      <c r="B265" s="835"/>
      <c r="C265" s="835"/>
      <c r="D265" s="835"/>
      <c r="E265" s="1116"/>
      <c r="F265" s="1117"/>
      <c r="G265" s="624"/>
      <c r="H265" s="624"/>
      <c r="I265" s="170"/>
      <c r="J265" s="110"/>
    </row>
    <row r="266" spans="1:11" ht="30" hidden="1" customHeight="1" x14ac:dyDescent="0.3">
      <c r="A266" s="624"/>
      <c r="B266" s="835"/>
      <c r="C266" s="835"/>
      <c r="D266" s="835"/>
      <c r="E266" s="1116"/>
      <c r="F266" s="1117"/>
      <c r="G266" s="624"/>
      <c r="H266" s="624"/>
      <c r="I266" s="170"/>
      <c r="J266" s="110"/>
    </row>
    <row r="267" spans="1:11" ht="30" hidden="1" customHeight="1" x14ac:dyDescent="0.3">
      <c r="A267" s="624"/>
      <c r="B267" s="835"/>
      <c r="C267" s="835"/>
      <c r="D267" s="835"/>
      <c r="E267" s="820"/>
      <c r="F267" s="822"/>
      <c r="G267" s="576"/>
      <c r="H267" s="576"/>
      <c r="I267" s="170"/>
      <c r="J267" s="110"/>
      <c r="K267" s="173"/>
    </row>
    <row r="268" spans="1:11" ht="51.75" hidden="1" customHeight="1" x14ac:dyDescent="0.3">
      <c r="A268" s="624"/>
      <c r="B268" s="835"/>
      <c r="C268" s="835"/>
      <c r="D268" s="835"/>
      <c r="E268" s="1116"/>
      <c r="F268" s="1117"/>
      <c r="G268" s="624"/>
      <c r="H268" s="624"/>
      <c r="I268" s="170"/>
      <c r="J268" s="110"/>
    </row>
    <row r="269" spans="1:11" ht="30" hidden="1" customHeight="1" x14ac:dyDescent="0.3">
      <c r="A269" s="624"/>
      <c r="B269" s="835"/>
      <c r="C269" s="835"/>
      <c r="D269" s="835"/>
      <c r="E269" s="1116"/>
      <c r="F269" s="1117"/>
      <c r="G269" s="624"/>
      <c r="H269" s="624"/>
      <c r="I269" s="170"/>
      <c r="J269" s="110"/>
    </row>
    <row r="270" spans="1:11" ht="43.5" hidden="1" customHeight="1" x14ac:dyDescent="0.3">
      <c r="A270" s="624"/>
      <c r="B270" s="1143"/>
      <c r="C270" s="1143"/>
      <c r="D270" s="1143"/>
      <c r="E270" s="1116"/>
      <c r="F270" s="1117"/>
      <c r="G270" s="624"/>
      <c r="H270" s="624"/>
      <c r="I270" s="170"/>
      <c r="J270" s="110"/>
    </row>
    <row r="271" spans="1:11" ht="48" hidden="1" customHeight="1" x14ac:dyDescent="0.3">
      <c r="A271" s="624"/>
      <c r="B271" s="1143"/>
      <c r="C271" s="1143"/>
      <c r="D271" s="1143"/>
      <c r="E271" s="1116"/>
      <c r="F271" s="1117"/>
      <c r="G271" s="624"/>
      <c r="H271" s="624"/>
      <c r="I271" s="170"/>
      <c r="J271" s="110"/>
    </row>
    <row r="272" spans="1:11" ht="30" hidden="1" customHeight="1" x14ac:dyDescent="0.3">
      <c r="A272" s="624"/>
      <c r="B272" s="1143"/>
      <c r="C272" s="1143"/>
      <c r="D272" s="1143"/>
      <c r="E272" s="1116"/>
      <c r="F272" s="1117"/>
      <c r="G272" s="624"/>
      <c r="H272" s="628"/>
      <c r="I272" s="170"/>
      <c r="J272" s="110"/>
    </row>
    <row r="273" spans="1:11" ht="30" hidden="1" customHeight="1" x14ac:dyDescent="0.3">
      <c r="A273" s="624"/>
      <c r="B273" s="835"/>
      <c r="C273" s="835"/>
      <c r="D273" s="835"/>
      <c r="E273" s="1116"/>
      <c r="F273" s="1117"/>
      <c r="G273" s="624"/>
      <c r="H273" s="624"/>
      <c r="I273" s="170"/>
      <c r="J273" s="110"/>
    </row>
    <row r="274" spans="1:11" ht="30" hidden="1" customHeight="1" x14ac:dyDescent="0.3">
      <c r="A274" s="624"/>
      <c r="B274" s="571"/>
      <c r="C274" s="572"/>
      <c r="D274" s="573"/>
      <c r="E274" s="604"/>
      <c r="F274" s="605"/>
      <c r="G274" s="624"/>
      <c r="H274" s="624"/>
      <c r="I274" s="170"/>
      <c r="J274" s="110"/>
    </row>
    <row r="275" spans="1:11" ht="30" hidden="1" customHeight="1" x14ac:dyDescent="0.3">
      <c r="A275" s="618" t="s">
        <v>75</v>
      </c>
      <c r="B275" s="1125" t="s">
        <v>354</v>
      </c>
      <c r="C275" s="1126"/>
      <c r="D275" s="1127"/>
      <c r="E275" s="1128" t="s">
        <v>74</v>
      </c>
      <c r="F275" s="1129"/>
      <c r="G275" s="155" t="s">
        <v>74</v>
      </c>
      <c r="H275" s="155" t="s">
        <v>74</v>
      </c>
      <c r="I275" s="359" t="s">
        <v>74</v>
      </c>
      <c r="J275" s="363">
        <f>J276</f>
        <v>0</v>
      </c>
    </row>
    <row r="276" spans="1:11" ht="30" hidden="1" customHeight="1" x14ac:dyDescent="0.3">
      <c r="A276" s="624"/>
      <c r="B276" s="1143"/>
      <c r="C276" s="1143"/>
      <c r="D276" s="1143"/>
      <c r="E276" s="1116"/>
      <c r="F276" s="1117"/>
      <c r="G276" s="624"/>
      <c r="H276" s="624"/>
      <c r="I276" s="101"/>
      <c r="J276" s="110"/>
    </row>
    <row r="277" spans="1:11" ht="30" hidden="1" customHeight="1" x14ac:dyDescent="0.3">
      <c r="A277" s="618" t="s">
        <v>77</v>
      </c>
      <c r="B277" s="1125" t="s">
        <v>524</v>
      </c>
      <c r="C277" s="1126"/>
      <c r="D277" s="1127"/>
      <c r="E277" s="1128" t="s">
        <v>74</v>
      </c>
      <c r="F277" s="1129"/>
      <c r="G277" s="155" t="s">
        <v>74</v>
      </c>
      <c r="H277" s="155" t="s">
        <v>74</v>
      </c>
      <c r="I277" s="359" t="s">
        <v>74</v>
      </c>
      <c r="J277" s="363">
        <f>J278</f>
        <v>0</v>
      </c>
    </row>
    <row r="278" spans="1:11" ht="30" hidden="1" customHeight="1" x14ac:dyDescent="0.3">
      <c r="A278" s="624"/>
      <c r="B278" s="1143"/>
      <c r="C278" s="1143"/>
      <c r="D278" s="1143"/>
      <c r="E278" s="1116"/>
      <c r="F278" s="1117"/>
      <c r="G278" s="624"/>
      <c r="H278" s="624"/>
      <c r="I278" s="101"/>
      <c r="J278" s="110"/>
    </row>
    <row r="279" spans="1:11" ht="30" hidden="1" customHeight="1" x14ac:dyDescent="0.3">
      <c r="A279" s="618" t="s">
        <v>86</v>
      </c>
      <c r="B279" s="1125" t="s">
        <v>356</v>
      </c>
      <c r="C279" s="1126"/>
      <c r="D279" s="1127"/>
      <c r="E279" s="1128" t="s">
        <v>74</v>
      </c>
      <c r="F279" s="1129"/>
      <c r="G279" s="155" t="s">
        <v>74</v>
      </c>
      <c r="H279" s="155" t="s">
        <v>74</v>
      </c>
      <c r="I279" s="359" t="s">
        <v>74</v>
      </c>
      <c r="J279" s="363">
        <f>J280+J281</f>
        <v>0</v>
      </c>
      <c r="K279" s="1" t="s">
        <v>533</v>
      </c>
    </row>
    <row r="280" spans="1:11" ht="30" hidden="1" customHeight="1" x14ac:dyDescent="0.3">
      <c r="A280" s="576"/>
      <c r="B280" s="809"/>
      <c r="C280" s="810"/>
      <c r="D280" s="811"/>
      <c r="E280" s="858"/>
      <c r="F280" s="859"/>
      <c r="G280" s="590"/>
      <c r="H280" s="590"/>
      <c r="I280" s="234"/>
      <c r="J280" s="639"/>
    </row>
    <row r="281" spans="1:11" ht="30" hidden="1" customHeight="1" x14ac:dyDescent="0.3">
      <c r="A281" s="576"/>
      <c r="B281" s="809"/>
      <c r="C281" s="810"/>
      <c r="D281" s="811"/>
      <c r="E281" s="584"/>
      <c r="F281" s="585"/>
      <c r="G281" s="590"/>
      <c r="H281" s="590"/>
      <c r="I281" s="234"/>
      <c r="J281" s="639"/>
    </row>
    <row r="282" spans="1:11" ht="55.5" hidden="1" customHeight="1" x14ac:dyDescent="0.3">
      <c r="A282" s="618" t="s">
        <v>87</v>
      </c>
      <c r="B282" s="1125" t="s">
        <v>530</v>
      </c>
      <c r="C282" s="1126"/>
      <c r="D282" s="1127"/>
      <c r="E282" s="1128" t="s">
        <v>74</v>
      </c>
      <c r="F282" s="1129"/>
      <c r="G282" s="155" t="s">
        <v>74</v>
      </c>
      <c r="H282" s="155" t="s">
        <v>74</v>
      </c>
      <c r="I282" s="359" t="s">
        <v>74</v>
      </c>
      <c r="J282" s="238">
        <f>J283</f>
        <v>0</v>
      </c>
    </row>
    <row r="283" spans="1:11" ht="30" hidden="1" customHeight="1" x14ac:dyDescent="0.3">
      <c r="A283" s="576"/>
      <c r="B283" s="809"/>
      <c r="C283" s="810"/>
      <c r="D283" s="811"/>
      <c r="E283" s="858"/>
      <c r="F283" s="859"/>
      <c r="G283" s="590"/>
      <c r="H283" s="590"/>
      <c r="I283" s="234"/>
      <c r="J283" s="237"/>
    </row>
    <row r="284" spans="1:11" ht="54.75" hidden="1" customHeight="1" x14ac:dyDescent="0.3">
      <c r="A284" s="618" t="s">
        <v>97</v>
      </c>
      <c r="B284" s="1125" t="s">
        <v>534</v>
      </c>
      <c r="C284" s="1126"/>
      <c r="D284" s="1127"/>
      <c r="E284" s="1128" t="s">
        <v>74</v>
      </c>
      <c r="F284" s="1129"/>
      <c r="G284" s="155" t="s">
        <v>74</v>
      </c>
      <c r="H284" s="155" t="s">
        <v>74</v>
      </c>
      <c r="I284" s="359" t="s">
        <v>74</v>
      </c>
      <c r="J284" s="238">
        <f>J285+J286+J287+J288</f>
        <v>0</v>
      </c>
    </row>
    <row r="285" spans="1:11" ht="30" hidden="1" customHeight="1" x14ac:dyDescent="0.3">
      <c r="A285" s="576"/>
      <c r="B285" s="999"/>
      <c r="C285" s="1000"/>
      <c r="D285" s="1001"/>
      <c r="E285" s="858"/>
      <c r="F285" s="859"/>
      <c r="G285" s="590"/>
      <c r="H285" s="590"/>
      <c r="I285" s="234"/>
      <c r="J285" s="639"/>
    </row>
    <row r="286" spans="1:11" ht="30" hidden="1" customHeight="1" x14ac:dyDescent="0.3">
      <c r="A286" s="576"/>
      <c r="B286" s="999"/>
      <c r="C286" s="1000"/>
      <c r="D286" s="1001"/>
      <c r="E286" s="858"/>
      <c r="F286" s="859"/>
      <c r="G286" s="590"/>
      <c r="H286" s="590"/>
      <c r="I286" s="234"/>
      <c r="J286" s="639"/>
    </row>
    <row r="287" spans="1:11" ht="30" hidden="1" customHeight="1" x14ac:dyDescent="0.3">
      <c r="A287" s="576"/>
      <c r="B287" s="999"/>
      <c r="C287" s="1000"/>
      <c r="D287" s="1001"/>
      <c r="E287" s="858"/>
      <c r="F287" s="859"/>
      <c r="G287" s="590"/>
      <c r="H287" s="590"/>
      <c r="I287" s="234"/>
      <c r="J287" s="639"/>
    </row>
    <row r="288" spans="1:11" ht="30" hidden="1" customHeight="1" x14ac:dyDescent="0.3">
      <c r="A288" s="576"/>
      <c r="B288" s="1151"/>
      <c r="C288" s="1151"/>
      <c r="D288" s="1151"/>
      <c r="E288" s="1116"/>
      <c r="F288" s="1117"/>
      <c r="G288" s="624"/>
      <c r="H288" s="624"/>
      <c r="I288" s="101"/>
      <c r="J288" s="110"/>
    </row>
    <row r="289" spans="1:11" ht="30" hidden="1" customHeight="1" x14ac:dyDescent="0.3">
      <c r="A289" s="448"/>
      <c r="B289" s="1164" t="s">
        <v>332</v>
      </c>
      <c r="C289" s="1164"/>
      <c r="D289" s="1164"/>
      <c r="E289" s="1165" t="s">
        <v>14</v>
      </c>
      <c r="F289" s="1166"/>
      <c r="G289" s="1167">
        <f>J259+J275+J277+J279+J282+J284</f>
        <v>0</v>
      </c>
      <c r="H289" s="1168"/>
      <c r="I289" s="1168"/>
      <c r="J289" s="1168"/>
    </row>
    <row r="290" spans="1:11" ht="30" hidden="1" customHeight="1" x14ac:dyDescent="0.3">
      <c r="A290" s="893" t="s">
        <v>382</v>
      </c>
      <c r="B290" s="893"/>
      <c r="C290" s="893"/>
      <c r="D290" s="893"/>
      <c r="E290" s="893"/>
      <c r="F290" s="893"/>
      <c r="G290" s="893"/>
      <c r="H290" s="893"/>
      <c r="I290" s="893"/>
      <c r="J290" s="893"/>
    </row>
    <row r="291" spans="1:11" ht="30" hidden="1" customHeight="1" x14ac:dyDescent="0.3">
      <c r="A291" s="623" t="s">
        <v>1</v>
      </c>
      <c r="B291" s="1110" t="s">
        <v>44</v>
      </c>
      <c r="C291" s="1110"/>
      <c r="D291" s="1110"/>
      <c r="E291" s="1110" t="s">
        <v>58</v>
      </c>
      <c r="F291" s="1110"/>
      <c r="G291" s="1139" t="s">
        <v>66</v>
      </c>
      <c r="H291" s="1140"/>
      <c r="I291" s="1110" t="s">
        <v>60</v>
      </c>
      <c r="J291" s="1110"/>
    </row>
    <row r="292" spans="1:11" ht="30" hidden="1" customHeight="1" x14ac:dyDescent="0.3">
      <c r="A292" s="623">
        <v>1</v>
      </c>
      <c r="B292" s="1110">
        <v>2</v>
      </c>
      <c r="C292" s="1110"/>
      <c r="D292" s="1110"/>
      <c r="E292" s="1110">
        <v>3</v>
      </c>
      <c r="F292" s="1110"/>
      <c r="G292" s="1110">
        <v>4</v>
      </c>
      <c r="H292" s="1110"/>
      <c r="I292" s="1110">
        <v>5</v>
      </c>
      <c r="J292" s="1110"/>
    </row>
    <row r="293" spans="1:11" ht="30" hidden="1" customHeight="1" x14ac:dyDescent="0.3">
      <c r="A293" s="624" t="s">
        <v>27</v>
      </c>
      <c r="B293" s="1116"/>
      <c r="C293" s="1212"/>
      <c r="D293" s="1117"/>
      <c r="E293" s="1213"/>
      <c r="F293" s="1213"/>
      <c r="G293" s="1213"/>
      <c r="H293" s="1213"/>
      <c r="I293" s="1213"/>
      <c r="J293" s="1213"/>
    </row>
    <row r="294" spans="1:11" ht="30" hidden="1" customHeight="1" x14ac:dyDescent="0.3">
      <c r="A294" s="620"/>
      <c r="B294" s="1098" t="s">
        <v>13</v>
      </c>
      <c r="C294" s="1098"/>
      <c r="D294" s="1098"/>
      <c r="E294" s="1090" t="s">
        <v>14</v>
      </c>
      <c r="F294" s="1090"/>
      <c r="G294" s="1090" t="s">
        <v>14</v>
      </c>
      <c r="H294" s="1090"/>
      <c r="I294" s="1090">
        <f>I293</f>
        <v>0</v>
      </c>
      <c r="J294" s="1090"/>
    </row>
    <row r="295" spans="1:11" ht="15.75" hidden="1" customHeight="1" x14ac:dyDescent="0.3">
      <c r="A295" s="1214" t="s">
        <v>383</v>
      </c>
      <c r="B295" s="1214"/>
      <c r="C295" s="1214"/>
      <c r="D295" s="1214"/>
      <c r="E295" s="1214"/>
      <c r="F295" s="1214"/>
      <c r="G295" s="1214"/>
      <c r="H295" s="1214"/>
      <c r="I295" s="1214"/>
      <c r="J295" s="1214"/>
    </row>
    <row r="296" spans="1:11" ht="17.25" hidden="1" customHeight="1" x14ac:dyDescent="0.3">
      <c r="A296" s="623" t="s">
        <v>1</v>
      </c>
      <c r="B296" s="1139" t="s">
        <v>15</v>
      </c>
      <c r="C296" s="1210"/>
      <c r="D296" s="1140"/>
      <c r="E296" s="1139" t="s">
        <v>58</v>
      </c>
      <c r="F296" s="1140"/>
      <c r="G296" s="1139" t="s">
        <v>66</v>
      </c>
      <c r="H296" s="1140"/>
      <c r="I296" s="1139" t="s">
        <v>264</v>
      </c>
      <c r="J296" s="1140"/>
    </row>
    <row r="297" spans="1:11" ht="16.5" hidden="1" customHeight="1" x14ac:dyDescent="0.3">
      <c r="A297" s="623">
        <v>1</v>
      </c>
      <c r="B297" s="1139">
        <v>2</v>
      </c>
      <c r="C297" s="1210"/>
      <c r="D297" s="1140"/>
      <c r="E297" s="1139">
        <v>3</v>
      </c>
      <c r="F297" s="1140"/>
      <c r="G297" s="1139">
        <v>4</v>
      </c>
      <c r="H297" s="1140"/>
      <c r="I297" s="1139">
        <v>5</v>
      </c>
      <c r="J297" s="1140"/>
    </row>
    <row r="298" spans="1:11" ht="30" hidden="1" customHeight="1" x14ac:dyDescent="0.3">
      <c r="A298" s="618" t="s">
        <v>70</v>
      </c>
      <c r="B298" s="1125" t="s">
        <v>170</v>
      </c>
      <c r="C298" s="1126"/>
      <c r="D298" s="1127"/>
      <c r="E298" s="102"/>
      <c r="F298" s="102"/>
      <c r="G298" s="1187"/>
      <c r="H298" s="1188"/>
      <c r="I298" s="1211">
        <f>I299</f>
        <v>0</v>
      </c>
      <c r="J298" s="1190"/>
    </row>
    <row r="299" spans="1:11" ht="17.25" hidden="1" customHeight="1" x14ac:dyDescent="0.3">
      <c r="A299" s="624" t="s">
        <v>27</v>
      </c>
      <c r="B299" s="1104" t="s">
        <v>334</v>
      </c>
      <c r="C299" s="1105"/>
      <c r="D299" s="1106"/>
      <c r="E299" s="356" t="s">
        <v>307</v>
      </c>
      <c r="F299" s="356">
        <v>4</v>
      </c>
      <c r="G299" s="1192" t="s">
        <v>260</v>
      </c>
      <c r="H299" s="1193"/>
      <c r="I299" s="1204"/>
      <c r="J299" s="1109"/>
    </row>
    <row r="300" spans="1:11" ht="30" hidden="1" customHeight="1" x14ac:dyDescent="0.3">
      <c r="A300" s="618" t="s">
        <v>70</v>
      </c>
      <c r="B300" s="1125" t="s">
        <v>591</v>
      </c>
      <c r="C300" s="1126"/>
      <c r="D300" s="1127"/>
      <c r="E300" s="158" t="s">
        <v>74</v>
      </c>
      <c r="F300" s="158" t="s">
        <v>74</v>
      </c>
      <c r="G300" s="1128" t="s">
        <v>74</v>
      </c>
      <c r="H300" s="1129"/>
      <c r="I300" s="1211">
        <f>I301+I303+I302+I304</f>
        <v>0</v>
      </c>
      <c r="J300" s="1190"/>
    </row>
    <row r="301" spans="1:11" s="41" customFormat="1" ht="30" hidden="1" customHeight="1" x14ac:dyDescent="0.3">
      <c r="A301" s="624">
        <v>1</v>
      </c>
      <c r="B301" s="999" t="s">
        <v>938</v>
      </c>
      <c r="C301" s="1000"/>
      <c r="D301" s="1001"/>
      <c r="E301" s="356" t="s">
        <v>543</v>
      </c>
      <c r="F301" s="628">
        <v>33</v>
      </c>
      <c r="G301" s="1192" t="s">
        <v>74</v>
      </c>
      <c r="H301" s="1193"/>
      <c r="I301" s="1204">
        <v>0</v>
      </c>
      <c r="J301" s="1109"/>
      <c r="K301" s="41" t="s">
        <v>646</v>
      </c>
    </row>
    <row r="302" spans="1:11" s="41" customFormat="1" ht="30" hidden="1" customHeight="1" x14ac:dyDescent="0.3">
      <c r="A302" s="624">
        <v>2</v>
      </c>
      <c r="B302" s="999" t="s">
        <v>636</v>
      </c>
      <c r="C302" s="1000"/>
      <c r="D302" s="1001"/>
      <c r="E302" s="356" t="s">
        <v>543</v>
      </c>
      <c r="F302" s="157">
        <v>33</v>
      </c>
      <c r="G302" s="1192" t="s">
        <v>74</v>
      </c>
      <c r="H302" s="1193"/>
      <c r="I302" s="1377">
        <v>0</v>
      </c>
      <c r="J302" s="1378"/>
    </row>
    <row r="303" spans="1:11" s="41" customFormat="1" ht="30" hidden="1" customHeight="1" x14ac:dyDescent="0.3">
      <c r="A303" s="624">
        <v>3</v>
      </c>
      <c r="B303" s="999" t="s">
        <v>645</v>
      </c>
      <c r="C303" s="1000"/>
      <c r="D303" s="1001"/>
      <c r="E303" s="356" t="s">
        <v>543</v>
      </c>
      <c r="F303" s="157">
        <v>33</v>
      </c>
      <c r="G303" s="1192" t="s">
        <v>74</v>
      </c>
      <c r="H303" s="1193"/>
      <c r="I303" s="1388">
        <v>0</v>
      </c>
      <c r="J303" s="1389"/>
    </row>
    <row r="304" spans="1:11" ht="95.25" hidden="1" customHeight="1" x14ac:dyDescent="0.3">
      <c r="A304" s="624">
        <v>4</v>
      </c>
      <c r="B304" s="999" t="s">
        <v>648</v>
      </c>
      <c r="C304" s="1000"/>
      <c r="D304" s="1001"/>
      <c r="E304" s="356" t="s">
        <v>543</v>
      </c>
      <c r="F304" s="157">
        <v>33</v>
      </c>
      <c r="G304" s="1192" t="s">
        <v>74</v>
      </c>
      <c r="H304" s="1193"/>
      <c r="I304" s="1377">
        <v>0</v>
      </c>
      <c r="J304" s="1378"/>
    </row>
    <row r="305" spans="1:11" ht="30" hidden="1" customHeight="1" x14ac:dyDescent="0.3">
      <c r="A305" s="618" t="s">
        <v>75</v>
      </c>
      <c r="B305" s="1125" t="s">
        <v>566</v>
      </c>
      <c r="C305" s="1126"/>
      <c r="D305" s="1127"/>
      <c r="E305" s="1128" t="s">
        <v>74</v>
      </c>
      <c r="F305" s="1129"/>
      <c r="G305" s="1128" t="s">
        <v>74</v>
      </c>
      <c r="H305" s="1129"/>
      <c r="I305" s="1385">
        <f>I306</f>
        <v>0</v>
      </c>
      <c r="J305" s="1386"/>
    </row>
    <row r="306" spans="1:11" s="41" customFormat="1" ht="30" hidden="1" customHeight="1" x14ac:dyDescent="0.3">
      <c r="A306" s="104" t="s">
        <v>34</v>
      </c>
      <c r="B306" s="1141" t="s">
        <v>544</v>
      </c>
      <c r="C306" s="1387"/>
      <c r="D306" s="1142"/>
      <c r="E306" s="356" t="s">
        <v>308</v>
      </c>
      <c r="F306" s="628">
        <v>822</v>
      </c>
      <c r="G306" s="1107" t="s">
        <v>260</v>
      </c>
      <c r="H306" s="1107"/>
      <c r="I306" s="1102"/>
      <c r="J306" s="1103"/>
    </row>
    <row r="307" spans="1:11" ht="30" hidden="1" customHeight="1" x14ac:dyDescent="0.3">
      <c r="A307" s="624"/>
      <c r="B307" s="1191"/>
      <c r="C307" s="1191"/>
      <c r="D307" s="1191"/>
      <c r="E307" s="356" t="s">
        <v>308</v>
      </c>
      <c r="F307" s="628">
        <v>1007</v>
      </c>
      <c r="G307" s="1107" t="s">
        <v>260</v>
      </c>
      <c r="H307" s="1107"/>
      <c r="I307" s="1102"/>
      <c r="J307" s="1103"/>
      <c r="K307" s="15"/>
    </row>
    <row r="308" spans="1:11" ht="30" hidden="1" customHeight="1" x14ac:dyDescent="0.3">
      <c r="A308" s="624"/>
      <c r="B308" s="1191"/>
      <c r="C308" s="1191"/>
      <c r="D308" s="1191"/>
      <c r="E308" s="356" t="s">
        <v>308</v>
      </c>
      <c r="F308" s="628">
        <v>1007</v>
      </c>
      <c r="G308" s="1107" t="s">
        <v>260</v>
      </c>
      <c r="H308" s="1107"/>
      <c r="I308" s="1102"/>
      <c r="J308" s="1103"/>
      <c r="K308" s="14"/>
    </row>
    <row r="309" spans="1:11" ht="30" hidden="1" customHeight="1" x14ac:dyDescent="0.3">
      <c r="A309" s="104"/>
      <c r="B309" s="1191"/>
      <c r="C309" s="1191"/>
      <c r="D309" s="1191"/>
      <c r="E309" s="356" t="s">
        <v>308</v>
      </c>
      <c r="F309" s="628">
        <v>1007</v>
      </c>
      <c r="G309" s="1107" t="s">
        <v>260</v>
      </c>
      <c r="H309" s="1107"/>
      <c r="I309" s="1102"/>
      <c r="J309" s="1103"/>
    </row>
    <row r="310" spans="1:11" ht="17.25" hidden="1" customHeight="1" x14ac:dyDescent="0.3">
      <c r="A310" s="624"/>
      <c r="B310" s="1098" t="s">
        <v>13</v>
      </c>
      <c r="C310" s="1098"/>
      <c r="D310" s="1098"/>
      <c r="E310" s="1201" t="s">
        <v>74</v>
      </c>
      <c r="F310" s="1202"/>
      <c r="G310" s="1090" t="s">
        <v>14</v>
      </c>
      <c r="H310" s="1090"/>
      <c r="I310" s="1384">
        <f>I305+I300</f>
        <v>0</v>
      </c>
      <c r="J310" s="1384"/>
    </row>
    <row r="311" spans="1:11" ht="21.75" customHeight="1" x14ac:dyDescent="0.3">
      <c r="A311" s="1200" t="s">
        <v>384</v>
      </c>
      <c r="B311" s="1200"/>
      <c r="C311" s="1200"/>
      <c r="D311" s="1200"/>
      <c r="E311" s="1200"/>
      <c r="F311" s="1200"/>
      <c r="G311" s="1200"/>
      <c r="H311" s="1200"/>
      <c r="I311" s="1200"/>
      <c r="J311" s="1200"/>
    </row>
    <row r="312" spans="1:11" ht="21.75" hidden="1" customHeight="1" x14ac:dyDescent="0.3">
      <c r="A312" s="1196" t="s">
        <v>545</v>
      </c>
      <c r="B312" s="1196"/>
      <c r="C312" s="1196"/>
      <c r="D312" s="1196"/>
      <c r="E312" s="1196"/>
      <c r="F312" s="1196"/>
      <c r="G312" s="1196"/>
      <c r="H312" s="1196"/>
      <c r="I312" s="1196"/>
      <c r="J312" s="1196"/>
    </row>
    <row r="313" spans="1:11" ht="21.75" hidden="1" customHeight="1" x14ac:dyDescent="0.3">
      <c r="A313" s="623" t="s">
        <v>1</v>
      </c>
      <c r="B313" s="1110" t="s">
        <v>15</v>
      </c>
      <c r="C313" s="1110"/>
      <c r="D313" s="1110"/>
      <c r="E313" s="1110" t="s">
        <v>58</v>
      </c>
      <c r="F313" s="1110"/>
      <c r="G313" s="1110" t="s">
        <v>66</v>
      </c>
      <c r="H313" s="1110"/>
      <c r="I313" s="1110" t="s">
        <v>264</v>
      </c>
      <c r="J313" s="1110"/>
    </row>
    <row r="314" spans="1:11" ht="21.75" hidden="1" customHeight="1" x14ac:dyDescent="0.3">
      <c r="A314" s="623">
        <v>1</v>
      </c>
      <c r="B314" s="1110">
        <v>2</v>
      </c>
      <c r="C314" s="1110"/>
      <c r="D314" s="1110"/>
      <c r="E314" s="1110">
        <v>3</v>
      </c>
      <c r="F314" s="1110"/>
      <c r="G314" s="1110">
        <v>4</v>
      </c>
      <c r="H314" s="1110"/>
      <c r="I314" s="1110">
        <v>5</v>
      </c>
      <c r="J314" s="1110"/>
    </row>
    <row r="315" spans="1:11" ht="39.75" hidden="1" customHeight="1" x14ac:dyDescent="0.3">
      <c r="A315" s="618" t="s">
        <v>70</v>
      </c>
      <c r="B315" s="1125" t="s">
        <v>172</v>
      </c>
      <c r="C315" s="1126"/>
      <c r="D315" s="1127"/>
      <c r="E315" s="102"/>
      <c r="F315" s="102"/>
      <c r="G315" s="1187"/>
      <c r="H315" s="1188"/>
      <c r="I315" s="1189">
        <f>SUM(I316:J317)</f>
        <v>0</v>
      </c>
      <c r="J315" s="1190"/>
    </row>
    <row r="316" spans="1:11" ht="35.25" hidden="1" customHeight="1" x14ac:dyDescent="0.3">
      <c r="A316" s="624" t="s">
        <v>27</v>
      </c>
      <c r="B316" s="1191" t="s">
        <v>173</v>
      </c>
      <c r="C316" s="1191"/>
      <c r="D316" s="1191"/>
      <c r="E316" s="356" t="s">
        <v>308</v>
      </c>
      <c r="F316" s="628">
        <v>822</v>
      </c>
      <c r="G316" s="1107" t="s">
        <v>260</v>
      </c>
      <c r="H316" s="1107"/>
      <c r="I316" s="1102"/>
      <c r="J316" s="1103"/>
    </row>
    <row r="317" spans="1:11" ht="21.75" hidden="1" customHeight="1" x14ac:dyDescent="0.3">
      <c r="A317" s="104" t="s">
        <v>27</v>
      </c>
      <c r="B317" s="1104"/>
      <c r="C317" s="1105"/>
      <c r="D317" s="1106"/>
      <c r="E317" s="356"/>
      <c r="F317" s="147"/>
      <c r="G317" s="1107"/>
      <c r="H317" s="1107"/>
      <c r="I317" s="1108"/>
      <c r="J317" s="1109"/>
    </row>
    <row r="318" spans="1:11" ht="21.75" hidden="1" customHeight="1" x14ac:dyDescent="0.3">
      <c r="A318" s="624"/>
      <c r="B318" s="1098" t="s">
        <v>13</v>
      </c>
      <c r="C318" s="1098"/>
      <c r="D318" s="1098"/>
      <c r="E318" s="1123" t="s">
        <v>74</v>
      </c>
      <c r="F318" s="1124"/>
      <c r="G318" s="1090" t="s">
        <v>14</v>
      </c>
      <c r="H318" s="1090"/>
      <c r="I318" s="1101">
        <f>I315</f>
        <v>0</v>
      </c>
      <c r="J318" s="1090"/>
    </row>
    <row r="319" spans="1:11" ht="15.6" hidden="1" x14ac:dyDescent="0.3">
      <c r="A319" s="1196" t="s">
        <v>546</v>
      </c>
      <c r="B319" s="1196"/>
      <c r="C319" s="1196"/>
      <c r="D319" s="1196"/>
      <c r="E319" s="1196"/>
      <c r="F319" s="1196"/>
      <c r="G319" s="1196"/>
      <c r="H319" s="1196"/>
      <c r="I319" s="1196"/>
      <c r="J319" s="1196"/>
    </row>
    <row r="320" spans="1:11" ht="15" hidden="1" customHeight="1" x14ac:dyDescent="0.3">
      <c r="A320" s="623" t="s">
        <v>1</v>
      </c>
      <c r="B320" s="1110" t="s">
        <v>15</v>
      </c>
      <c r="C320" s="1110"/>
      <c r="D320" s="1110"/>
      <c r="E320" s="1110" t="s">
        <v>58</v>
      </c>
      <c r="F320" s="1110"/>
      <c r="G320" s="1110" t="s">
        <v>66</v>
      </c>
      <c r="H320" s="1110"/>
      <c r="I320" s="1110" t="s">
        <v>264</v>
      </c>
      <c r="J320" s="1110"/>
    </row>
    <row r="321" spans="1:12" hidden="1" x14ac:dyDescent="0.3">
      <c r="A321" s="623">
        <v>1</v>
      </c>
      <c r="B321" s="1110">
        <v>2</v>
      </c>
      <c r="C321" s="1110"/>
      <c r="D321" s="1110"/>
      <c r="E321" s="1110">
        <v>3</v>
      </c>
      <c r="F321" s="1110"/>
      <c r="G321" s="1110">
        <v>4</v>
      </c>
      <c r="H321" s="1110"/>
      <c r="I321" s="1110">
        <v>5</v>
      </c>
      <c r="J321" s="1110"/>
    </row>
    <row r="322" spans="1:12" ht="30.75" hidden="1" customHeight="1" x14ac:dyDescent="0.3">
      <c r="A322" s="618" t="s">
        <v>70</v>
      </c>
      <c r="B322" s="1125" t="s">
        <v>172</v>
      </c>
      <c r="C322" s="1126"/>
      <c r="D322" s="1127"/>
      <c r="E322" s="102"/>
      <c r="F322" s="102"/>
      <c r="G322" s="1187"/>
      <c r="H322" s="1188"/>
      <c r="I322" s="1189">
        <f>SUM(I323:J324)</f>
        <v>0</v>
      </c>
      <c r="J322" s="1190"/>
      <c r="K322" s="148"/>
      <c r="L322" s="149"/>
    </row>
    <row r="323" spans="1:12" hidden="1" x14ac:dyDescent="0.3">
      <c r="A323" s="624" t="s">
        <v>27</v>
      </c>
      <c r="B323" s="1191" t="s">
        <v>173</v>
      </c>
      <c r="C323" s="1191"/>
      <c r="D323" s="1191"/>
      <c r="E323" s="356" t="s">
        <v>308</v>
      </c>
      <c r="F323" s="628"/>
      <c r="G323" s="1107" t="s">
        <v>260</v>
      </c>
      <c r="H323" s="1107"/>
      <c r="I323" s="1102"/>
      <c r="J323" s="1103"/>
      <c r="K323" s="148"/>
      <c r="L323" s="149"/>
    </row>
    <row r="324" spans="1:12" hidden="1" x14ac:dyDescent="0.3">
      <c r="A324" s="104" t="s">
        <v>27</v>
      </c>
      <c r="B324" s="1104"/>
      <c r="C324" s="1105"/>
      <c r="D324" s="1106"/>
      <c r="E324" s="356"/>
      <c r="F324" s="147"/>
      <c r="G324" s="1107"/>
      <c r="H324" s="1107"/>
      <c r="I324" s="1108"/>
      <c r="J324" s="1109"/>
    </row>
    <row r="325" spans="1:12" s="45" customFormat="1" ht="15" hidden="1" customHeight="1" x14ac:dyDescent="0.3">
      <c r="A325" s="624"/>
      <c r="B325" s="1098" t="s">
        <v>13</v>
      </c>
      <c r="C325" s="1098"/>
      <c r="D325" s="1098"/>
      <c r="E325" s="1123" t="s">
        <v>74</v>
      </c>
      <c r="F325" s="1124"/>
      <c r="G325" s="1090" t="s">
        <v>14</v>
      </c>
      <c r="H325" s="1090"/>
      <c r="I325" s="1101">
        <f>I322</f>
        <v>0</v>
      </c>
      <c r="J325" s="1090"/>
    </row>
    <row r="326" spans="1:12" s="45" customFormat="1" ht="15" hidden="1" customHeight="1" x14ac:dyDescent="0.3">
      <c r="A326" s="1196" t="s">
        <v>547</v>
      </c>
      <c r="B326" s="1196"/>
      <c r="C326" s="1196"/>
      <c r="D326" s="1196"/>
      <c r="E326" s="1196"/>
      <c r="F326" s="1196"/>
      <c r="G326" s="1196"/>
      <c r="H326" s="1196"/>
      <c r="I326" s="1196"/>
      <c r="J326" s="1196"/>
    </row>
    <row r="327" spans="1:12" s="45" customFormat="1" ht="15" hidden="1" customHeight="1" x14ac:dyDescent="0.3">
      <c r="A327" s="623" t="s">
        <v>1</v>
      </c>
      <c r="B327" s="1110" t="s">
        <v>15</v>
      </c>
      <c r="C327" s="1110"/>
      <c r="D327" s="1110"/>
      <c r="E327" s="1110" t="s">
        <v>58</v>
      </c>
      <c r="F327" s="1110"/>
      <c r="G327" s="1110" t="s">
        <v>66</v>
      </c>
      <c r="H327" s="1110"/>
      <c r="I327" s="1110" t="s">
        <v>264</v>
      </c>
      <c r="J327" s="1110"/>
    </row>
    <row r="328" spans="1:12" s="45" customFormat="1" ht="15" hidden="1" customHeight="1" x14ac:dyDescent="0.3">
      <c r="A328" s="623">
        <v>1</v>
      </c>
      <c r="B328" s="1110">
        <v>2</v>
      </c>
      <c r="C328" s="1110"/>
      <c r="D328" s="1110"/>
      <c r="E328" s="1110">
        <v>3</v>
      </c>
      <c r="F328" s="1110"/>
      <c r="G328" s="1110">
        <v>4</v>
      </c>
      <c r="H328" s="1110"/>
      <c r="I328" s="1110">
        <v>5</v>
      </c>
      <c r="J328" s="1110"/>
    </row>
    <row r="329" spans="1:12" s="45" customFormat="1" ht="39.75" hidden="1" customHeight="1" x14ac:dyDescent="0.3">
      <c r="A329" s="618" t="s">
        <v>70</v>
      </c>
      <c r="B329" s="1125" t="s">
        <v>172</v>
      </c>
      <c r="C329" s="1126"/>
      <c r="D329" s="1127"/>
      <c r="E329" s="102"/>
      <c r="F329" s="102"/>
      <c r="G329" s="1187"/>
      <c r="H329" s="1188"/>
      <c r="I329" s="1189">
        <f>SUM(I330:J331)</f>
        <v>0</v>
      </c>
      <c r="J329" s="1190"/>
    </row>
    <row r="330" spans="1:12" s="45" customFormat="1" ht="15" hidden="1" customHeight="1" x14ac:dyDescent="0.3">
      <c r="A330" s="624" t="s">
        <v>27</v>
      </c>
      <c r="B330" s="1191" t="s">
        <v>549</v>
      </c>
      <c r="C330" s="1191"/>
      <c r="D330" s="1191"/>
      <c r="E330" s="356"/>
      <c r="F330" s="628"/>
      <c r="G330" s="1107" t="s">
        <v>260</v>
      </c>
      <c r="H330" s="1107"/>
      <c r="I330" s="1102"/>
      <c r="J330" s="1103"/>
    </row>
    <row r="331" spans="1:12" s="46" customFormat="1" ht="15" hidden="1" customHeight="1" x14ac:dyDescent="0.3">
      <c r="A331" s="104" t="s">
        <v>27</v>
      </c>
      <c r="B331" s="1104"/>
      <c r="C331" s="1105"/>
      <c r="D331" s="1106"/>
      <c r="E331" s="356"/>
      <c r="F331" s="147"/>
      <c r="G331" s="1107"/>
      <c r="H331" s="1107"/>
      <c r="I331" s="1108"/>
      <c r="J331" s="1109"/>
    </row>
    <row r="332" spans="1:12" s="45" customFormat="1" ht="33" hidden="1" customHeight="1" x14ac:dyDescent="0.3">
      <c r="A332" s="624"/>
      <c r="B332" s="1098" t="s">
        <v>13</v>
      </c>
      <c r="C332" s="1098"/>
      <c r="D332" s="1098"/>
      <c r="E332" s="1123" t="s">
        <v>74</v>
      </c>
      <c r="F332" s="1124"/>
      <c r="G332" s="1090" t="s">
        <v>14</v>
      </c>
      <c r="H332" s="1090"/>
      <c r="I332" s="1101">
        <f>I329</f>
        <v>0</v>
      </c>
      <c r="J332" s="1090"/>
    </row>
    <row r="333" spans="1:12" s="46" customFormat="1" ht="15" hidden="1" customHeight="1" x14ac:dyDescent="0.3">
      <c r="A333" s="1196" t="s">
        <v>548</v>
      </c>
      <c r="B333" s="1196"/>
      <c r="C333" s="1196"/>
      <c r="D333" s="1196"/>
      <c r="E333" s="1196"/>
      <c r="F333" s="1196"/>
      <c r="G333" s="1196"/>
      <c r="H333" s="1196"/>
      <c r="I333" s="1196"/>
      <c r="J333" s="1196"/>
    </row>
    <row r="334" spans="1:12" s="46" customFormat="1" ht="15" hidden="1" customHeight="1" x14ac:dyDescent="0.3">
      <c r="A334" s="623" t="s">
        <v>1</v>
      </c>
      <c r="B334" s="1110" t="s">
        <v>15</v>
      </c>
      <c r="C334" s="1110"/>
      <c r="D334" s="1110"/>
      <c r="E334" s="1110" t="s">
        <v>58</v>
      </c>
      <c r="F334" s="1110"/>
      <c r="G334" s="1110" t="s">
        <v>66</v>
      </c>
      <c r="H334" s="1110"/>
      <c r="I334" s="1110" t="s">
        <v>264</v>
      </c>
      <c r="J334" s="1110"/>
    </row>
    <row r="335" spans="1:12" s="46" customFormat="1" ht="15" hidden="1" customHeight="1" x14ac:dyDescent="0.3">
      <c r="A335" s="623">
        <v>1</v>
      </c>
      <c r="B335" s="1110">
        <v>2</v>
      </c>
      <c r="C335" s="1110"/>
      <c r="D335" s="1110"/>
      <c r="E335" s="1110">
        <v>3</v>
      </c>
      <c r="F335" s="1110"/>
      <c r="G335" s="1110">
        <v>4</v>
      </c>
      <c r="H335" s="1110"/>
      <c r="I335" s="1110">
        <v>5</v>
      </c>
      <c r="J335" s="1110"/>
    </row>
    <row r="336" spans="1:12" s="46" customFormat="1" ht="38.25" hidden="1" customHeight="1" x14ac:dyDescent="0.3">
      <c r="A336" s="618" t="s">
        <v>70</v>
      </c>
      <c r="B336" s="1125" t="s">
        <v>172</v>
      </c>
      <c r="C336" s="1126"/>
      <c r="D336" s="1127"/>
      <c r="E336" s="102"/>
      <c r="F336" s="102"/>
      <c r="G336" s="1187"/>
      <c r="H336" s="1188"/>
      <c r="I336" s="1189">
        <f>SUM(I337:J338)</f>
        <v>0</v>
      </c>
      <c r="J336" s="1190"/>
    </row>
    <row r="337" spans="1:10" s="46" customFormat="1" ht="15" hidden="1" customHeight="1" x14ac:dyDescent="0.3">
      <c r="A337" s="624" t="s">
        <v>27</v>
      </c>
      <c r="B337" s="1191"/>
      <c r="C337" s="1191"/>
      <c r="D337" s="1191"/>
      <c r="E337" s="356" t="s">
        <v>308</v>
      </c>
      <c r="F337" s="628"/>
      <c r="G337" s="1107" t="s">
        <v>260</v>
      </c>
      <c r="H337" s="1107"/>
      <c r="I337" s="1102"/>
      <c r="J337" s="1103"/>
    </row>
    <row r="338" spans="1:10" s="46" customFormat="1" ht="15" hidden="1" customHeight="1" x14ac:dyDescent="0.3">
      <c r="A338" s="104" t="s">
        <v>27</v>
      </c>
      <c r="B338" s="1104"/>
      <c r="C338" s="1105"/>
      <c r="D338" s="1106"/>
      <c r="E338" s="356"/>
      <c r="F338" s="147"/>
      <c r="G338" s="1107"/>
      <c r="H338" s="1107"/>
      <c r="I338" s="1108"/>
      <c r="J338" s="1109"/>
    </row>
    <row r="339" spans="1:10" s="46" customFormat="1" ht="15" hidden="1" customHeight="1" x14ac:dyDescent="0.3">
      <c r="A339" s="624"/>
      <c r="B339" s="1098" t="s">
        <v>13</v>
      </c>
      <c r="C339" s="1098"/>
      <c r="D339" s="1098"/>
      <c r="E339" s="1123" t="s">
        <v>74</v>
      </c>
      <c r="F339" s="1124"/>
      <c r="G339" s="1090" t="s">
        <v>14</v>
      </c>
      <c r="H339" s="1090"/>
      <c r="I339" s="1101">
        <f>I336</f>
        <v>0</v>
      </c>
      <c r="J339" s="1090"/>
    </row>
    <row r="340" spans="1:10" s="46" customFormat="1" ht="15" hidden="1" customHeight="1" x14ac:dyDescent="0.3">
      <c r="A340" s="1196" t="s">
        <v>551</v>
      </c>
      <c r="B340" s="1196"/>
      <c r="C340" s="1196"/>
      <c r="D340" s="1196"/>
      <c r="E340" s="1196"/>
      <c r="F340" s="1196"/>
      <c r="G340" s="1196"/>
      <c r="H340" s="1196"/>
      <c r="I340" s="1196"/>
      <c r="J340" s="1196"/>
    </row>
    <row r="341" spans="1:10" s="46" customFormat="1" ht="15" hidden="1" customHeight="1" x14ac:dyDescent="0.3">
      <c r="A341" s="623" t="s">
        <v>1</v>
      </c>
      <c r="B341" s="1110" t="s">
        <v>15</v>
      </c>
      <c r="C341" s="1110"/>
      <c r="D341" s="1110"/>
      <c r="E341" s="1110" t="s">
        <v>58</v>
      </c>
      <c r="F341" s="1110"/>
      <c r="G341" s="1110" t="s">
        <v>66</v>
      </c>
      <c r="H341" s="1110"/>
      <c r="I341" s="1110" t="s">
        <v>264</v>
      </c>
      <c r="J341" s="1110"/>
    </row>
    <row r="342" spans="1:10" s="46" customFormat="1" ht="15" hidden="1" customHeight="1" x14ac:dyDescent="0.3">
      <c r="A342" s="623">
        <v>1</v>
      </c>
      <c r="B342" s="1110">
        <v>2</v>
      </c>
      <c r="C342" s="1110"/>
      <c r="D342" s="1110"/>
      <c r="E342" s="1110">
        <v>3</v>
      </c>
      <c r="F342" s="1110"/>
      <c r="G342" s="1110">
        <v>4</v>
      </c>
      <c r="H342" s="1110"/>
      <c r="I342" s="1110">
        <v>5</v>
      </c>
      <c r="J342" s="1110"/>
    </row>
    <row r="343" spans="1:10" s="46" customFormat="1" ht="36" hidden="1" customHeight="1" x14ac:dyDescent="0.3">
      <c r="A343" s="618" t="s">
        <v>70</v>
      </c>
      <c r="B343" s="1125" t="s">
        <v>172</v>
      </c>
      <c r="C343" s="1126"/>
      <c r="D343" s="1127"/>
      <c r="E343" s="102"/>
      <c r="F343" s="102"/>
      <c r="G343" s="1187"/>
      <c r="H343" s="1188"/>
      <c r="I343" s="1189">
        <f>SUM(I344:J345)</f>
        <v>0</v>
      </c>
      <c r="J343" s="1190"/>
    </row>
    <row r="344" spans="1:10" s="46" customFormat="1" ht="15" hidden="1" customHeight="1" x14ac:dyDescent="0.3">
      <c r="A344" s="624" t="s">
        <v>27</v>
      </c>
      <c r="B344" s="1191" t="s">
        <v>550</v>
      </c>
      <c r="C344" s="1191"/>
      <c r="D344" s="1191"/>
      <c r="E344" s="356" t="s">
        <v>308</v>
      </c>
      <c r="F344" s="628"/>
      <c r="G344" s="1107" t="s">
        <v>260</v>
      </c>
      <c r="H344" s="1107"/>
      <c r="I344" s="1102"/>
      <c r="J344" s="1103"/>
    </row>
    <row r="345" spans="1:10" s="46" customFormat="1" ht="15" hidden="1" customHeight="1" x14ac:dyDescent="0.3">
      <c r="A345" s="104" t="s">
        <v>27</v>
      </c>
      <c r="B345" s="1104"/>
      <c r="C345" s="1105"/>
      <c r="D345" s="1106"/>
      <c r="E345" s="356"/>
      <c r="F345" s="147"/>
      <c r="G345" s="1107"/>
      <c r="H345" s="1107"/>
      <c r="I345" s="1108"/>
      <c r="J345" s="1109"/>
    </row>
    <row r="346" spans="1:10" s="45" customFormat="1" ht="15.6" x14ac:dyDescent="0.3">
      <c r="A346" s="1383" t="s">
        <v>552</v>
      </c>
      <c r="B346" s="1383"/>
      <c r="C346" s="1383"/>
      <c r="D346" s="1383"/>
      <c r="E346" s="1383"/>
      <c r="F346" s="1383"/>
      <c r="G346" s="1383"/>
      <c r="H346" s="1383"/>
      <c r="I346" s="1383"/>
      <c r="J346" s="1383"/>
    </row>
    <row r="347" spans="1:10" s="45" customFormat="1" ht="13.8" x14ac:dyDescent="0.3">
      <c r="A347" s="623" t="s">
        <v>1</v>
      </c>
      <c r="B347" s="1110" t="s">
        <v>15</v>
      </c>
      <c r="C347" s="1110"/>
      <c r="D347" s="1110"/>
      <c r="E347" s="1110" t="s">
        <v>58</v>
      </c>
      <c r="F347" s="1110"/>
      <c r="G347" s="1110" t="s">
        <v>66</v>
      </c>
      <c r="H347" s="1110"/>
      <c r="I347" s="1110" t="s">
        <v>264</v>
      </c>
      <c r="J347" s="1110"/>
    </row>
    <row r="348" spans="1:10" s="45" customFormat="1" ht="13.8" x14ac:dyDescent="0.3">
      <c r="A348" s="623">
        <v>1</v>
      </c>
      <c r="B348" s="1110">
        <v>2</v>
      </c>
      <c r="C348" s="1110"/>
      <c r="D348" s="1110"/>
      <c r="E348" s="1110">
        <v>3</v>
      </c>
      <c r="F348" s="1110"/>
      <c r="G348" s="1110">
        <v>4</v>
      </c>
      <c r="H348" s="1110"/>
      <c r="I348" s="1110">
        <v>5</v>
      </c>
      <c r="J348" s="1110"/>
    </row>
    <row r="349" spans="1:10" s="45" customFormat="1" ht="32.25" customHeight="1" x14ac:dyDescent="0.3">
      <c r="A349" s="618">
        <v>1</v>
      </c>
      <c r="B349" s="1125" t="s">
        <v>172</v>
      </c>
      <c r="C349" s="1126"/>
      <c r="D349" s="1127"/>
      <c r="E349" s="102"/>
      <c r="F349" s="102"/>
      <c r="G349" s="1187"/>
      <c r="H349" s="1188"/>
      <c r="I349" s="1211">
        <f>I350+I351</f>
        <v>48700</v>
      </c>
      <c r="J349" s="1190"/>
    </row>
    <row r="350" spans="1:10" s="45" customFormat="1" ht="47.25" customHeight="1" x14ac:dyDescent="0.3">
      <c r="A350" s="624">
        <v>1</v>
      </c>
      <c r="B350" s="835" t="s">
        <v>904</v>
      </c>
      <c r="C350" s="835"/>
      <c r="D350" s="835"/>
      <c r="E350" s="648"/>
      <c r="F350" s="577"/>
      <c r="G350" s="978"/>
      <c r="H350" s="978"/>
      <c r="I350" s="991">
        <f>27000+20000-12000-3000-214-86</f>
        <v>31700</v>
      </c>
      <c r="J350" s="992"/>
    </row>
    <row r="351" spans="1:10" s="45" customFormat="1" ht="30" customHeight="1" x14ac:dyDescent="0.3">
      <c r="A351" s="624">
        <v>2</v>
      </c>
      <c r="B351" s="835" t="s">
        <v>967</v>
      </c>
      <c r="C351" s="835"/>
      <c r="D351" s="835"/>
      <c r="E351" s="648"/>
      <c r="F351" s="577"/>
      <c r="G351" s="978"/>
      <c r="H351" s="978"/>
      <c r="I351" s="991">
        <v>17000</v>
      </c>
      <c r="J351" s="992"/>
    </row>
    <row r="352" spans="1:10" s="45" customFormat="1" ht="28.5" hidden="1" customHeight="1" x14ac:dyDescent="0.3">
      <c r="A352" s="1196" t="s">
        <v>551</v>
      </c>
      <c r="B352" s="1196"/>
      <c r="C352" s="1196"/>
      <c r="D352" s="1196"/>
      <c r="E352" s="1196"/>
      <c r="F352" s="1196"/>
      <c r="G352" s="1196"/>
      <c r="H352" s="1196"/>
      <c r="I352" s="1196"/>
      <c r="J352" s="1196"/>
    </row>
    <row r="353" spans="1:10" s="45" customFormat="1" ht="42.75" hidden="1" customHeight="1" x14ac:dyDescent="0.3">
      <c r="A353" s="623" t="s">
        <v>1</v>
      </c>
      <c r="B353" s="1110" t="s">
        <v>15</v>
      </c>
      <c r="C353" s="1110"/>
      <c r="D353" s="1110"/>
      <c r="E353" s="1110" t="s">
        <v>58</v>
      </c>
      <c r="F353" s="1110"/>
      <c r="G353" s="1110" t="s">
        <v>66</v>
      </c>
      <c r="H353" s="1110"/>
      <c r="I353" s="1110" t="s">
        <v>264</v>
      </c>
      <c r="J353" s="1110"/>
    </row>
    <row r="354" spans="1:10" s="45" customFormat="1" ht="23.25" hidden="1" customHeight="1" x14ac:dyDescent="0.3">
      <c r="A354" s="623">
        <v>1</v>
      </c>
      <c r="B354" s="1110">
        <v>2</v>
      </c>
      <c r="C354" s="1110"/>
      <c r="D354" s="1110"/>
      <c r="E354" s="1110">
        <v>3</v>
      </c>
      <c r="F354" s="1110"/>
      <c r="G354" s="1110">
        <v>4</v>
      </c>
      <c r="H354" s="1110"/>
      <c r="I354" s="1110">
        <v>5</v>
      </c>
      <c r="J354" s="1110"/>
    </row>
    <row r="355" spans="1:10" s="45" customFormat="1" ht="33" hidden="1" customHeight="1" x14ac:dyDescent="0.3">
      <c r="A355" s="618" t="s">
        <v>70</v>
      </c>
      <c r="B355" s="1125" t="s">
        <v>172</v>
      </c>
      <c r="C355" s="1126"/>
      <c r="D355" s="1127"/>
      <c r="E355" s="102"/>
      <c r="F355" s="102"/>
      <c r="G355" s="1187"/>
      <c r="H355" s="1188"/>
      <c r="I355" s="1189">
        <f>SUM(I356:J357)</f>
        <v>0</v>
      </c>
      <c r="J355" s="1190"/>
    </row>
    <row r="356" spans="1:10" s="45" customFormat="1" ht="48" hidden="1" customHeight="1" x14ac:dyDescent="0.3">
      <c r="A356" s="624" t="s">
        <v>27</v>
      </c>
      <c r="B356" s="1191" t="s">
        <v>639</v>
      </c>
      <c r="C356" s="1191"/>
      <c r="D356" s="1191"/>
      <c r="E356" s="356" t="s">
        <v>308</v>
      </c>
      <c r="F356" s="628"/>
      <c r="G356" s="1107" t="s">
        <v>260</v>
      </c>
      <c r="H356" s="1107"/>
      <c r="I356" s="1102">
        <v>0</v>
      </c>
      <c r="J356" s="1103"/>
    </row>
    <row r="357" spans="1:10" ht="48.75" hidden="1" customHeight="1" x14ac:dyDescent="0.3">
      <c r="A357" s="104" t="s">
        <v>27</v>
      </c>
      <c r="B357" s="1104" t="s">
        <v>649</v>
      </c>
      <c r="C357" s="1105"/>
      <c r="D357" s="1106"/>
      <c r="E357" s="356"/>
      <c r="F357" s="147"/>
      <c r="G357" s="1107"/>
      <c r="H357" s="1107"/>
      <c r="I357" s="1108">
        <v>0</v>
      </c>
      <c r="J357" s="1109"/>
    </row>
    <row r="358" spans="1:10" ht="48.75" hidden="1" customHeight="1" x14ac:dyDescent="0.3">
      <c r="A358" s="1383" t="s">
        <v>552</v>
      </c>
      <c r="B358" s="1383"/>
      <c r="C358" s="1383"/>
      <c r="D358" s="1383"/>
      <c r="E358" s="1383"/>
      <c r="F358" s="1383"/>
      <c r="G358" s="1383"/>
      <c r="H358" s="1383"/>
      <c r="I358" s="1383"/>
      <c r="J358" s="1383"/>
    </row>
    <row r="359" spans="1:10" ht="26.25" hidden="1" customHeight="1" x14ac:dyDescent="0.3">
      <c r="A359" s="623" t="s">
        <v>1</v>
      </c>
      <c r="B359" s="1110" t="s">
        <v>15</v>
      </c>
      <c r="C359" s="1110"/>
      <c r="D359" s="1110"/>
      <c r="E359" s="1110" t="s">
        <v>58</v>
      </c>
      <c r="F359" s="1110"/>
      <c r="G359" s="1110" t="s">
        <v>66</v>
      </c>
      <c r="H359" s="1110"/>
      <c r="I359" s="1110" t="s">
        <v>264</v>
      </c>
      <c r="J359" s="1110"/>
    </row>
    <row r="360" spans="1:10" ht="23.25" hidden="1" customHeight="1" x14ac:dyDescent="0.3">
      <c r="A360" s="623">
        <v>1</v>
      </c>
      <c r="B360" s="1110">
        <v>2</v>
      </c>
      <c r="C360" s="1110"/>
      <c r="D360" s="1110"/>
      <c r="E360" s="1110">
        <v>3</v>
      </c>
      <c r="F360" s="1110"/>
      <c r="G360" s="1110">
        <v>4</v>
      </c>
      <c r="H360" s="1110"/>
      <c r="I360" s="1110">
        <v>5</v>
      </c>
      <c r="J360" s="1110"/>
    </row>
    <row r="361" spans="1:10" ht="48.75" hidden="1" customHeight="1" x14ac:dyDescent="0.3">
      <c r="A361" s="618">
        <v>1</v>
      </c>
      <c r="B361" s="1125" t="s">
        <v>650</v>
      </c>
      <c r="C361" s="1126"/>
      <c r="D361" s="1127"/>
      <c r="E361" s="102"/>
      <c r="F361" s="102"/>
      <c r="G361" s="1187"/>
      <c r="H361" s="1188"/>
      <c r="I361" s="1211">
        <f>I362+I363</f>
        <v>0</v>
      </c>
      <c r="J361" s="1190"/>
    </row>
    <row r="362" spans="1:10" ht="48.75" hidden="1" customHeight="1" x14ac:dyDescent="0.3">
      <c r="A362" s="624" t="s">
        <v>27</v>
      </c>
      <c r="B362" s="1042" t="s">
        <v>651</v>
      </c>
      <c r="C362" s="1042"/>
      <c r="D362" s="1042"/>
      <c r="E362" s="648"/>
      <c r="F362" s="577"/>
      <c r="G362" s="978"/>
      <c r="H362" s="978"/>
      <c r="I362" s="991">
        <v>0</v>
      </c>
      <c r="J362" s="992"/>
    </row>
    <row r="363" spans="1:10" ht="48.75" hidden="1" customHeight="1" x14ac:dyDescent="0.3">
      <c r="A363" s="624" t="s">
        <v>29</v>
      </c>
      <c r="B363" s="1042" t="s">
        <v>654</v>
      </c>
      <c r="C363" s="1042"/>
      <c r="D363" s="1042"/>
      <c r="E363" s="648"/>
      <c r="F363" s="577"/>
      <c r="G363" s="978"/>
      <c r="H363" s="978"/>
      <c r="I363" s="1047">
        <v>0</v>
      </c>
      <c r="J363" s="1047"/>
    </row>
    <row r="364" spans="1:10" ht="48.75" hidden="1" customHeight="1" x14ac:dyDescent="0.3">
      <c r="A364" s="104" t="s">
        <v>31</v>
      </c>
      <c r="B364" s="1213" t="s">
        <v>655</v>
      </c>
      <c r="C364" s="1213"/>
      <c r="D364" s="1213"/>
      <c r="E364" s="356"/>
      <c r="F364" s="147"/>
      <c r="G364" s="1107"/>
      <c r="H364" s="1107"/>
      <c r="I364" s="1412">
        <v>0</v>
      </c>
      <c r="J364" s="1412"/>
    </row>
    <row r="365" spans="1:10" ht="48.75" hidden="1" customHeight="1" x14ac:dyDescent="0.3">
      <c r="A365" s="256"/>
      <c r="B365" s="629"/>
      <c r="C365" s="629"/>
      <c r="D365" s="629"/>
      <c r="E365" s="281"/>
      <c r="F365" s="294"/>
      <c r="G365" s="649"/>
      <c r="H365" s="649"/>
      <c r="I365" s="631"/>
      <c r="J365" s="631"/>
    </row>
    <row r="366" spans="1:10" ht="15.6" hidden="1" x14ac:dyDescent="0.3">
      <c r="A366" s="1383" t="s">
        <v>557</v>
      </c>
      <c r="B366" s="1383"/>
      <c r="C366" s="1383"/>
      <c r="D366" s="1383"/>
      <c r="E366" s="1383"/>
      <c r="F366" s="1383"/>
      <c r="G366" s="1383"/>
      <c r="H366" s="1383"/>
      <c r="I366" s="1383"/>
      <c r="J366" s="1383"/>
    </row>
    <row r="367" spans="1:10" hidden="1" x14ac:dyDescent="0.3">
      <c r="A367" s="623" t="s">
        <v>1</v>
      </c>
      <c r="B367" s="1110" t="s">
        <v>15</v>
      </c>
      <c r="C367" s="1110"/>
      <c r="D367" s="1110"/>
      <c r="E367" s="1110" t="s">
        <v>58</v>
      </c>
      <c r="F367" s="1110"/>
      <c r="G367" s="1110" t="s">
        <v>66</v>
      </c>
      <c r="H367" s="1110"/>
      <c r="I367" s="1110" t="s">
        <v>264</v>
      </c>
      <c r="J367" s="1110"/>
    </row>
    <row r="368" spans="1:10" hidden="1" x14ac:dyDescent="0.3">
      <c r="A368" s="623">
        <v>1</v>
      </c>
      <c r="B368" s="1110">
        <v>2</v>
      </c>
      <c r="C368" s="1110"/>
      <c r="D368" s="1110"/>
      <c r="E368" s="1110">
        <v>3</v>
      </c>
      <c r="F368" s="1110"/>
      <c r="G368" s="1110">
        <v>4</v>
      </c>
      <c r="H368" s="1110"/>
      <c r="I368" s="1110">
        <v>5</v>
      </c>
      <c r="J368" s="1110"/>
    </row>
    <row r="369" spans="1:10" ht="46.5" hidden="1" customHeight="1" x14ac:dyDescent="0.3">
      <c r="A369" s="240" t="s">
        <v>70</v>
      </c>
      <c r="B369" s="1125" t="s">
        <v>187</v>
      </c>
      <c r="C369" s="1126"/>
      <c r="D369" s="1127"/>
      <c r="E369" s="102"/>
      <c r="F369" s="99"/>
      <c r="G369" s="1382"/>
      <c r="H369" s="1382"/>
      <c r="I369" s="1189">
        <f>I370</f>
        <v>0</v>
      </c>
      <c r="J369" s="1190"/>
    </row>
    <row r="370" spans="1:10" hidden="1" x14ac:dyDescent="0.3">
      <c r="A370" s="104" t="s">
        <v>27</v>
      </c>
      <c r="B370" s="1042" t="s">
        <v>638</v>
      </c>
      <c r="C370" s="1042"/>
      <c r="D370" s="1042"/>
      <c r="E370" s="648"/>
      <c r="F370" s="577"/>
      <c r="G370" s="978"/>
      <c r="H370" s="978"/>
      <c r="I370" s="991">
        <v>0</v>
      </c>
      <c r="J370" s="992"/>
    </row>
    <row r="371" spans="1:10" hidden="1" x14ac:dyDescent="0.3">
      <c r="A371" s="104"/>
      <c r="B371" s="820"/>
      <c r="C371" s="821"/>
      <c r="D371" s="822"/>
      <c r="E371" s="648"/>
      <c r="F371" s="577"/>
      <c r="G371" s="823"/>
      <c r="H371" s="824"/>
      <c r="I371" s="633"/>
      <c r="J371" s="634"/>
    </row>
    <row r="372" spans="1:10" ht="25.5" customHeight="1" x14ac:dyDescent="0.3">
      <c r="A372" s="104"/>
      <c r="B372" s="1098" t="s">
        <v>13</v>
      </c>
      <c r="C372" s="1098"/>
      <c r="D372" s="1098"/>
      <c r="E372" s="356"/>
      <c r="F372" s="628"/>
      <c r="G372" s="1107"/>
      <c r="H372" s="1107"/>
      <c r="I372" s="1182">
        <f>I315+I322+I329+I336+I343+I349+I355+I369+I361</f>
        <v>48700</v>
      </c>
      <c r="J372" s="1183"/>
    </row>
    <row r="373" spans="1:10" ht="15.6" hidden="1" x14ac:dyDescent="0.3">
      <c r="A373" s="1173" t="s">
        <v>385</v>
      </c>
      <c r="B373" s="1173"/>
      <c r="C373" s="1173"/>
      <c r="D373" s="1173"/>
      <c r="E373" s="1173"/>
      <c r="F373" s="1173"/>
      <c r="G373" s="1173"/>
      <c r="H373" s="1173"/>
      <c r="I373" s="1173"/>
      <c r="J373" s="1173"/>
    </row>
    <row r="374" spans="1:10" hidden="1" x14ac:dyDescent="0.3">
      <c r="A374" s="1174" t="s">
        <v>1</v>
      </c>
      <c r="B374" s="1176" t="s">
        <v>15</v>
      </c>
      <c r="C374" s="1177"/>
      <c r="D374" s="1178"/>
      <c r="E374" s="1176" t="s">
        <v>64</v>
      </c>
      <c r="F374" s="1178"/>
      <c r="G374" s="1110" t="s">
        <v>65</v>
      </c>
      <c r="H374" s="1110"/>
      <c r="I374" s="1110"/>
      <c r="J374" s="1110"/>
    </row>
    <row r="375" spans="1:10" ht="26.4" hidden="1" x14ac:dyDescent="0.3">
      <c r="A375" s="1175"/>
      <c r="B375" s="1179"/>
      <c r="C375" s="1180"/>
      <c r="D375" s="1181"/>
      <c r="E375" s="1179"/>
      <c r="F375" s="1181"/>
      <c r="G375" s="623" t="s">
        <v>305</v>
      </c>
      <c r="H375" s="623" t="s">
        <v>302</v>
      </c>
      <c r="I375" s="623" t="s">
        <v>303</v>
      </c>
      <c r="J375" s="623" t="s">
        <v>304</v>
      </c>
    </row>
    <row r="376" spans="1:10" hidden="1" x14ac:dyDescent="0.3">
      <c r="A376" s="623">
        <v>1</v>
      </c>
      <c r="B376" s="1110">
        <v>2</v>
      </c>
      <c r="C376" s="1110"/>
      <c r="D376" s="1110"/>
      <c r="E376" s="1139">
        <v>3</v>
      </c>
      <c r="F376" s="1140"/>
      <c r="G376" s="1110">
        <v>4</v>
      </c>
      <c r="H376" s="1110"/>
      <c r="I376" s="1110"/>
      <c r="J376" s="1110"/>
    </row>
    <row r="377" spans="1:10" hidden="1" x14ac:dyDescent="0.3">
      <c r="A377" s="624" t="s">
        <v>70</v>
      </c>
      <c r="B377" s="1143" t="s">
        <v>346</v>
      </c>
      <c r="C377" s="1143"/>
      <c r="D377" s="1143"/>
      <c r="E377" s="1116">
        <v>1</v>
      </c>
      <c r="F377" s="1117"/>
      <c r="G377" s="624" t="s">
        <v>306</v>
      </c>
      <c r="H377" s="624">
        <v>1</v>
      </c>
      <c r="I377" s="101"/>
      <c r="J377" s="110">
        <v>0</v>
      </c>
    </row>
    <row r="378" spans="1:10" hidden="1" x14ac:dyDescent="0.3">
      <c r="A378" s="624" t="s">
        <v>75</v>
      </c>
      <c r="B378" s="1143" t="s">
        <v>347</v>
      </c>
      <c r="C378" s="1143"/>
      <c r="D378" s="1143"/>
      <c r="E378" s="1116">
        <v>1</v>
      </c>
      <c r="F378" s="1117"/>
      <c r="G378" s="624" t="s">
        <v>306</v>
      </c>
      <c r="H378" s="624">
        <v>1</v>
      </c>
      <c r="I378" s="101"/>
      <c r="J378" s="110">
        <f t="shared" ref="J378:J379" si="17">H378*I378</f>
        <v>0</v>
      </c>
    </row>
    <row r="379" spans="1:10" hidden="1" x14ac:dyDescent="0.3">
      <c r="A379" s="624" t="s">
        <v>77</v>
      </c>
      <c r="B379" s="1143" t="s">
        <v>342</v>
      </c>
      <c r="C379" s="1143"/>
      <c r="D379" s="1143"/>
      <c r="E379" s="1116">
        <v>1</v>
      </c>
      <c r="F379" s="1117"/>
      <c r="G379" s="624" t="s">
        <v>306</v>
      </c>
      <c r="H379" s="628">
        <v>1</v>
      </c>
      <c r="I379" s="101"/>
      <c r="J379" s="110">
        <f t="shared" si="17"/>
        <v>0</v>
      </c>
    </row>
    <row r="380" spans="1:10" ht="15.6" hidden="1" x14ac:dyDescent="0.3">
      <c r="A380" s="448"/>
      <c r="B380" s="1164" t="s">
        <v>13</v>
      </c>
      <c r="C380" s="1164"/>
      <c r="D380" s="1164"/>
      <c r="E380" s="1165" t="s">
        <v>14</v>
      </c>
      <c r="F380" s="1166"/>
      <c r="G380" s="1167">
        <f>SUM(J377:J379)</f>
        <v>0</v>
      </c>
      <c r="H380" s="1168"/>
      <c r="I380" s="1168"/>
      <c r="J380" s="1168"/>
    </row>
    <row r="381" spans="1:10" hidden="1" x14ac:dyDescent="0.3">
      <c r="A381" s="90"/>
      <c r="B381" s="90"/>
      <c r="C381" s="90"/>
      <c r="D381" s="90"/>
      <c r="E381" s="90"/>
      <c r="F381" s="90"/>
      <c r="G381" s="90"/>
      <c r="H381" s="90"/>
      <c r="I381" s="90"/>
      <c r="J381" s="90"/>
    </row>
    <row r="382" spans="1:10" ht="32.25" customHeight="1" x14ac:dyDescent="0.3">
      <c r="A382" s="90"/>
      <c r="B382" s="90"/>
      <c r="C382" s="90"/>
      <c r="D382" s="90"/>
      <c r="E382" s="90"/>
      <c r="F382" s="90"/>
      <c r="G382" s="90"/>
      <c r="H382" s="105" t="s">
        <v>212</v>
      </c>
      <c r="I382" s="1172">
        <f>J87+J94+I105+I145+I166+I182+I196+I227+G254+G289+I294+I310+I372+G380</f>
        <v>306999.99599999998</v>
      </c>
      <c r="J382" s="1172"/>
    </row>
    <row r="383" spans="1:10" x14ac:dyDescent="0.3">
      <c r="A383" s="90"/>
      <c r="B383" s="90"/>
      <c r="C383" s="90"/>
      <c r="D383" s="90"/>
      <c r="E383" s="90"/>
      <c r="F383" s="90"/>
      <c r="G383" s="90"/>
      <c r="H383" s="106" t="s">
        <v>248</v>
      </c>
      <c r="I383" s="90"/>
      <c r="J383" s="90"/>
    </row>
    <row r="384" spans="1:10" x14ac:dyDescent="0.3">
      <c r="A384" s="90"/>
      <c r="B384" s="90"/>
      <c r="C384" s="90"/>
      <c r="D384" s="90"/>
      <c r="E384" s="90"/>
      <c r="F384" s="90"/>
      <c r="G384" s="90"/>
      <c r="H384" s="106" t="s">
        <v>266</v>
      </c>
      <c r="I384" s="1163">
        <f>I382</f>
        <v>306999.99599999998</v>
      </c>
      <c r="J384" s="1163"/>
    </row>
    <row r="385" spans="1:12" x14ac:dyDescent="0.3">
      <c r="A385" s="90"/>
      <c r="B385" s="90"/>
      <c r="C385" s="90"/>
      <c r="D385" s="90"/>
      <c r="E385" s="90"/>
      <c r="F385" s="90"/>
      <c r="G385" s="90"/>
      <c r="H385" s="106" t="s">
        <v>592</v>
      </c>
      <c r="I385" s="1163">
        <v>0</v>
      </c>
      <c r="J385" s="1163"/>
    </row>
    <row r="386" spans="1:12" x14ac:dyDescent="0.3">
      <c r="A386" s="90"/>
      <c r="B386" s="90"/>
      <c r="C386" s="90"/>
      <c r="D386" s="90"/>
      <c r="E386" s="90"/>
      <c r="F386" s="90"/>
      <c r="G386" s="90"/>
      <c r="H386" s="106" t="s">
        <v>338</v>
      </c>
      <c r="I386" s="1163">
        <v>0</v>
      </c>
      <c r="J386" s="1163"/>
    </row>
    <row r="387" spans="1:12" hidden="1" x14ac:dyDescent="0.3">
      <c r="A387" s="90"/>
      <c r="B387" s="90"/>
      <c r="C387" s="90"/>
      <c r="D387" s="90"/>
      <c r="E387" s="90"/>
      <c r="F387" s="90"/>
      <c r="G387" s="90"/>
      <c r="H387" s="106"/>
      <c r="I387" s="1163"/>
      <c r="J387" s="1163"/>
    </row>
    <row r="388" spans="1:12" hidden="1" x14ac:dyDescent="0.3">
      <c r="A388" s="90"/>
      <c r="B388" s="90"/>
      <c r="C388" s="90"/>
      <c r="D388" s="90"/>
      <c r="E388" s="90"/>
      <c r="F388" s="90"/>
      <c r="G388" s="90"/>
      <c r="H388" s="106"/>
      <c r="I388" s="1163"/>
      <c r="J388" s="1163"/>
    </row>
    <row r="389" spans="1:12" hidden="1" x14ac:dyDescent="0.3">
      <c r="A389" s="90"/>
      <c r="B389" s="90"/>
      <c r="C389" s="90"/>
      <c r="D389" s="90"/>
      <c r="E389" s="90"/>
      <c r="F389" s="90"/>
      <c r="G389" s="90"/>
      <c r="H389" s="106"/>
      <c r="I389" s="1163"/>
      <c r="J389" s="1163"/>
    </row>
    <row r="390" spans="1:12" hidden="1" x14ac:dyDescent="0.3">
      <c r="A390" s="90"/>
      <c r="B390" s="90"/>
      <c r="C390" s="90"/>
      <c r="D390" s="90"/>
      <c r="E390" s="90"/>
      <c r="F390" s="90"/>
      <c r="G390" s="90"/>
      <c r="H390" s="106"/>
      <c r="I390" s="1163"/>
      <c r="J390" s="1163"/>
    </row>
    <row r="391" spans="1:12" hidden="1" x14ac:dyDescent="0.3">
      <c r="A391" s="90"/>
      <c r="B391" s="90"/>
      <c r="C391" s="90"/>
      <c r="D391" s="90"/>
      <c r="E391" s="90"/>
      <c r="F391" s="90"/>
      <c r="G391" s="90"/>
      <c r="H391" s="106"/>
      <c r="I391" s="1163"/>
      <c r="J391" s="1163"/>
    </row>
    <row r="392" spans="1:12" hidden="1" x14ac:dyDescent="0.3">
      <c r="A392" s="90"/>
      <c r="B392" s="90"/>
      <c r="C392" s="90"/>
      <c r="D392" s="90"/>
      <c r="E392" s="90"/>
      <c r="F392" s="90"/>
      <c r="G392" s="90"/>
      <c r="H392" s="106"/>
      <c r="I392" s="635"/>
      <c r="J392" s="635"/>
    </row>
    <row r="393" spans="1:12" hidden="1" x14ac:dyDescent="0.3">
      <c r="A393" s="90"/>
      <c r="B393" s="90"/>
      <c r="C393" s="90"/>
      <c r="D393" s="90"/>
      <c r="E393" s="90"/>
      <c r="F393" s="90"/>
      <c r="G393" s="90"/>
      <c r="H393" s="106"/>
      <c r="I393" s="90"/>
      <c r="J393" s="90"/>
    </row>
    <row r="394" spans="1:12" hidden="1" x14ac:dyDescent="0.3">
      <c r="A394" s="1379"/>
      <c r="B394" s="1379"/>
      <c r="C394" s="1379"/>
      <c r="D394" s="244"/>
      <c r="E394" s="244"/>
      <c r="F394" s="245"/>
      <c r="G394" s="246"/>
      <c r="H394" s="246"/>
      <c r="I394" s="246"/>
      <c r="J394" s="174"/>
    </row>
    <row r="395" spans="1:12" x14ac:dyDescent="0.3">
      <c r="A395" s="247"/>
      <c r="B395" s="247"/>
      <c r="C395" s="247"/>
      <c r="D395" s="1380"/>
      <c r="E395" s="1380"/>
      <c r="F395" s="1381"/>
      <c r="G395" s="1381"/>
      <c r="H395" s="1381"/>
      <c r="I395" s="1381"/>
      <c r="J395" s="45"/>
    </row>
    <row r="396" spans="1:12" s="173" customFormat="1" ht="15.6" x14ac:dyDescent="0.3">
      <c r="A396" s="1024" t="s">
        <v>211</v>
      </c>
      <c r="B396" s="1024"/>
      <c r="C396" s="1024"/>
      <c r="D396" s="432"/>
      <c r="E396" s="432"/>
      <c r="F396" s="433" t="s">
        <v>471</v>
      </c>
      <c r="G396" s="433"/>
      <c r="H396" s="433"/>
      <c r="I396" s="433"/>
      <c r="J396" s="434"/>
      <c r="K396" s="334"/>
      <c r="L396" s="323">
        <f>I384+I390</f>
        <v>306999.99599999998</v>
      </c>
    </row>
    <row r="397" spans="1:12" x14ac:dyDescent="0.3">
      <c r="A397" s="637"/>
      <c r="B397" s="637"/>
      <c r="C397" s="637"/>
      <c r="D397" s="1025" t="s">
        <v>279</v>
      </c>
      <c r="E397" s="1025"/>
      <c r="F397" s="1026" t="s">
        <v>280</v>
      </c>
      <c r="G397" s="1026"/>
      <c r="H397" s="1026"/>
      <c r="I397" s="1026"/>
      <c r="J397" s="45"/>
    </row>
    <row r="398" spans="1:12" x14ac:dyDescent="0.3">
      <c r="A398" s="1169" t="s">
        <v>470</v>
      </c>
      <c r="B398" s="1169"/>
      <c r="C398" s="1169"/>
      <c r="D398" s="150"/>
      <c r="E398" s="150"/>
      <c r="F398" s="151" t="s">
        <v>472</v>
      </c>
      <c r="G398" s="151"/>
      <c r="H398" s="151"/>
      <c r="I398" s="151"/>
      <c r="J398" s="46"/>
    </row>
    <row r="399" spans="1:12" x14ac:dyDescent="0.3">
      <c r="A399" s="548"/>
      <c r="B399" s="548"/>
      <c r="C399" s="548"/>
      <c r="D399" s="1025" t="s">
        <v>279</v>
      </c>
      <c r="E399" s="1025"/>
      <c r="F399" s="1026" t="s">
        <v>280</v>
      </c>
      <c r="G399" s="1026"/>
      <c r="H399" s="1026"/>
      <c r="I399" s="1026"/>
      <c r="J399" s="45"/>
    </row>
    <row r="400" spans="1:12" x14ac:dyDescent="0.3">
      <c r="A400" s="548"/>
      <c r="B400" s="548"/>
      <c r="C400" s="548"/>
      <c r="D400" s="548"/>
      <c r="E400" s="548"/>
      <c r="F400" s="548"/>
      <c r="G400" s="45"/>
      <c r="H400" s="45"/>
      <c r="I400" s="45"/>
      <c r="J400" s="45"/>
    </row>
    <row r="401" spans="1:10" x14ac:dyDescent="0.3">
      <c r="A401" s="1152" t="s">
        <v>473</v>
      </c>
      <c r="B401" s="1152"/>
      <c r="C401" s="548"/>
      <c r="D401" s="548"/>
      <c r="E401" s="548"/>
      <c r="F401" s="548"/>
      <c r="G401" s="45"/>
      <c r="H401" s="45"/>
      <c r="I401" s="45"/>
      <c r="J401" s="45"/>
    </row>
    <row r="402" spans="1:10" x14ac:dyDescent="0.3">
      <c r="A402" s="548"/>
      <c r="B402" s="548"/>
      <c r="C402" s="548"/>
      <c r="D402" s="548"/>
      <c r="E402" s="548"/>
      <c r="F402" s="548"/>
      <c r="G402" s="45"/>
      <c r="H402" s="45"/>
      <c r="I402" s="45"/>
      <c r="J402" s="45"/>
    </row>
    <row r="403" spans="1:10" x14ac:dyDescent="0.3">
      <c r="A403" s="758"/>
      <c r="B403" s="758"/>
      <c r="C403" s="548"/>
      <c r="D403" s="548"/>
      <c r="E403" s="548"/>
      <c r="F403" s="548"/>
      <c r="G403" s="45"/>
      <c r="H403" s="45"/>
      <c r="I403" s="45"/>
      <c r="J403" s="45"/>
    </row>
  </sheetData>
  <mergeCells count="820">
    <mergeCell ref="A1:J1"/>
    <mergeCell ref="A2:J2"/>
    <mergeCell ref="A3:J3"/>
    <mergeCell ref="A5:J5"/>
    <mergeCell ref="A8:J8"/>
    <mergeCell ref="A9:A11"/>
    <mergeCell ref="B9:B11"/>
    <mergeCell ref="C9:C11"/>
    <mergeCell ref="D9:G9"/>
    <mergeCell ref="H9:H11"/>
    <mergeCell ref="A22:J22"/>
    <mergeCell ref="A23:J23"/>
    <mergeCell ref="A36:J36"/>
    <mergeCell ref="A51:J51"/>
    <mergeCell ref="A56:J56"/>
    <mergeCell ref="A66:B66"/>
    <mergeCell ref="I9:I11"/>
    <mergeCell ref="J9:J11"/>
    <mergeCell ref="D10:D11"/>
    <mergeCell ref="E10:G10"/>
    <mergeCell ref="A13:J13"/>
    <mergeCell ref="A14:J14"/>
    <mergeCell ref="J71:J73"/>
    <mergeCell ref="D72:D73"/>
    <mergeCell ref="E72:G72"/>
    <mergeCell ref="A75:J75"/>
    <mergeCell ref="A82:I82"/>
    <mergeCell ref="A83:I83"/>
    <mergeCell ref="A67:I67"/>
    <mergeCell ref="A68:I68"/>
    <mergeCell ref="A71:A73"/>
    <mergeCell ref="B71:B73"/>
    <mergeCell ref="C71:C73"/>
    <mergeCell ref="D71:G71"/>
    <mergeCell ref="H71:H73"/>
    <mergeCell ref="I71:I73"/>
    <mergeCell ref="B91:D91"/>
    <mergeCell ref="E91:F91"/>
    <mergeCell ref="G91:H91"/>
    <mergeCell ref="I91:J91"/>
    <mergeCell ref="B92:D92"/>
    <mergeCell ref="E92:F92"/>
    <mergeCell ref="G92:H92"/>
    <mergeCell ref="I92:J92"/>
    <mergeCell ref="A85:J85"/>
    <mergeCell ref="A86:B86"/>
    <mergeCell ref="A87:I87"/>
    <mergeCell ref="A89:J89"/>
    <mergeCell ref="B90:D90"/>
    <mergeCell ref="E90:F90"/>
    <mergeCell ref="G90:H90"/>
    <mergeCell ref="I90:J90"/>
    <mergeCell ref="A95:J95"/>
    <mergeCell ref="B96:D96"/>
    <mergeCell ref="E96:F96"/>
    <mergeCell ref="I96:J96"/>
    <mergeCell ref="B97:D97"/>
    <mergeCell ref="E97:F97"/>
    <mergeCell ref="I97:J97"/>
    <mergeCell ref="B93:D93"/>
    <mergeCell ref="E93:F93"/>
    <mergeCell ref="G93:H93"/>
    <mergeCell ref="I93:J93"/>
    <mergeCell ref="B94:D94"/>
    <mergeCell ref="E94:F94"/>
    <mergeCell ref="G94:H94"/>
    <mergeCell ref="B102:D102"/>
    <mergeCell ref="E102:F102"/>
    <mergeCell ref="I102:J102"/>
    <mergeCell ref="A103:J103"/>
    <mergeCell ref="B104:D104"/>
    <mergeCell ref="E104:F104"/>
    <mergeCell ref="I104:J104"/>
    <mergeCell ref="A98:J98"/>
    <mergeCell ref="B99:D99"/>
    <mergeCell ref="E99:F99"/>
    <mergeCell ref="I99:J99"/>
    <mergeCell ref="A100:J100"/>
    <mergeCell ref="B101:D101"/>
    <mergeCell ref="E101:F101"/>
    <mergeCell ref="I101:J101"/>
    <mergeCell ref="B108:D108"/>
    <mergeCell ref="E108:F108"/>
    <mergeCell ref="I108:J108"/>
    <mergeCell ref="B109:D109"/>
    <mergeCell ref="E109:F109"/>
    <mergeCell ref="I109:J109"/>
    <mergeCell ref="B105:D105"/>
    <mergeCell ref="E105:F105"/>
    <mergeCell ref="I105:J105"/>
    <mergeCell ref="A106:J106"/>
    <mergeCell ref="B107:D107"/>
    <mergeCell ref="E107:F107"/>
    <mergeCell ref="I107:J107"/>
    <mergeCell ref="B113:F113"/>
    <mergeCell ref="G113:H113"/>
    <mergeCell ref="I113:J113"/>
    <mergeCell ref="B114:F114"/>
    <mergeCell ref="G114:H114"/>
    <mergeCell ref="I114:J114"/>
    <mergeCell ref="B110:D110"/>
    <mergeCell ref="E110:F110"/>
    <mergeCell ref="I110:J110"/>
    <mergeCell ref="A111:J111"/>
    <mergeCell ref="B112:F112"/>
    <mergeCell ref="G112:H112"/>
    <mergeCell ref="I112:J112"/>
    <mergeCell ref="B117:F117"/>
    <mergeCell ref="G117:H117"/>
    <mergeCell ref="I117:J117"/>
    <mergeCell ref="B118:F118"/>
    <mergeCell ref="G118:H118"/>
    <mergeCell ref="I118:J118"/>
    <mergeCell ref="B115:F115"/>
    <mergeCell ref="G115:H115"/>
    <mergeCell ref="I115:J115"/>
    <mergeCell ref="B116:F116"/>
    <mergeCell ref="G116:H116"/>
    <mergeCell ref="I116:J116"/>
    <mergeCell ref="B121:F121"/>
    <mergeCell ref="G121:H121"/>
    <mergeCell ref="I121:J121"/>
    <mergeCell ref="B122:F122"/>
    <mergeCell ref="G122:H122"/>
    <mergeCell ref="I122:J122"/>
    <mergeCell ref="B119:F119"/>
    <mergeCell ref="G119:H119"/>
    <mergeCell ref="I119:J119"/>
    <mergeCell ref="B120:F120"/>
    <mergeCell ref="G120:H120"/>
    <mergeCell ref="I120:J120"/>
    <mergeCell ref="B125:F125"/>
    <mergeCell ref="G125:H125"/>
    <mergeCell ref="I125:J125"/>
    <mergeCell ref="B126:F126"/>
    <mergeCell ref="G126:H126"/>
    <mergeCell ref="I126:J126"/>
    <mergeCell ref="B123:F123"/>
    <mergeCell ref="G123:H123"/>
    <mergeCell ref="I123:J123"/>
    <mergeCell ref="B124:F124"/>
    <mergeCell ref="G124:H124"/>
    <mergeCell ref="I124:J124"/>
    <mergeCell ref="B129:F129"/>
    <mergeCell ref="G129:H129"/>
    <mergeCell ref="I129:J129"/>
    <mergeCell ref="B130:F130"/>
    <mergeCell ref="G130:H130"/>
    <mergeCell ref="I130:J130"/>
    <mergeCell ref="B127:F127"/>
    <mergeCell ref="G127:H127"/>
    <mergeCell ref="I127:J127"/>
    <mergeCell ref="B128:F128"/>
    <mergeCell ref="G128:H128"/>
    <mergeCell ref="I128:J128"/>
    <mergeCell ref="B133:F133"/>
    <mergeCell ref="G133:H133"/>
    <mergeCell ref="I133:J133"/>
    <mergeCell ref="B134:F134"/>
    <mergeCell ref="G134:H134"/>
    <mergeCell ref="I134:J134"/>
    <mergeCell ref="B131:F131"/>
    <mergeCell ref="G131:H131"/>
    <mergeCell ref="I131:J131"/>
    <mergeCell ref="B132:F132"/>
    <mergeCell ref="G132:H132"/>
    <mergeCell ref="I132:J132"/>
    <mergeCell ref="B137:F137"/>
    <mergeCell ref="G137:H137"/>
    <mergeCell ref="I137:J137"/>
    <mergeCell ref="B138:F138"/>
    <mergeCell ref="G138:H138"/>
    <mergeCell ref="I138:J138"/>
    <mergeCell ref="B135:F135"/>
    <mergeCell ref="G135:H135"/>
    <mergeCell ref="I135:J135"/>
    <mergeCell ref="B136:F136"/>
    <mergeCell ref="G136:H136"/>
    <mergeCell ref="I136:J136"/>
    <mergeCell ref="B141:F141"/>
    <mergeCell ref="G141:H141"/>
    <mergeCell ref="I141:J141"/>
    <mergeCell ref="B142:F142"/>
    <mergeCell ref="G142:H142"/>
    <mergeCell ref="I142:J142"/>
    <mergeCell ref="B139:F139"/>
    <mergeCell ref="G139:H139"/>
    <mergeCell ref="I139:J139"/>
    <mergeCell ref="B140:F140"/>
    <mergeCell ref="G140:H140"/>
    <mergeCell ref="I140:J140"/>
    <mergeCell ref="K145:L145"/>
    <mergeCell ref="A146:J146"/>
    <mergeCell ref="A147:J147"/>
    <mergeCell ref="B150:D150"/>
    <mergeCell ref="E150:F150"/>
    <mergeCell ref="G150:H150"/>
    <mergeCell ref="I150:J150"/>
    <mergeCell ref="B143:F143"/>
    <mergeCell ref="G143:H143"/>
    <mergeCell ref="I143:J143"/>
    <mergeCell ref="B144:F144"/>
    <mergeCell ref="I144:J144"/>
    <mergeCell ref="B145:F145"/>
    <mergeCell ref="G145:H145"/>
    <mergeCell ref="I145:J145"/>
    <mergeCell ref="B153:D153"/>
    <mergeCell ref="E153:F153"/>
    <mergeCell ref="G153:H153"/>
    <mergeCell ref="I153:J153"/>
    <mergeCell ref="B154:D154"/>
    <mergeCell ref="E154:F154"/>
    <mergeCell ref="G154:H154"/>
    <mergeCell ref="I154:J154"/>
    <mergeCell ref="B151:D151"/>
    <mergeCell ref="E151:F151"/>
    <mergeCell ref="G151:H151"/>
    <mergeCell ref="I151:J151"/>
    <mergeCell ref="B152:D152"/>
    <mergeCell ref="E152:F152"/>
    <mergeCell ref="G152:H152"/>
    <mergeCell ref="I152:J152"/>
    <mergeCell ref="A161:A162"/>
    <mergeCell ref="B161:C162"/>
    <mergeCell ref="E161:F161"/>
    <mergeCell ref="G161:H161"/>
    <mergeCell ref="I161:J161"/>
    <mergeCell ref="E162:F162"/>
    <mergeCell ref="B155:D155"/>
    <mergeCell ref="E155:F155"/>
    <mergeCell ref="G155:H155"/>
    <mergeCell ref="I155:J155"/>
    <mergeCell ref="A156:J156"/>
    <mergeCell ref="B159:D159"/>
    <mergeCell ref="E159:F159"/>
    <mergeCell ref="G159:H159"/>
    <mergeCell ref="I159:J159"/>
    <mergeCell ref="G162:H162"/>
    <mergeCell ref="I162:J162"/>
    <mergeCell ref="B163:D163"/>
    <mergeCell ref="E163:F163"/>
    <mergeCell ref="G163:H163"/>
    <mergeCell ref="I163:J163"/>
    <mergeCell ref="B160:D160"/>
    <mergeCell ref="E160:F160"/>
    <mergeCell ref="G160:H160"/>
    <mergeCell ref="I160:J160"/>
    <mergeCell ref="B166:D166"/>
    <mergeCell ref="E166:F166"/>
    <mergeCell ref="G166:H166"/>
    <mergeCell ref="I166:J166"/>
    <mergeCell ref="A167:J167"/>
    <mergeCell ref="K167:L167"/>
    <mergeCell ref="B164:D164"/>
    <mergeCell ref="E164:F164"/>
    <mergeCell ref="G164:H164"/>
    <mergeCell ref="I164:J164"/>
    <mergeCell ref="B165:D165"/>
    <mergeCell ref="E165:F165"/>
    <mergeCell ref="G165:H165"/>
    <mergeCell ref="I165:J165"/>
    <mergeCell ref="B172:D172"/>
    <mergeCell ref="E172:F172"/>
    <mergeCell ref="G172:H172"/>
    <mergeCell ref="I172:J172"/>
    <mergeCell ref="B173:D173"/>
    <mergeCell ref="E173:F173"/>
    <mergeCell ref="G173:H173"/>
    <mergeCell ref="I173:J173"/>
    <mergeCell ref="B170:D170"/>
    <mergeCell ref="E170:F170"/>
    <mergeCell ref="G170:H170"/>
    <mergeCell ref="I170:J170"/>
    <mergeCell ref="B171:D171"/>
    <mergeCell ref="E171:F171"/>
    <mergeCell ref="G171:H171"/>
    <mergeCell ref="I171:J171"/>
    <mergeCell ref="B179:D179"/>
    <mergeCell ref="E179:F179"/>
    <mergeCell ref="G179:H179"/>
    <mergeCell ref="I179:J179"/>
    <mergeCell ref="B180:D180"/>
    <mergeCell ref="E180:F180"/>
    <mergeCell ref="G180:H180"/>
    <mergeCell ref="I180:J180"/>
    <mergeCell ref="A174:J174"/>
    <mergeCell ref="A177:J177"/>
    <mergeCell ref="B178:D178"/>
    <mergeCell ref="E178:F178"/>
    <mergeCell ref="G178:H178"/>
    <mergeCell ref="I178:J178"/>
    <mergeCell ref="A183:J183"/>
    <mergeCell ref="A186:J186"/>
    <mergeCell ref="B187:D187"/>
    <mergeCell ref="G187:H187"/>
    <mergeCell ref="I187:J187"/>
    <mergeCell ref="B188:D188"/>
    <mergeCell ref="G188:H188"/>
    <mergeCell ref="I188:J188"/>
    <mergeCell ref="B181:D181"/>
    <mergeCell ref="E181:F181"/>
    <mergeCell ref="G181:H181"/>
    <mergeCell ref="I181:J181"/>
    <mergeCell ref="B182:D182"/>
    <mergeCell ref="E182:F182"/>
    <mergeCell ref="G182:H182"/>
    <mergeCell ref="I182:J182"/>
    <mergeCell ref="B191:D191"/>
    <mergeCell ref="G191:H191"/>
    <mergeCell ref="I191:J191"/>
    <mergeCell ref="B192:D192"/>
    <mergeCell ref="G192:H192"/>
    <mergeCell ref="I192:J192"/>
    <mergeCell ref="B189:D189"/>
    <mergeCell ref="G189:H189"/>
    <mergeCell ref="I189:J189"/>
    <mergeCell ref="B190:D190"/>
    <mergeCell ref="G190:H190"/>
    <mergeCell ref="I190:J190"/>
    <mergeCell ref="B195:D195"/>
    <mergeCell ref="G195:H195"/>
    <mergeCell ref="I195:J195"/>
    <mergeCell ref="B196:D196"/>
    <mergeCell ref="G196:H196"/>
    <mergeCell ref="I196:J196"/>
    <mergeCell ref="B193:D193"/>
    <mergeCell ref="G193:H193"/>
    <mergeCell ref="I193:J193"/>
    <mergeCell ref="B194:D194"/>
    <mergeCell ref="G194:H194"/>
    <mergeCell ref="I194:J194"/>
    <mergeCell ref="B201:D201"/>
    <mergeCell ref="E201:F201"/>
    <mergeCell ref="G201:H201"/>
    <mergeCell ref="I201:J201"/>
    <mergeCell ref="B202:D202"/>
    <mergeCell ref="E202:F202"/>
    <mergeCell ref="G202:H202"/>
    <mergeCell ref="I202:J202"/>
    <mergeCell ref="A198:J198"/>
    <mergeCell ref="B199:D199"/>
    <mergeCell ref="E199:F199"/>
    <mergeCell ref="G199:H199"/>
    <mergeCell ref="I199:J199"/>
    <mergeCell ref="B200:D200"/>
    <mergeCell ref="E200:F200"/>
    <mergeCell ref="G200:H200"/>
    <mergeCell ref="I200:J200"/>
    <mergeCell ref="B206:D206"/>
    <mergeCell ref="F206:G206"/>
    <mergeCell ref="I206:J206"/>
    <mergeCell ref="B207:D207"/>
    <mergeCell ref="F207:G207"/>
    <mergeCell ref="I207:J207"/>
    <mergeCell ref="A203:J203"/>
    <mergeCell ref="B204:D204"/>
    <mergeCell ref="F204:G204"/>
    <mergeCell ref="I204:J204"/>
    <mergeCell ref="B205:D205"/>
    <mergeCell ref="F205:G205"/>
    <mergeCell ref="I205:J205"/>
    <mergeCell ref="B210:D210"/>
    <mergeCell ref="F210:G210"/>
    <mergeCell ref="I210:J210"/>
    <mergeCell ref="B211:D211"/>
    <mergeCell ref="F211:G211"/>
    <mergeCell ref="I211:J211"/>
    <mergeCell ref="B208:D208"/>
    <mergeCell ref="F208:G208"/>
    <mergeCell ref="I208:J208"/>
    <mergeCell ref="B209:D209"/>
    <mergeCell ref="F209:G209"/>
    <mergeCell ref="I209:J209"/>
    <mergeCell ref="B214:D214"/>
    <mergeCell ref="F214:G214"/>
    <mergeCell ref="I214:J214"/>
    <mergeCell ref="B215:D215"/>
    <mergeCell ref="F215:G215"/>
    <mergeCell ref="I215:J215"/>
    <mergeCell ref="B212:D212"/>
    <mergeCell ref="F212:G212"/>
    <mergeCell ref="I212:J212"/>
    <mergeCell ref="B213:D213"/>
    <mergeCell ref="F213:G213"/>
    <mergeCell ref="I213:J213"/>
    <mergeCell ref="B218:D218"/>
    <mergeCell ref="F218:G218"/>
    <mergeCell ref="I218:J218"/>
    <mergeCell ref="B219:D219"/>
    <mergeCell ref="F219:G219"/>
    <mergeCell ref="I219:J219"/>
    <mergeCell ref="B216:D216"/>
    <mergeCell ref="F216:G216"/>
    <mergeCell ref="I216:J216"/>
    <mergeCell ref="B217:D217"/>
    <mergeCell ref="F217:G217"/>
    <mergeCell ref="I217:J217"/>
    <mergeCell ref="B222:D222"/>
    <mergeCell ref="F222:G222"/>
    <mergeCell ref="I222:J222"/>
    <mergeCell ref="B223:D223"/>
    <mergeCell ref="F223:G223"/>
    <mergeCell ref="I223:J223"/>
    <mergeCell ref="B220:D220"/>
    <mergeCell ref="F220:G220"/>
    <mergeCell ref="I220:J220"/>
    <mergeCell ref="B221:D221"/>
    <mergeCell ref="F221:G221"/>
    <mergeCell ref="I221:J221"/>
    <mergeCell ref="B226:D226"/>
    <mergeCell ref="F226:G226"/>
    <mergeCell ref="I226:J226"/>
    <mergeCell ref="B227:D227"/>
    <mergeCell ref="F227:G227"/>
    <mergeCell ref="I227:J227"/>
    <mergeCell ref="B224:D224"/>
    <mergeCell ref="F224:G224"/>
    <mergeCell ref="I224:J224"/>
    <mergeCell ref="B225:D225"/>
    <mergeCell ref="F225:G225"/>
    <mergeCell ref="I225:J225"/>
    <mergeCell ref="A228:J228"/>
    <mergeCell ref="B229:D229"/>
    <mergeCell ref="E229:F229"/>
    <mergeCell ref="G229:H229"/>
    <mergeCell ref="I229:J229"/>
    <mergeCell ref="B230:D230"/>
    <mergeCell ref="E230:F230"/>
    <mergeCell ref="G230:H230"/>
    <mergeCell ref="I230:J230"/>
    <mergeCell ref="A233:J233"/>
    <mergeCell ref="A234:A235"/>
    <mergeCell ref="B234:D235"/>
    <mergeCell ref="E234:E235"/>
    <mergeCell ref="F234:F235"/>
    <mergeCell ref="G234:J234"/>
    <mergeCell ref="B231:D231"/>
    <mergeCell ref="E231:F231"/>
    <mergeCell ref="G231:H231"/>
    <mergeCell ref="I231:J231"/>
    <mergeCell ref="B232:D232"/>
    <mergeCell ref="E232:F232"/>
    <mergeCell ref="G232:H232"/>
    <mergeCell ref="I232:J232"/>
    <mergeCell ref="A241:A242"/>
    <mergeCell ref="B241:D242"/>
    <mergeCell ref="B243:D243"/>
    <mergeCell ref="B244:D244"/>
    <mergeCell ref="B245:D245"/>
    <mergeCell ref="B246:D246"/>
    <mergeCell ref="B236:D236"/>
    <mergeCell ref="G236:J236"/>
    <mergeCell ref="B237:D237"/>
    <mergeCell ref="B238:D238"/>
    <mergeCell ref="B239:D239"/>
    <mergeCell ref="B240:D240"/>
    <mergeCell ref="B253:D253"/>
    <mergeCell ref="B254:D254"/>
    <mergeCell ref="G254:J254"/>
    <mergeCell ref="A255:J255"/>
    <mergeCell ref="A256:A257"/>
    <mergeCell ref="B256:D257"/>
    <mergeCell ref="E256:F257"/>
    <mergeCell ref="G256:J256"/>
    <mergeCell ref="B247:D247"/>
    <mergeCell ref="B248:D248"/>
    <mergeCell ref="B249:D249"/>
    <mergeCell ref="B250:D250"/>
    <mergeCell ref="B251:D251"/>
    <mergeCell ref="B252:D252"/>
    <mergeCell ref="B261:D261"/>
    <mergeCell ref="E261:F261"/>
    <mergeCell ref="B262:D262"/>
    <mergeCell ref="E262:F262"/>
    <mergeCell ref="B263:D263"/>
    <mergeCell ref="E263:F263"/>
    <mergeCell ref="B258:D258"/>
    <mergeCell ref="E258:F258"/>
    <mergeCell ref="G258:J258"/>
    <mergeCell ref="B259:D259"/>
    <mergeCell ref="E259:F259"/>
    <mergeCell ref="B260:D260"/>
    <mergeCell ref="B267:D267"/>
    <mergeCell ref="E267:F267"/>
    <mergeCell ref="B268:D268"/>
    <mergeCell ref="E268:F268"/>
    <mergeCell ref="B269:D269"/>
    <mergeCell ref="E269:F269"/>
    <mergeCell ref="B264:D264"/>
    <mergeCell ref="E264:F264"/>
    <mergeCell ref="B265:D265"/>
    <mergeCell ref="E265:F265"/>
    <mergeCell ref="B266:D266"/>
    <mergeCell ref="E266:F266"/>
    <mergeCell ref="B275:D275"/>
    <mergeCell ref="E275:F275"/>
    <mergeCell ref="B276:D276"/>
    <mergeCell ref="E276:F276"/>
    <mergeCell ref="B270:D270"/>
    <mergeCell ref="E270:F270"/>
    <mergeCell ref="B271:D271"/>
    <mergeCell ref="E271:F271"/>
    <mergeCell ref="B272:D272"/>
    <mergeCell ref="E272:F272"/>
    <mergeCell ref="B273:D273"/>
    <mergeCell ref="E273:F273"/>
    <mergeCell ref="B280:D280"/>
    <mergeCell ref="B281:D281"/>
    <mergeCell ref="B282:D282"/>
    <mergeCell ref="E282:F282"/>
    <mergeCell ref="B283:D283"/>
    <mergeCell ref="E283:F283"/>
    <mergeCell ref="B277:D277"/>
    <mergeCell ref="E277:F277"/>
    <mergeCell ref="B278:D278"/>
    <mergeCell ref="E278:F278"/>
    <mergeCell ref="B279:D279"/>
    <mergeCell ref="E279:F279"/>
    <mergeCell ref="E280:F280"/>
    <mergeCell ref="A290:J290"/>
    <mergeCell ref="B287:D287"/>
    <mergeCell ref="E287:F287"/>
    <mergeCell ref="B288:D288"/>
    <mergeCell ref="E288:F288"/>
    <mergeCell ref="B284:D284"/>
    <mergeCell ref="E284:F284"/>
    <mergeCell ref="B285:D285"/>
    <mergeCell ref="E285:F285"/>
    <mergeCell ref="B286:D286"/>
    <mergeCell ref="E286:F286"/>
    <mergeCell ref="B289:D289"/>
    <mergeCell ref="E289:F289"/>
    <mergeCell ref="G289:J289"/>
    <mergeCell ref="B292:D292"/>
    <mergeCell ref="E292:F292"/>
    <mergeCell ref="G292:H292"/>
    <mergeCell ref="I292:J292"/>
    <mergeCell ref="B293:D293"/>
    <mergeCell ref="E293:F293"/>
    <mergeCell ref="G293:H293"/>
    <mergeCell ref="I293:J293"/>
    <mergeCell ref="B291:D291"/>
    <mergeCell ref="E291:F291"/>
    <mergeCell ref="G291:H291"/>
    <mergeCell ref="I291:J291"/>
    <mergeCell ref="B296:D296"/>
    <mergeCell ref="E296:F296"/>
    <mergeCell ref="G296:H296"/>
    <mergeCell ref="I296:J296"/>
    <mergeCell ref="B294:D294"/>
    <mergeCell ref="E294:F294"/>
    <mergeCell ref="G294:H294"/>
    <mergeCell ref="I294:J294"/>
    <mergeCell ref="A295:J295"/>
    <mergeCell ref="B299:D299"/>
    <mergeCell ref="G299:H299"/>
    <mergeCell ref="I299:J299"/>
    <mergeCell ref="B300:D300"/>
    <mergeCell ref="G300:H300"/>
    <mergeCell ref="I300:J300"/>
    <mergeCell ref="B297:D297"/>
    <mergeCell ref="G297:H297"/>
    <mergeCell ref="I297:J297"/>
    <mergeCell ref="B298:D298"/>
    <mergeCell ref="G298:H298"/>
    <mergeCell ref="I298:J298"/>
    <mergeCell ref="E297:F297"/>
    <mergeCell ref="B303:D303"/>
    <mergeCell ref="G303:H303"/>
    <mergeCell ref="I303:J303"/>
    <mergeCell ref="B304:D304"/>
    <mergeCell ref="G304:H304"/>
    <mergeCell ref="I304:J304"/>
    <mergeCell ref="B301:D301"/>
    <mergeCell ref="G301:H301"/>
    <mergeCell ref="I301:J301"/>
    <mergeCell ref="B302:D302"/>
    <mergeCell ref="G302:H302"/>
    <mergeCell ref="I302:J302"/>
    <mergeCell ref="B307:D307"/>
    <mergeCell ref="G307:H307"/>
    <mergeCell ref="I307:J307"/>
    <mergeCell ref="B308:D308"/>
    <mergeCell ref="G308:H308"/>
    <mergeCell ref="I308:J308"/>
    <mergeCell ref="B305:D305"/>
    <mergeCell ref="G305:H305"/>
    <mergeCell ref="I305:J305"/>
    <mergeCell ref="B306:D306"/>
    <mergeCell ref="G306:H306"/>
    <mergeCell ref="I306:J306"/>
    <mergeCell ref="E305:F305"/>
    <mergeCell ref="B313:D313"/>
    <mergeCell ref="E313:F313"/>
    <mergeCell ref="G313:H313"/>
    <mergeCell ref="I313:J313"/>
    <mergeCell ref="B309:D309"/>
    <mergeCell ref="G309:H309"/>
    <mergeCell ref="I309:J309"/>
    <mergeCell ref="A311:J311"/>
    <mergeCell ref="B310:D310"/>
    <mergeCell ref="E310:F310"/>
    <mergeCell ref="G310:H310"/>
    <mergeCell ref="I310:J310"/>
    <mergeCell ref="A312:J312"/>
    <mergeCell ref="B316:D316"/>
    <mergeCell ref="G316:H316"/>
    <mergeCell ref="I316:J316"/>
    <mergeCell ref="B317:D317"/>
    <mergeCell ref="G317:H317"/>
    <mergeCell ref="I317:J317"/>
    <mergeCell ref="B314:D314"/>
    <mergeCell ref="G314:H314"/>
    <mergeCell ref="I314:J314"/>
    <mergeCell ref="B315:D315"/>
    <mergeCell ref="G315:H315"/>
    <mergeCell ref="I315:J315"/>
    <mergeCell ref="E314:F314"/>
    <mergeCell ref="B320:D320"/>
    <mergeCell ref="E320:F320"/>
    <mergeCell ref="G320:H320"/>
    <mergeCell ref="I320:J320"/>
    <mergeCell ref="B318:D318"/>
    <mergeCell ref="E318:F318"/>
    <mergeCell ref="G318:H318"/>
    <mergeCell ref="I318:J318"/>
    <mergeCell ref="A319:J319"/>
    <mergeCell ref="B323:D323"/>
    <mergeCell ref="G323:H323"/>
    <mergeCell ref="I323:J323"/>
    <mergeCell ref="B324:D324"/>
    <mergeCell ref="G324:H324"/>
    <mergeCell ref="I324:J324"/>
    <mergeCell ref="B321:D321"/>
    <mergeCell ref="G321:H321"/>
    <mergeCell ref="I321:J321"/>
    <mergeCell ref="B322:D322"/>
    <mergeCell ref="G322:H322"/>
    <mergeCell ref="I322:J322"/>
    <mergeCell ref="E321:F321"/>
    <mergeCell ref="B327:D327"/>
    <mergeCell ref="E327:F327"/>
    <mergeCell ref="G327:H327"/>
    <mergeCell ref="I327:J327"/>
    <mergeCell ref="B325:D325"/>
    <mergeCell ref="E325:F325"/>
    <mergeCell ref="G325:H325"/>
    <mergeCell ref="I325:J325"/>
    <mergeCell ref="A326:J326"/>
    <mergeCell ref="B330:D330"/>
    <mergeCell ref="G330:H330"/>
    <mergeCell ref="I330:J330"/>
    <mergeCell ref="B331:D331"/>
    <mergeCell ref="G331:H331"/>
    <mergeCell ref="I331:J331"/>
    <mergeCell ref="B328:D328"/>
    <mergeCell ref="G328:H328"/>
    <mergeCell ref="I328:J328"/>
    <mergeCell ref="B329:D329"/>
    <mergeCell ref="G329:H329"/>
    <mergeCell ref="I329:J329"/>
    <mergeCell ref="E328:F328"/>
    <mergeCell ref="B334:D334"/>
    <mergeCell ref="E334:F334"/>
    <mergeCell ref="G334:H334"/>
    <mergeCell ref="I334:J334"/>
    <mergeCell ref="B332:D332"/>
    <mergeCell ref="E332:F332"/>
    <mergeCell ref="G332:H332"/>
    <mergeCell ref="I332:J332"/>
    <mergeCell ref="A333:J333"/>
    <mergeCell ref="B337:D337"/>
    <mergeCell ref="G337:H337"/>
    <mergeCell ref="I337:J337"/>
    <mergeCell ref="B338:D338"/>
    <mergeCell ref="G338:H338"/>
    <mergeCell ref="I338:J338"/>
    <mergeCell ref="B335:D335"/>
    <mergeCell ref="G335:H335"/>
    <mergeCell ref="I335:J335"/>
    <mergeCell ref="B336:D336"/>
    <mergeCell ref="G336:H336"/>
    <mergeCell ref="I336:J336"/>
    <mergeCell ref="E335:F335"/>
    <mergeCell ref="B341:D341"/>
    <mergeCell ref="E341:F341"/>
    <mergeCell ref="G341:H341"/>
    <mergeCell ref="I341:J341"/>
    <mergeCell ref="B339:D339"/>
    <mergeCell ref="E339:F339"/>
    <mergeCell ref="G339:H339"/>
    <mergeCell ref="I339:J339"/>
    <mergeCell ref="A340:J340"/>
    <mergeCell ref="B344:D344"/>
    <mergeCell ref="G344:H344"/>
    <mergeCell ref="I344:J344"/>
    <mergeCell ref="B345:D345"/>
    <mergeCell ref="G345:H345"/>
    <mergeCell ref="I345:J345"/>
    <mergeCell ref="A346:J346"/>
    <mergeCell ref="E348:F348"/>
    <mergeCell ref="B342:D342"/>
    <mergeCell ref="G342:H342"/>
    <mergeCell ref="I342:J342"/>
    <mergeCell ref="B343:D343"/>
    <mergeCell ref="G343:H343"/>
    <mergeCell ref="I343:J343"/>
    <mergeCell ref="E342:F342"/>
    <mergeCell ref="B349:D349"/>
    <mergeCell ref="G349:H349"/>
    <mergeCell ref="I349:J349"/>
    <mergeCell ref="B350:D350"/>
    <mergeCell ref="G350:H350"/>
    <mergeCell ref="I350:J350"/>
    <mergeCell ref="A352:J352"/>
    <mergeCell ref="B347:D347"/>
    <mergeCell ref="E347:F347"/>
    <mergeCell ref="G347:H347"/>
    <mergeCell ref="I347:J347"/>
    <mergeCell ref="B348:D348"/>
    <mergeCell ref="G348:H348"/>
    <mergeCell ref="I348:J348"/>
    <mergeCell ref="B353:D353"/>
    <mergeCell ref="G353:H353"/>
    <mergeCell ref="I353:J353"/>
    <mergeCell ref="B354:D354"/>
    <mergeCell ref="E354:F354"/>
    <mergeCell ref="G354:H354"/>
    <mergeCell ref="I354:J354"/>
    <mergeCell ref="E353:F353"/>
    <mergeCell ref="B351:D351"/>
    <mergeCell ref="G351:H351"/>
    <mergeCell ref="I351:J351"/>
    <mergeCell ref="B357:D357"/>
    <mergeCell ref="G357:H357"/>
    <mergeCell ref="I357:J357"/>
    <mergeCell ref="A358:J358"/>
    <mergeCell ref="E360:F360"/>
    <mergeCell ref="B355:D355"/>
    <mergeCell ref="G355:H355"/>
    <mergeCell ref="I355:J355"/>
    <mergeCell ref="B356:D356"/>
    <mergeCell ref="G356:H356"/>
    <mergeCell ref="I356:J356"/>
    <mergeCell ref="B360:D360"/>
    <mergeCell ref="G360:H360"/>
    <mergeCell ref="I360:J360"/>
    <mergeCell ref="B361:D361"/>
    <mergeCell ref="G361:H361"/>
    <mergeCell ref="I361:J361"/>
    <mergeCell ref="B359:D359"/>
    <mergeCell ref="E359:F359"/>
    <mergeCell ref="G359:H359"/>
    <mergeCell ref="I359:J359"/>
    <mergeCell ref="B362:D362"/>
    <mergeCell ref="G362:H362"/>
    <mergeCell ref="B363:D363"/>
    <mergeCell ref="G363:H363"/>
    <mergeCell ref="I363:J363"/>
    <mergeCell ref="I362:J362"/>
    <mergeCell ref="B364:D364"/>
    <mergeCell ref="G364:H364"/>
    <mergeCell ref="I364:J364"/>
    <mergeCell ref="B368:D368"/>
    <mergeCell ref="E368:F368"/>
    <mergeCell ref="B369:D369"/>
    <mergeCell ref="B370:D370"/>
    <mergeCell ref="A366:J366"/>
    <mergeCell ref="G367:H367"/>
    <mergeCell ref="I367:J367"/>
    <mergeCell ref="G368:H368"/>
    <mergeCell ref="I368:J368"/>
    <mergeCell ref="G369:H369"/>
    <mergeCell ref="I369:J369"/>
    <mergeCell ref="G370:H370"/>
    <mergeCell ref="I370:J370"/>
    <mergeCell ref="B367:D367"/>
    <mergeCell ref="E367:F367"/>
    <mergeCell ref="I382:J382"/>
    <mergeCell ref="B371:D371"/>
    <mergeCell ref="G371:H371"/>
    <mergeCell ref="B372:D372"/>
    <mergeCell ref="G372:H372"/>
    <mergeCell ref="I372:J372"/>
    <mergeCell ref="A373:J373"/>
    <mergeCell ref="A374:A375"/>
    <mergeCell ref="B374:D375"/>
    <mergeCell ref="E374:F375"/>
    <mergeCell ref="G374:J374"/>
    <mergeCell ref="B376:D376"/>
    <mergeCell ref="E376:F376"/>
    <mergeCell ref="G376:J376"/>
    <mergeCell ref="B377:D377"/>
    <mergeCell ref="E377:F377"/>
    <mergeCell ref="B378:D378"/>
    <mergeCell ref="E378:F378"/>
    <mergeCell ref="B379:D379"/>
    <mergeCell ref="E379:F379"/>
    <mergeCell ref="B380:D380"/>
    <mergeCell ref="E380:F380"/>
    <mergeCell ref="G380:J380"/>
    <mergeCell ref="I384:J384"/>
    <mergeCell ref="I385:J385"/>
    <mergeCell ref="I386:J386"/>
    <mergeCell ref="I387:J387"/>
    <mergeCell ref="I388:J388"/>
    <mergeCell ref="I389:J389"/>
    <mergeCell ref="I390:J390"/>
    <mergeCell ref="I391:J391"/>
    <mergeCell ref="A394:C394"/>
    <mergeCell ref="A403:B403"/>
    <mergeCell ref="D395:E395"/>
    <mergeCell ref="F395:I395"/>
    <mergeCell ref="A396:C396"/>
    <mergeCell ref="D397:E397"/>
    <mergeCell ref="F397:I397"/>
    <mergeCell ref="A398:C398"/>
    <mergeCell ref="D399:E399"/>
    <mergeCell ref="F399:I399"/>
    <mergeCell ref="A401:B401"/>
  </mergeCells>
  <pageMargins left="0.70866141732283472" right="0.70866141732283472" top="0.74803149606299213" bottom="0.74803149606299213" header="0.31496062992125984" footer="0.31496062992125984"/>
  <pageSetup paperSize="9" scale="49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7</vt:i4>
      </vt:variant>
    </vt:vector>
  </HeadingPairs>
  <TitlesOfParts>
    <vt:vector size="20" baseType="lpstr">
      <vt:lpstr>Титул лист</vt:lpstr>
      <vt:lpstr>Раздел 1</vt:lpstr>
      <vt:lpstr>Раздел 2</vt:lpstr>
      <vt:lpstr>МЗ 2023</vt:lpstr>
      <vt:lpstr>иные  2023</vt:lpstr>
      <vt:lpstr>ППД 2023</vt:lpstr>
      <vt:lpstr>расш МЗ 2024</vt:lpstr>
      <vt:lpstr>иные 2024</vt:lpstr>
      <vt:lpstr>ППД 2024</vt:lpstr>
      <vt:lpstr>МЗ 2025</vt:lpstr>
      <vt:lpstr>иные 2025</vt:lpstr>
      <vt:lpstr>ППД 2025</vt:lpstr>
      <vt:lpstr>МЗ 2017 (3)</vt:lpstr>
      <vt:lpstr>'иные  2023'!Область_печати</vt:lpstr>
      <vt:lpstr>'МЗ 2017 (3)'!Область_печати</vt:lpstr>
      <vt:lpstr>'МЗ 2023'!Область_печати</vt:lpstr>
      <vt:lpstr>'ППД 2023'!Область_печати</vt:lpstr>
      <vt:lpstr>'Раздел 1'!Область_печати</vt:lpstr>
      <vt:lpstr>'Раздел 2'!Область_печати</vt:lpstr>
      <vt:lpstr>'Титул лист'!Область_печати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EKON3</dc:creator>
  <cp:lastModifiedBy>Logeeva</cp:lastModifiedBy>
  <cp:lastPrinted>2023-01-13T04:36:01Z</cp:lastPrinted>
  <dcterms:created xsi:type="dcterms:W3CDTF">2017-01-09T09:55:31Z</dcterms:created>
  <dcterms:modified xsi:type="dcterms:W3CDTF">2023-05-04T09:39:28Z</dcterms:modified>
</cp:coreProperties>
</file>